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C:\Sander\WTP\Nabestaandenpensioen\"/>
    </mc:Choice>
  </mc:AlternateContent>
  <xr:revisionPtr revIDLastSave="0" documentId="13_ncr:1_{9C0621A0-3417-4611-A353-5C3CB6A93DCD}" xr6:coauthVersionLast="47" xr6:coauthVersionMax="47" xr10:uidLastSave="{00000000-0000-0000-0000-000000000000}"/>
  <bookViews>
    <workbookView xWindow="2265" yWindow="-120" windowWidth="26655" windowHeight="16440" tabRatio="912" xr2:uid="{00000000-000D-0000-FFFF-FFFF00000000}"/>
  </bookViews>
  <sheets>
    <sheet name="Settings" sheetId="7" r:id="rId1"/>
    <sheet name="Premie_leeftijd" sheetId="5" r:id="rId2"/>
    <sheet name="NPpremie_inkomen" sheetId="8" r:id="rId3"/>
    <sheet name="NPuitkering_leeftijd" sheetId="6" r:id="rId4"/>
    <sheet name="NPuitkering_leeftijd_ArbPartic" sheetId="15" r:id="rId5"/>
    <sheet name="Grondslag" sheetId="2" r:id="rId6"/>
    <sheet name="DataArbeid" sheetId="1" r:id="rId7"/>
    <sheet name="overlevtafel" sheetId="14" r:id="rId8"/>
    <sheet name="CBSoverlevtafel" sheetId="4" r:id="rId9"/>
    <sheet name="CBStafelMan" sheetId="9" r:id="rId10"/>
    <sheet name="CBStafelVrouw" sheetId="10" r:id="rId11"/>
    <sheet name="AGoverlevtafel" sheetId="13" r:id="rId12"/>
    <sheet name="AGtafelMan" sheetId="11" r:id="rId13"/>
    <sheet name="AGtafelVrouw" sheetId="12" r:id="rId14"/>
  </sheets>
  <definedNames>
    <definedName name="AOWlftd">Settings!$D$10</definedName>
    <definedName name="geb_deeln">Settings!$C$8</definedName>
    <definedName name="geb_partner">Settings!$D$8</definedName>
    <definedName name="NP_OP">Settings!$O$10</definedName>
    <definedName name="OPperjr">Settings!$O$9</definedName>
    <definedName name="reele_index_opb">Settings!$O$12</definedName>
    <definedName name="reele_index_ris">Settings!$I$12</definedName>
    <definedName name="rr">Settings!$O$14</definedName>
    <definedName name="sterfte_deeln">Settings!$C$6</definedName>
    <definedName name="sterfte_partn">Settings!$D$6</definedName>
    <definedName name="volledigAnw">Settings!$D$3</definedName>
    <definedName name="voltijdfranchise">Settings!$D$2</definedName>
    <definedName name="voltijduren">Settings!$U$3</definedName>
    <definedName name="x" comment="MvT-risico na AOW leeftijd: pensioengevend loon - x *franchise">Settings!$I$8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" i="7" l="1"/>
  <c r="AD6" i="6"/>
  <c r="U5" i="7" l="1"/>
  <c r="J67" i="7" l="1"/>
  <c r="O7" i="14" l="1"/>
  <c r="L7" i="14"/>
  <c r="D7" i="14"/>
  <c r="G7" i="14"/>
  <c r="C21" i="7" l="1"/>
  <c r="F31" i="7"/>
  <c r="C31" i="7"/>
  <c r="C39" i="7" l="1"/>
  <c r="A69" i="7" l="1"/>
  <c r="J69" i="7" s="1"/>
  <c r="A70" i="7"/>
  <c r="J70" i="7" s="1"/>
  <c r="A71" i="7"/>
  <c r="J71" i="7" s="1"/>
  <c r="H66" i="7"/>
  <c r="A62" i="7"/>
  <c r="A61" i="7"/>
  <c r="C51" i="7"/>
  <c r="A54" i="7"/>
  <c r="A58" i="7" s="1"/>
  <c r="A55" i="7"/>
  <c r="A59" i="7" s="1"/>
  <c r="A53" i="7"/>
  <c r="B49" i="7"/>
  <c r="K3" i="14" l="1"/>
  <c r="C3" i="14" l="1"/>
  <c r="F7" i="5"/>
  <c r="E7" i="5"/>
  <c r="D7" i="5"/>
  <c r="C7" i="5"/>
  <c r="K75" i="15"/>
  <c r="CO1" i="5"/>
  <c r="CL1" i="5"/>
  <c r="H8" i="8"/>
  <c r="H9" i="8"/>
  <c r="AJ9" i="8" s="1"/>
  <c r="E8" i="8"/>
  <c r="E9" i="8"/>
  <c r="AG9" i="8" s="1"/>
  <c r="DP6" i="5"/>
  <c r="DQ6" i="5"/>
  <c r="DR6" i="5"/>
  <c r="DS6" i="5"/>
  <c r="DO6" i="5"/>
  <c r="DL6" i="5"/>
  <c r="AC6" i="15"/>
  <c r="AK6" i="15" s="1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50" i="6"/>
  <c r="O51" i="6"/>
  <c r="O52" i="6"/>
  <c r="O53" i="6"/>
  <c r="O54" i="6"/>
  <c r="O55" i="6"/>
  <c r="O56" i="6"/>
  <c r="AE6" i="6"/>
  <c r="AM6" i="6" s="1"/>
  <c r="E22" i="7" s="1"/>
  <c r="E52" i="7" s="1"/>
  <c r="H32" i="2"/>
  <c r="BB5" i="6"/>
  <c r="AZ5" i="15"/>
  <c r="BA82" i="15"/>
  <c r="BA81" i="15"/>
  <c r="BA80" i="15"/>
  <c r="BA79" i="15"/>
  <c r="BA78" i="15"/>
  <c r="BA77" i="15"/>
  <c r="BA76" i="15"/>
  <c r="BA75" i="15"/>
  <c r="BA74" i="15"/>
  <c r="BA73" i="15"/>
  <c r="BA72" i="15"/>
  <c r="BA71" i="15"/>
  <c r="BA70" i="15"/>
  <c r="BA69" i="15"/>
  <c r="BA68" i="15"/>
  <c r="BA67" i="15"/>
  <c r="BA66" i="15"/>
  <c r="BA65" i="15"/>
  <c r="BA64" i="15"/>
  <c r="BA63" i="15"/>
  <c r="BA62" i="15"/>
  <c r="BA61" i="15"/>
  <c r="BA60" i="15"/>
  <c r="BA59" i="15"/>
  <c r="BA58" i="15"/>
  <c r="BA57" i="15"/>
  <c r="BA56" i="15"/>
  <c r="BA55" i="15"/>
  <c r="BA54" i="15"/>
  <c r="BA53" i="15"/>
  <c r="BA52" i="15"/>
  <c r="BA51" i="15"/>
  <c r="BA50" i="15"/>
  <c r="BA49" i="15"/>
  <c r="BA48" i="15"/>
  <c r="BA47" i="15"/>
  <c r="BA46" i="15"/>
  <c r="BA45" i="15"/>
  <c r="BA44" i="15"/>
  <c r="BA43" i="15"/>
  <c r="BA42" i="15"/>
  <c r="BA41" i="15"/>
  <c r="BA40" i="15"/>
  <c r="BA39" i="15"/>
  <c r="BA38" i="15"/>
  <c r="BA37" i="15"/>
  <c r="BA36" i="15"/>
  <c r="BA35" i="15"/>
  <c r="BA34" i="15"/>
  <c r="BA33" i="15"/>
  <c r="BA32" i="15"/>
  <c r="BA31" i="15"/>
  <c r="BA30" i="15"/>
  <c r="BA29" i="15"/>
  <c r="BA28" i="15"/>
  <c r="BA27" i="15"/>
  <c r="BA26" i="15"/>
  <c r="BA25" i="15"/>
  <c r="BA24" i="15"/>
  <c r="BA23" i="15"/>
  <c r="BA22" i="15"/>
  <c r="BA21" i="15"/>
  <c r="BA20" i="15"/>
  <c r="BA19" i="15"/>
  <c r="BA18" i="15"/>
  <c r="BA17" i="15"/>
  <c r="BA16" i="15"/>
  <c r="BA15" i="15"/>
  <c r="BA14" i="15"/>
  <c r="BA13" i="15"/>
  <c r="BA12" i="15"/>
  <c r="BA11" i="15"/>
  <c r="BA10" i="15"/>
  <c r="BA9" i="15"/>
  <c r="BA8" i="15"/>
  <c r="BA7" i="15"/>
  <c r="BH6" i="15"/>
  <c r="BG6" i="15"/>
  <c r="BE6" i="15"/>
  <c r="BD6" i="15"/>
  <c r="BF2" i="15"/>
  <c r="AV6" i="15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7" i="6"/>
  <c r="AQ6" i="6"/>
  <c r="AO6" i="15"/>
  <c r="AA6" i="6"/>
  <c r="Y6" i="15"/>
  <c r="E8" i="5" l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D8" i="5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C8" i="5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N32" i="6"/>
  <c r="L24" i="15"/>
  <c r="N48" i="6"/>
  <c r="N16" i="6"/>
  <c r="M76" i="6"/>
  <c r="N40" i="6"/>
  <c r="N24" i="6"/>
  <c r="L8" i="15"/>
  <c r="L40" i="15"/>
  <c r="N58" i="6"/>
  <c r="N44" i="6"/>
  <c r="N36" i="6"/>
  <c r="N28" i="6"/>
  <c r="N20" i="6"/>
  <c r="N12" i="6"/>
  <c r="L16" i="15"/>
  <c r="L32" i="15"/>
  <c r="L48" i="15"/>
  <c r="M68" i="6"/>
  <c r="K57" i="15"/>
  <c r="M7" i="6"/>
  <c r="N46" i="6"/>
  <c r="N42" i="6"/>
  <c r="N38" i="6"/>
  <c r="N34" i="6"/>
  <c r="N30" i="6"/>
  <c r="N26" i="6"/>
  <c r="N22" i="6"/>
  <c r="N18" i="6"/>
  <c r="N14" i="6"/>
  <c r="M10" i="6"/>
  <c r="L12" i="15"/>
  <c r="L20" i="15"/>
  <c r="L28" i="15"/>
  <c r="L36" i="15"/>
  <c r="L44" i="15"/>
  <c r="M80" i="6"/>
  <c r="M72" i="6"/>
  <c r="M64" i="6"/>
  <c r="N50" i="6"/>
  <c r="K67" i="15"/>
  <c r="N49" i="6"/>
  <c r="N47" i="6"/>
  <c r="N45" i="6"/>
  <c r="N43" i="6"/>
  <c r="N41" i="6"/>
  <c r="N39" i="6"/>
  <c r="N37" i="6"/>
  <c r="N35" i="6"/>
  <c r="N33" i="6"/>
  <c r="N31" i="6"/>
  <c r="N29" i="6"/>
  <c r="N27" i="6"/>
  <c r="N25" i="6"/>
  <c r="N23" i="6"/>
  <c r="N21" i="6"/>
  <c r="N19" i="6"/>
  <c r="N17" i="6"/>
  <c r="N15" i="6"/>
  <c r="N13" i="6"/>
  <c r="N11" i="6"/>
  <c r="M8" i="6"/>
  <c r="L10" i="15"/>
  <c r="L14" i="15"/>
  <c r="L18" i="15"/>
  <c r="L22" i="15"/>
  <c r="L26" i="15"/>
  <c r="L30" i="15"/>
  <c r="L34" i="15"/>
  <c r="L38" i="15"/>
  <c r="L42" i="15"/>
  <c r="L46" i="15"/>
  <c r="M82" i="6"/>
  <c r="M78" i="6"/>
  <c r="M74" i="6"/>
  <c r="M70" i="6"/>
  <c r="M66" i="6"/>
  <c r="M62" i="6"/>
  <c r="N54" i="6"/>
  <c r="K53" i="15"/>
  <c r="K61" i="15"/>
  <c r="L82" i="15"/>
  <c r="K81" i="15"/>
  <c r="K77" i="15"/>
  <c r="K73" i="15"/>
  <c r="K69" i="15"/>
  <c r="K65" i="15"/>
  <c r="K62" i="15"/>
  <c r="K60" i="15"/>
  <c r="K58" i="15"/>
  <c r="K56" i="15"/>
  <c r="K54" i="15"/>
  <c r="K52" i="15"/>
  <c r="K50" i="15"/>
  <c r="N51" i="6"/>
  <c r="N53" i="6"/>
  <c r="N55" i="6"/>
  <c r="N57" i="6"/>
  <c r="N59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N8" i="6"/>
  <c r="N9" i="6"/>
  <c r="N10" i="6"/>
  <c r="N7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9" i="6"/>
  <c r="L7" i="15"/>
  <c r="L9" i="15"/>
  <c r="L11" i="15"/>
  <c r="L13" i="15"/>
  <c r="L15" i="15"/>
  <c r="L17" i="15"/>
  <c r="L19" i="15"/>
  <c r="L21" i="15"/>
  <c r="L23" i="15"/>
  <c r="L25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M81" i="6"/>
  <c r="M79" i="6"/>
  <c r="M77" i="6"/>
  <c r="M75" i="6"/>
  <c r="M73" i="6"/>
  <c r="M71" i="6"/>
  <c r="M69" i="6"/>
  <c r="M67" i="6"/>
  <c r="M65" i="6"/>
  <c r="M63" i="6"/>
  <c r="N60" i="6"/>
  <c r="N56" i="6"/>
  <c r="N52" i="6"/>
  <c r="K51" i="15"/>
  <c r="K55" i="15"/>
  <c r="K59" i="15"/>
  <c r="K63" i="15"/>
  <c r="K71" i="15"/>
  <c r="K79" i="15"/>
  <c r="K64" i="15"/>
  <c r="K66" i="15"/>
  <c r="K68" i="15"/>
  <c r="K70" i="15"/>
  <c r="K72" i="15"/>
  <c r="K74" i="15"/>
  <c r="K76" i="15"/>
  <c r="K78" i="15"/>
  <c r="K80" i="15"/>
  <c r="K82" i="15"/>
  <c r="F8" i="5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M61" i="6"/>
  <c r="M60" i="6"/>
  <c r="M59" i="6"/>
  <c r="M58" i="6"/>
  <c r="M57" i="6"/>
  <c r="M56" i="6"/>
  <c r="M55" i="6"/>
  <c r="M54" i="6"/>
  <c r="M53" i="6"/>
  <c r="M52" i="6"/>
  <c r="M51" i="6"/>
  <c r="M50" i="6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H7" i="8"/>
  <c r="E7" i="8"/>
  <c r="AT6" i="15"/>
  <c r="AV6" i="6"/>
  <c r="BB82" i="15"/>
  <c r="BC82" i="15" s="1"/>
  <c r="BB81" i="15"/>
  <c r="BC81" i="15" s="1"/>
  <c r="BB80" i="15"/>
  <c r="BC80" i="15" s="1"/>
  <c r="BB79" i="15"/>
  <c r="BC79" i="15" s="1"/>
  <c r="BB78" i="15"/>
  <c r="BC78" i="15" s="1"/>
  <c r="BB77" i="15"/>
  <c r="BC77" i="15" s="1"/>
  <c r="BB76" i="15"/>
  <c r="BC76" i="15" s="1"/>
  <c r="BB75" i="15"/>
  <c r="BC75" i="15" s="1"/>
  <c r="BB74" i="15"/>
  <c r="BC74" i="15" s="1"/>
  <c r="BB73" i="15"/>
  <c r="BC73" i="15" s="1"/>
  <c r="BB72" i="15"/>
  <c r="BC72" i="15" s="1"/>
  <c r="BB71" i="15"/>
  <c r="BC71" i="15" s="1"/>
  <c r="BB70" i="15"/>
  <c r="BC70" i="15" s="1"/>
  <c r="BB69" i="15"/>
  <c r="BC69" i="15" s="1"/>
  <c r="BB68" i="15"/>
  <c r="BC68" i="15" s="1"/>
  <c r="BB67" i="15"/>
  <c r="BC67" i="15" s="1"/>
  <c r="BB66" i="15"/>
  <c r="BC66" i="15" s="1"/>
  <c r="BB65" i="15"/>
  <c r="BC65" i="15" s="1"/>
  <c r="BB64" i="15"/>
  <c r="BC64" i="15" s="1"/>
  <c r="BB63" i="15"/>
  <c r="BC63" i="15" s="1"/>
  <c r="BB62" i="15"/>
  <c r="BC62" i="15" s="1"/>
  <c r="BB20" i="15"/>
  <c r="BB22" i="15"/>
  <c r="BB24" i="15"/>
  <c r="BB26" i="15"/>
  <c r="BB28" i="15"/>
  <c r="BB30" i="15"/>
  <c r="BB32" i="15"/>
  <c r="BB34" i="15"/>
  <c r="BB36" i="15"/>
  <c r="BB38" i="15"/>
  <c r="BB40" i="15"/>
  <c r="BB42" i="15"/>
  <c r="BB44" i="15"/>
  <c r="BB46" i="15"/>
  <c r="BB48" i="15"/>
  <c r="BB50" i="15"/>
  <c r="BB52" i="15"/>
  <c r="BB54" i="15"/>
  <c r="BB56" i="15"/>
  <c r="BB58" i="15"/>
  <c r="BB60" i="15"/>
  <c r="BB7" i="15"/>
  <c r="BC7" i="15" s="1"/>
  <c r="BB8" i="15"/>
  <c r="BC8" i="15" s="1"/>
  <c r="BB9" i="15"/>
  <c r="BC9" i="15" s="1"/>
  <c r="BB10" i="15"/>
  <c r="BC10" i="15" s="1"/>
  <c r="BB11" i="15"/>
  <c r="BC11" i="15" s="1"/>
  <c r="BB12" i="15"/>
  <c r="BC12" i="15" s="1"/>
  <c r="BB13" i="15"/>
  <c r="BC13" i="15" s="1"/>
  <c r="BB14" i="15"/>
  <c r="BC14" i="15" s="1"/>
  <c r="BB15" i="15"/>
  <c r="BC15" i="15" s="1"/>
  <c r="BB16" i="15"/>
  <c r="BC16" i="15" s="1"/>
  <c r="BB17" i="15"/>
  <c r="BC17" i="15" s="1"/>
  <c r="BB18" i="15"/>
  <c r="BC18" i="15" s="1"/>
  <c r="BB19" i="15"/>
  <c r="BC19" i="15" s="1"/>
  <c r="BB21" i="15"/>
  <c r="BB23" i="15"/>
  <c r="BB25" i="15"/>
  <c r="BB27" i="15"/>
  <c r="BB29" i="15"/>
  <c r="BB31" i="15"/>
  <c r="BB33" i="15"/>
  <c r="BB35" i="15"/>
  <c r="BB37" i="15"/>
  <c r="BB39" i="15"/>
  <c r="BB41" i="15"/>
  <c r="BB43" i="15"/>
  <c r="BB45" i="15"/>
  <c r="BB47" i="15"/>
  <c r="BB49" i="15"/>
  <c r="BB51" i="15"/>
  <c r="BB53" i="15"/>
  <c r="BB55" i="15"/>
  <c r="BB57" i="15"/>
  <c r="BB59" i="15"/>
  <c r="BB61" i="15"/>
  <c r="BC61" i="15" l="1"/>
  <c r="BC59" i="15"/>
  <c r="BC57" i="15"/>
  <c r="BC55" i="15"/>
  <c r="BC53" i="15"/>
  <c r="BC51" i="15"/>
  <c r="BC49" i="15"/>
  <c r="BC47" i="15"/>
  <c r="BC45" i="15"/>
  <c r="BC43" i="15"/>
  <c r="BC41" i="15"/>
  <c r="BC39" i="15"/>
  <c r="BC37" i="15"/>
  <c r="BC35" i="15"/>
  <c r="BC33" i="15"/>
  <c r="BC31" i="15"/>
  <c r="BC29" i="15"/>
  <c r="BC27" i="15"/>
  <c r="BC25" i="15"/>
  <c r="BC23" i="15"/>
  <c r="BC21" i="15"/>
  <c r="BC60" i="15"/>
  <c r="BC58" i="15"/>
  <c r="BC56" i="15"/>
  <c r="BC54" i="15"/>
  <c r="BC52" i="15"/>
  <c r="BC50" i="15"/>
  <c r="BC48" i="15"/>
  <c r="BC46" i="15"/>
  <c r="BC44" i="15"/>
  <c r="BC42" i="15"/>
  <c r="BC40" i="15"/>
  <c r="BC38" i="15"/>
  <c r="BC36" i="15"/>
  <c r="BC34" i="15"/>
  <c r="BC32" i="15"/>
  <c r="BC30" i="15"/>
  <c r="BC28" i="15"/>
  <c r="BC26" i="15"/>
  <c r="BC24" i="15"/>
  <c r="BC22" i="15"/>
  <c r="BC20" i="15"/>
  <c r="BH2" i="6" l="1"/>
  <c r="BD9" i="6" s="1"/>
  <c r="BG6" i="6"/>
  <c r="BI6" i="6"/>
  <c r="BJ6" i="6"/>
  <c r="BF6" i="6"/>
  <c r="AX6" i="6"/>
  <c r="AW6" i="6"/>
  <c r="AT6" i="6"/>
  <c r="AS6" i="6"/>
  <c r="AO6" i="6"/>
  <c r="G22" i="7" s="1"/>
  <c r="G52" i="7" s="1"/>
  <c r="AN6" i="6"/>
  <c r="F22" i="7" s="1"/>
  <c r="F52" i="7" s="1"/>
  <c r="AK6" i="6"/>
  <c r="C22" i="7" s="1"/>
  <c r="C52" i="7" s="1"/>
  <c r="AJ6" i="6"/>
  <c r="B22" i="7" s="1"/>
  <c r="B52" i="7" s="1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I6" i="15"/>
  <c r="AL6" i="15"/>
  <c r="AM6" i="15"/>
  <c r="AH6" i="15"/>
  <c r="I12" i="7" a="1"/>
  <c r="I12" i="7" s="1"/>
  <c r="N6" i="15"/>
  <c r="AB6" i="15" s="1"/>
  <c r="BF6" i="15" s="1"/>
  <c r="P6" i="6"/>
  <c r="AU6" i="6" s="1"/>
  <c r="AU6" i="15"/>
  <c r="AR6" i="15"/>
  <c r="AQ6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57" i="15"/>
  <c r="A56" i="15"/>
  <c r="A55" i="15"/>
  <c r="A54" i="15"/>
  <c r="A53" i="15"/>
  <c r="A52" i="15"/>
  <c r="A51" i="15"/>
  <c r="A50" i="15"/>
  <c r="G49" i="15"/>
  <c r="G48" i="15" s="1" a="1"/>
  <c r="G48" i="15" s="1"/>
  <c r="G47" i="15" s="1" a="1"/>
  <c r="G47" i="15" s="1"/>
  <c r="G46" i="15" s="1" a="1"/>
  <c r="G46" i="15" s="1"/>
  <c r="G45" i="15" s="1" a="1"/>
  <c r="G45" i="15" s="1"/>
  <c r="G44" i="15" s="1" a="1"/>
  <c r="G44" i="15" s="1"/>
  <c r="G43" i="15" s="1" a="1"/>
  <c r="G43" i="15" s="1"/>
  <c r="G42" i="15" s="1" a="1"/>
  <c r="G42" i="15" s="1"/>
  <c r="G41" i="15" s="1" a="1"/>
  <c r="G41" i="15" s="1"/>
  <c r="G40" i="15" s="1" a="1"/>
  <c r="G40" i="15" s="1"/>
  <c r="G39" i="15" s="1" a="1"/>
  <c r="G39" i="15" s="1"/>
  <c r="G38" i="15" s="1" a="1"/>
  <c r="G38" i="15" s="1"/>
  <c r="G37" i="15" s="1" a="1"/>
  <c r="G37" i="15" s="1"/>
  <c r="G36" i="15" s="1" a="1"/>
  <c r="G36" i="15" s="1"/>
  <c r="G35" i="15" s="1" a="1"/>
  <c r="G35" i="15" s="1"/>
  <c r="G34" i="15" s="1" a="1"/>
  <c r="G34" i="15" s="1"/>
  <c r="G33" i="15" s="1" a="1"/>
  <c r="G33" i="15" s="1"/>
  <c r="G32" i="15" s="1" a="1"/>
  <c r="G32" i="15" s="1"/>
  <c r="G31" i="15" s="1" a="1"/>
  <c r="G31" i="15" s="1"/>
  <c r="G30" i="15" s="1" a="1"/>
  <c r="G30" i="15" s="1"/>
  <c r="G29" i="15" s="1" a="1"/>
  <c r="G29" i="15" s="1"/>
  <c r="G28" i="15" s="1" a="1"/>
  <c r="G28" i="15" s="1"/>
  <c r="G27" i="15" s="1" a="1"/>
  <c r="G27" i="15" s="1"/>
  <c r="G26" i="15" s="1" a="1"/>
  <c r="G26" i="15" s="1"/>
  <c r="G25" i="15" s="1" a="1"/>
  <c r="G25" i="15" s="1"/>
  <c r="G24" i="15" s="1" a="1"/>
  <c r="G24" i="15" s="1"/>
  <c r="G23" i="15" s="1" a="1"/>
  <c r="G23" i="15" s="1"/>
  <c r="G22" i="15" s="1" a="1"/>
  <c r="G22" i="15" s="1"/>
  <c r="G21" i="15" s="1" a="1"/>
  <c r="G21" i="15" s="1"/>
  <c r="G20" i="15" s="1" a="1"/>
  <c r="G20" i="15" s="1"/>
  <c r="G19" i="15" s="1" a="1"/>
  <c r="G19" i="15" s="1"/>
  <c r="G18" i="15" s="1" a="1"/>
  <c r="G18" i="15" s="1"/>
  <c r="G17" i="15" s="1" a="1"/>
  <c r="G17" i="15" s="1"/>
  <c r="G16" i="15" s="1" a="1"/>
  <c r="G16" i="15" s="1"/>
  <c r="G15" i="15" s="1" a="1"/>
  <c r="G15" i="15" s="1"/>
  <c r="G14" i="15" s="1" a="1"/>
  <c r="G14" i="15" s="1"/>
  <c r="G13" i="15" s="1" a="1"/>
  <c r="G13" i="15" s="1"/>
  <c r="G12" i="15" s="1" a="1"/>
  <c r="G12" i="15" s="1"/>
  <c r="G11" i="15" s="1" a="1"/>
  <c r="G11" i="15" s="1"/>
  <c r="G10" i="15" s="1" a="1"/>
  <c r="G10" i="15" s="1"/>
  <c r="G9" i="15" s="1" a="1"/>
  <c r="G9" i="15" s="1"/>
  <c r="G8" i="15" s="1" a="1"/>
  <c r="G8" i="15" s="1"/>
  <c r="G7" i="15" s="1" a="1"/>
  <c r="G7" i="15" s="1"/>
  <c r="A49" i="15"/>
  <c r="I48" i="15"/>
  <c r="I47" i="15" s="1"/>
  <c r="I46" i="15" s="1"/>
  <c r="I45" i="15" s="1"/>
  <c r="I44" i="15" s="1"/>
  <c r="I43" i="15" s="1"/>
  <c r="I42" i="15" s="1"/>
  <c r="I41" i="15" s="1"/>
  <c r="I40" i="15" s="1"/>
  <c r="I39" i="15" s="1"/>
  <c r="I38" i="15" s="1"/>
  <c r="I37" i="15" s="1"/>
  <c r="I36" i="15" s="1"/>
  <c r="I35" i="15" s="1"/>
  <c r="I34" i="15" s="1"/>
  <c r="I33" i="15" s="1"/>
  <c r="I32" i="15" s="1"/>
  <c r="I31" i="15" s="1"/>
  <c r="I30" i="15" s="1"/>
  <c r="I29" i="15" s="1"/>
  <c r="I28" i="15" s="1"/>
  <c r="I27" i="15" s="1"/>
  <c r="I26" i="15" s="1"/>
  <c r="I25" i="15" s="1"/>
  <c r="I24" i="15" s="1"/>
  <c r="I23" i="15" s="1"/>
  <c r="I22" i="15" s="1"/>
  <c r="I21" i="15" s="1"/>
  <c r="I20" i="15" s="1"/>
  <c r="I19" i="15" s="1"/>
  <c r="I18" i="15" s="1"/>
  <c r="I17" i="15" s="1"/>
  <c r="I16" i="15" s="1"/>
  <c r="I15" i="15" s="1"/>
  <c r="I14" i="15" s="1"/>
  <c r="I13" i="15" s="1"/>
  <c r="I12" i="15" s="1"/>
  <c r="I11" i="15" s="1"/>
  <c r="I10" i="15" s="1"/>
  <c r="I9" i="15" s="1"/>
  <c r="I8" i="15" s="1"/>
  <c r="I7" i="15" s="1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BM4" i="5"/>
  <c r="BF3" i="15" l="1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81" i="6"/>
  <c r="C79" i="6"/>
  <c r="C77" i="6"/>
  <c r="C75" i="6"/>
  <c r="C73" i="6"/>
  <c r="C71" i="6"/>
  <c r="C69" i="6"/>
  <c r="C67" i="6"/>
  <c r="C65" i="6"/>
  <c r="C63" i="6"/>
  <c r="C61" i="6"/>
  <c r="C59" i="6"/>
  <c r="BE9" i="6"/>
  <c r="AS6" i="15"/>
  <c r="AO51" i="15"/>
  <c r="Y51" i="15"/>
  <c r="AO53" i="15"/>
  <c r="Y53" i="15"/>
  <c r="AO55" i="15"/>
  <c r="Y55" i="15"/>
  <c r="AO57" i="15"/>
  <c r="Y57" i="15"/>
  <c r="AO81" i="15"/>
  <c r="Y81" i="15"/>
  <c r="AO79" i="15"/>
  <c r="Y79" i="15"/>
  <c r="AO77" i="15"/>
  <c r="Y77" i="15"/>
  <c r="AO75" i="15"/>
  <c r="Y75" i="15"/>
  <c r="AO73" i="15"/>
  <c r="Y73" i="15"/>
  <c r="AO71" i="15"/>
  <c r="Y71" i="15"/>
  <c r="AO69" i="15"/>
  <c r="Y69" i="15"/>
  <c r="AO67" i="15"/>
  <c r="Y67" i="15"/>
  <c r="AO65" i="15"/>
  <c r="Y65" i="15"/>
  <c r="AO63" i="15"/>
  <c r="Y63" i="15"/>
  <c r="AO61" i="15"/>
  <c r="Y61" i="15"/>
  <c r="AO59" i="15"/>
  <c r="Y59" i="15"/>
  <c r="AQ81" i="6"/>
  <c r="AA81" i="6"/>
  <c r="AA79" i="6"/>
  <c r="AQ79" i="6"/>
  <c r="AQ77" i="6"/>
  <c r="AA77" i="6"/>
  <c r="AA75" i="6"/>
  <c r="AQ75" i="6"/>
  <c r="AQ73" i="6"/>
  <c r="AA73" i="6"/>
  <c r="AA71" i="6"/>
  <c r="AQ71" i="6"/>
  <c r="AQ69" i="6"/>
  <c r="AA69" i="6"/>
  <c r="AA67" i="6"/>
  <c r="AQ67" i="6"/>
  <c r="AQ65" i="6"/>
  <c r="AA65" i="6"/>
  <c r="AA63" i="6"/>
  <c r="AQ63" i="6"/>
  <c r="AQ61" i="6"/>
  <c r="AA61" i="6"/>
  <c r="AA59" i="6"/>
  <c r="AQ59" i="6"/>
  <c r="AO7" i="15"/>
  <c r="Y7" i="15"/>
  <c r="AO9" i="15"/>
  <c r="Y9" i="15"/>
  <c r="AO11" i="15"/>
  <c r="Y11" i="15"/>
  <c r="AO13" i="15"/>
  <c r="Y13" i="15"/>
  <c r="AO15" i="15"/>
  <c r="Y15" i="15"/>
  <c r="AO17" i="15"/>
  <c r="Y17" i="15"/>
  <c r="AO19" i="15"/>
  <c r="Y19" i="15"/>
  <c r="AO21" i="15"/>
  <c r="Y21" i="15"/>
  <c r="AO23" i="15"/>
  <c r="Y23" i="15"/>
  <c r="AO25" i="15"/>
  <c r="Y25" i="15"/>
  <c r="AO27" i="15"/>
  <c r="Y27" i="15"/>
  <c r="AO29" i="15"/>
  <c r="Y29" i="15"/>
  <c r="AO31" i="15"/>
  <c r="Y31" i="15"/>
  <c r="AO33" i="15"/>
  <c r="Y33" i="15"/>
  <c r="AO35" i="15"/>
  <c r="Y35" i="15"/>
  <c r="AO37" i="15"/>
  <c r="Y37" i="15"/>
  <c r="AO39" i="15"/>
  <c r="Y39" i="15"/>
  <c r="AO41" i="15"/>
  <c r="Y41" i="15"/>
  <c r="AO43" i="15"/>
  <c r="Y43" i="15"/>
  <c r="AO45" i="15"/>
  <c r="Y45" i="15"/>
  <c r="AO47" i="15"/>
  <c r="Y47" i="15"/>
  <c r="AO8" i="15"/>
  <c r="Y8" i="15"/>
  <c r="Y10" i="15"/>
  <c r="AO10" i="15"/>
  <c r="AO12" i="15"/>
  <c r="Y12" i="15"/>
  <c r="Y14" i="15"/>
  <c r="AO14" i="15"/>
  <c r="AO16" i="15"/>
  <c r="Y16" i="15"/>
  <c r="Y18" i="15"/>
  <c r="AO18" i="15"/>
  <c r="AO20" i="15"/>
  <c r="Y20" i="15"/>
  <c r="Y22" i="15"/>
  <c r="AO22" i="15"/>
  <c r="AO24" i="15"/>
  <c r="Y24" i="15"/>
  <c r="Y26" i="15"/>
  <c r="AO26" i="15"/>
  <c r="AO28" i="15"/>
  <c r="Y28" i="15"/>
  <c r="Y30" i="15"/>
  <c r="AO30" i="15"/>
  <c r="AO32" i="15"/>
  <c r="Y32" i="15"/>
  <c r="Y34" i="15"/>
  <c r="AO34" i="15"/>
  <c r="AO36" i="15"/>
  <c r="Y36" i="15"/>
  <c r="Y38" i="15"/>
  <c r="AO38" i="15"/>
  <c r="AO40" i="15"/>
  <c r="Y40" i="15"/>
  <c r="Y42" i="15"/>
  <c r="AO42" i="15"/>
  <c r="AO44" i="15"/>
  <c r="Y44" i="15"/>
  <c r="Y46" i="15"/>
  <c r="AO46" i="15"/>
  <c r="AO48" i="15"/>
  <c r="Y48" i="15"/>
  <c r="AO49" i="15"/>
  <c r="Y49" i="15"/>
  <c r="Y50" i="15"/>
  <c r="AO50" i="15"/>
  <c r="AO52" i="15"/>
  <c r="Y52" i="15"/>
  <c r="Y54" i="15"/>
  <c r="AO54" i="15"/>
  <c r="AO56" i="15"/>
  <c r="Y56" i="15"/>
  <c r="Y82" i="15"/>
  <c r="AO82" i="15"/>
  <c r="AO80" i="15"/>
  <c r="Y80" i="15"/>
  <c r="Y78" i="15"/>
  <c r="AO78" i="15"/>
  <c r="AO76" i="15"/>
  <c r="Y76" i="15"/>
  <c r="Y74" i="15"/>
  <c r="AO74" i="15"/>
  <c r="AO72" i="15"/>
  <c r="Y72" i="15"/>
  <c r="Y70" i="15"/>
  <c r="AO70" i="15"/>
  <c r="AO68" i="15"/>
  <c r="Y68" i="15"/>
  <c r="Y66" i="15"/>
  <c r="AO66" i="15"/>
  <c r="AO64" i="15"/>
  <c r="Y64" i="15"/>
  <c r="Y62" i="15"/>
  <c r="AO62" i="15"/>
  <c r="AO60" i="15"/>
  <c r="Y60" i="15"/>
  <c r="Y58" i="15"/>
  <c r="AO58" i="15"/>
  <c r="AQ82" i="6"/>
  <c r="AA82" i="6"/>
  <c r="AQ80" i="6"/>
  <c r="AA80" i="6"/>
  <c r="AQ78" i="6"/>
  <c r="AA78" i="6"/>
  <c r="AQ76" i="6"/>
  <c r="AA76" i="6"/>
  <c r="AQ74" i="6"/>
  <c r="AA74" i="6"/>
  <c r="AQ72" i="6"/>
  <c r="AA72" i="6"/>
  <c r="AQ70" i="6"/>
  <c r="AA70" i="6"/>
  <c r="AQ68" i="6"/>
  <c r="AA68" i="6"/>
  <c r="AQ66" i="6"/>
  <c r="AA66" i="6"/>
  <c r="AQ64" i="6"/>
  <c r="AA64" i="6"/>
  <c r="AQ62" i="6"/>
  <c r="AA62" i="6"/>
  <c r="AQ60" i="6"/>
  <c r="AA60" i="6"/>
  <c r="AQ58" i="6"/>
  <c r="AA58" i="6"/>
  <c r="BD7" i="6"/>
  <c r="BD82" i="6"/>
  <c r="BD80" i="6"/>
  <c r="BD78" i="6"/>
  <c r="BD76" i="6"/>
  <c r="BD74" i="6"/>
  <c r="BD72" i="6"/>
  <c r="BD70" i="6"/>
  <c r="BD68" i="6"/>
  <c r="BD66" i="6"/>
  <c r="BD64" i="6"/>
  <c r="BD62" i="6"/>
  <c r="BD60" i="6"/>
  <c r="BD58" i="6"/>
  <c r="BD56" i="6"/>
  <c r="BD54" i="6"/>
  <c r="BD52" i="6"/>
  <c r="BD50" i="6"/>
  <c r="BD48" i="6"/>
  <c r="BD46" i="6"/>
  <c r="BD44" i="6"/>
  <c r="BD42" i="6"/>
  <c r="BD40" i="6"/>
  <c r="BD38" i="6"/>
  <c r="BD36" i="6"/>
  <c r="BD34" i="6"/>
  <c r="BD32" i="6"/>
  <c r="BD30" i="6"/>
  <c r="BD28" i="6"/>
  <c r="BD26" i="6"/>
  <c r="BD24" i="6"/>
  <c r="BD22" i="6"/>
  <c r="BD20" i="6"/>
  <c r="BD18" i="6"/>
  <c r="BD16" i="6"/>
  <c r="BD14" i="6"/>
  <c r="BD12" i="6"/>
  <c r="BD10" i="6"/>
  <c r="BD8" i="6"/>
  <c r="BD81" i="6"/>
  <c r="BD79" i="6"/>
  <c r="BD77" i="6"/>
  <c r="BD75" i="6"/>
  <c r="BD73" i="6"/>
  <c r="BD71" i="6"/>
  <c r="BD69" i="6"/>
  <c r="BD67" i="6"/>
  <c r="BD65" i="6"/>
  <c r="BD63" i="6"/>
  <c r="BD61" i="6"/>
  <c r="BD59" i="6"/>
  <c r="BD57" i="6"/>
  <c r="BD55" i="6"/>
  <c r="BD53" i="6"/>
  <c r="BD51" i="6"/>
  <c r="BD49" i="6"/>
  <c r="BD47" i="6"/>
  <c r="BD45" i="6"/>
  <c r="BD43" i="6"/>
  <c r="BD41" i="6"/>
  <c r="BD39" i="6"/>
  <c r="BD37" i="6"/>
  <c r="BD35" i="6"/>
  <c r="BD33" i="6"/>
  <c r="BD31" i="6"/>
  <c r="BD29" i="6"/>
  <c r="BD27" i="6"/>
  <c r="BD25" i="6"/>
  <c r="BD23" i="6"/>
  <c r="BD21" i="6"/>
  <c r="BD19" i="6"/>
  <c r="BD17" i="6"/>
  <c r="BD15" i="6"/>
  <c r="BD13" i="6"/>
  <c r="BD11" i="6"/>
  <c r="BH6" i="6"/>
  <c r="AL6" i="6"/>
  <c r="D22" i="7" s="1"/>
  <c r="D52" i="7" s="1"/>
  <c r="AJ6" i="15"/>
  <c r="C8" i="15"/>
  <c r="C10" i="15"/>
  <c r="C12" i="15"/>
  <c r="C14" i="15"/>
  <c r="C16" i="15"/>
  <c r="C18" i="15"/>
  <c r="C20" i="15"/>
  <c r="C22" i="15"/>
  <c r="C24" i="15"/>
  <c r="C26" i="15"/>
  <c r="C28" i="15"/>
  <c r="C30" i="15"/>
  <c r="C32" i="15"/>
  <c r="C34" i="15"/>
  <c r="C36" i="15"/>
  <c r="C38" i="15"/>
  <c r="C40" i="15"/>
  <c r="C42" i="15"/>
  <c r="C44" i="15"/>
  <c r="C46" i="15"/>
  <c r="C48" i="15"/>
  <c r="C49" i="15"/>
  <c r="C50" i="15"/>
  <c r="C52" i="15"/>
  <c r="C54" i="15"/>
  <c r="C56" i="15"/>
  <c r="C82" i="15"/>
  <c r="C80" i="15"/>
  <c r="C78" i="15"/>
  <c r="C76" i="15"/>
  <c r="C74" i="15"/>
  <c r="C72" i="15"/>
  <c r="C70" i="15"/>
  <c r="C68" i="15"/>
  <c r="C66" i="15"/>
  <c r="C64" i="15"/>
  <c r="C62" i="15"/>
  <c r="C60" i="15"/>
  <c r="C58" i="15"/>
  <c r="C7" i="15"/>
  <c r="C9" i="15"/>
  <c r="C11" i="15"/>
  <c r="C13" i="15"/>
  <c r="C15" i="15"/>
  <c r="C17" i="15"/>
  <c r="C19" i="15"/>
  <c r="C21" i="15"/>
  <c r="C23" i="15"/>
  <c r="C25" i="15"/>
  <c r="C27" i="15"/>
  <c r="C29" i="15"/>
  <c r="C31" i="15"/>
  <c r="C33" i="15"/>
  <c r="C35" i="15"/>
  <c r="C37" i="15"/>
  <c r="C39" i="15"/>
  <c r="C41" i="15"/>
  <c r="C43" i="15"/>
  <c r="C45" i="15"/>
  <c r="C47" i="15"/>
  <c r="C51" i="15"/>
  <c r="C53" i="15"/>
  <c r="C55" i="15"/>
  <c r="C57" i="15"/>
  <c r="C81" i="15"/>
  <c r="C79" i="15"/>
  <c r="C77" i="15"/>
  <c r="C75" i="15"/>
  <c r="C73" i="15"/>
  <c r="C71" i="15"/>
  <c r="C69" i="15"/>
  <c r="C67" i="15"/>
  <c r="C65" i="15"/>
  <c r="C63" i="15"/>
  <c r="C61" i="15"/>
  <c r="C59" i="15"/>
  <c r="K48" i="6"/>
  <c r="K47" i="6" s="1"/>
  <c r="K46" i="6" s="1"/>
  <c r="K45" i="6" s="1"/>
  <c r="K44" i="6" s="1"/>
  <c r="K43" i="6" s="1"/>
  <c r="K42" i="6" s="1"/>
  <c r="K41" i="6" s="1"/>
  <c r="K40" i="6" s="1"/>
  <c r="K39" i="6" s="1"/>
  <c r="K38" i="6" s="1"/>
  <c r="K37" i="6" s="1"/>
  <c r="K36" i="6" s="1"/>
  <c r="K35" i="6" s="1"/>
  <c r="K34" i="6" s="1"/>
  <c r="K33" i="6" s="1"/>
  <c r="K32" i="6" s="1"/>
  <c r="K31" i="6" s="1"/>
  <c r="K30" i="6" s="1"/>
  <c r="K29" i="6" s="1"/>
  <c r="K28" i="6" s="1"/>
  <c r="K27" i="6" s="1"/>
  <c r="K26" i="6" s="1"/>
  <c r="K25" i="6" s="1"/>
  <c r="K24" i="6" s="1"/>
  <c r="K23" i="6" s="1"/>
  <c r="K22" i="6" s="1"/>
  <c r="K21" i="6" s="1"/>
  <c r="K20" i="6" s="1"/>
  <c r="K19" i="6" s="1"/>
  <c r="K18" i="6" s="1"/>
  <c r="K17" i="6" s="1"/>
  <c r="K16" i="6" s="1"/>
  <c r="K15" i="6" s="1"/>
  <c r="K14" i="6" s="1"/>
  <c r="K13" i="6" s="1"/>
  <c r="K12" i="6" s="1"/>
  <c r="K11" i="6" s="1"/>
  <c r="K10" i="6" s="1"/>
  <c r="K9" i="6" s="1"/>
  <c r="K8" i="6" s="1"/>
  <c r="K7" i="6" s="1"/>
  <c r="E9" i="7"/>
  <c r="C3" i="13"/>
  <c r="C3" i="4"/>
  <c r="BB6" i="8"/>
  <c r="BA6" i="8"/>
  <c r="AZ6" i="8"/>
  <c r="BD6" i="8"/>
  <c r="BC6" i="8"/>
  <c r="AY6" i="8"/>
  <c r="AX6" i="8"/>
  <c r="AW46" i="8"/>
  <c r="AW47" i="8"/>
  <c r="AW48" i="8"/>
  <c r="AW49" i="8"/>
  <c r="AW50" i="8"/>
  <c r="AW51" i="8"/>
  <c r="AW52" i="8"/>
  <c r="AW53" i="8"/>
  <c r="AW54" i="8"/>
  <c r="AW55" i="8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W70" i="8"/>
  <c r="AW71" i="8"/>
  <c r="AW72" i="8"/>
  <c r="AW73" i="8"/>
  <c r="AW74" i="8"/>
  <c r="AW75" i="8"/>
  <c r="AW76" i="8"/>
  <c r="AW77" i="8"/>
  <c r="AW78" i="8"/>
  <c r="AW79" i="8"/>
  <c r="AW80" i="8"/>
  <c r="AW81" i="8"/>
  <c r="AW82" i="8"/>
  <c r="AW83" i="8"/>
  <c r="AW84" i="8"/>
  <c r="AW85" i="8"/>
  <c r="AW86" i="8"/>
  <c r="AW87" i="8"/>
  <c r="AW88" i="8"/>
  <c r="AW89" i="8"/>
  <c r="AW90" i="8"/>
  <c r="AW91" i="8"/>
  <c r="AW92" i="8"/>
  <c r="AW93" i="8"/>
  <c r="AW94" i="8"/>
  <c r="AW95" i="8"/>
  <c r="AW96" i="8"/>
  <c r="AW97" i="8"/>
  <c r="AW98" i="8"/>
  <c r="AW99" i="8"/>
  <c r="AW100" i="8"/>
  <c r="AW101" i="8"/>
  <c r="AW102" i="8"/>
  <c r="AW103" i="8"/>
  <c r="AW104" i="8"/>
  <c r="AW105" i="8"/>
  <c r="AW106" i="8"/>
  <c r="AW107" i="8"/>
  <c r="AW108" i="8"/>
  <c r="AW109" i="8"/>
  <c r="AW110" i="8"/>
  <c r="AW11" i="8"/>
  <c r="AW12" i="8"/>
  <c r="AW13" i="8"/>
  <c r="AW14" i="8"/>
  <c r="AW15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28" i="8"/>
  <c r="AW29" i="8"/>
  <c r="AW30" i="8"/>
  <c r="AW31" i="8"/>
  <c r="AW32" i="8"/>
  <c r="AW33" i="8"/>
  <c r="AW34" i="8"/>
  <c r="AW35" i="8"/>
  <c r="AW36" i="8"/>
  <c r="AW37" i="8"/>
  <c r="AW38" i="8"/>
  <c r="AW39" i="8"/>
  <c r="AW40" i="8"/>
  <c r="AW41" i="8"/>
  <c r="AW42" i="8"/>
  <c r="AW43" i="8"/>
  <c r="AW44" i="8"/>
  <c r="AW45" i="8"/>
  <c r="AW9" i="8"/>
  <c r="AW10" i="8"/>
  <c r="AY9" i="8"/>
  <c r="AZ9" i="8"/>
  <c r="BA9" i="8"/>
  <c r="BB9" i="8"/>
  <c r="BC9" i="8"/>
  <c r="BD9" i="8"/>
  <c r="AX9" i="8"/>
  <c r="B70" i="8"/>
  <c r="U70" i="8"/>
  <c r="B71" i="8"/>
  <c r="U71" i="8"/>
  <c r="B72" i="8"/>
  <c r="U72" i="8"/>
  <c r="B73" i="8"/>
  <c r="U73" i="8"/>
  <c r="B74" i="8"/>
  <c r="U74" i="8"/>
  <c r="B75" i="8"/>
  <c r="U75" i="8"/>
  <c r="B76" i="8"/>
  <c r="U76" i="8"/>
  <c r="B77" i="8"/>
  <c r="U77" i="8"/>
  <c r="B78" i="8"/>
  <c r="U78" i="8"/>
  <c r="B79" i="8"/>
  <c r="U79" i="8"/>
  <c r="B80" i="8"/>
  <c r="U80" i="8"/>
  <c r="B81" i="8"/>
  <c r="U81" i="8"/>
  <c r="B82" i="8"/>
  <c r="U82" i="8"/>
  <c r="B83" i="8"/>
  <c r="U83" i="8"/>
  <c r="B84" i="8"/>
  <c r="U84" i="8"/>
  <c r="B85" i="8"/>
  <c r="U85" i="8"/>
  <c r="B86" i="8"/>
  <c r="U86" i="8"/>
  <c r="B87" i="8"/>
  <c r="U87" i="8"/>
  <c r="B88" i="8"/>
  <c r="U88" i="8"/>
  <c r="B89" i="8"/>
  <c r="U89" i="8"/>
  <c r="B90" i="8"/>
  <c r="U90" i="8"/>
  <c r="B91" i="8"/>
  <c r="U91" i="8"/>
  <c r="B92" i="8"/>
  <c r="U92" i="8"/>
  <c r="B93" i="8"/>
  <c r="U93" i="8"/>
  <c r="B94" i="8"/>
  <c r="U94" i="8"/>
  <c r="B95" i="8"/>
  <c r="U95" i="8"/>
  <c r="B96" i="8"/>
  <c r="U96" i="8"/>
  <c r="B97" i="8"/>
  <c r="U97" i="8"/>
  <c r="B98" i="8"/>
  <c r="U98" i="8"/>
  <c r="B99" i="8"/>
  <c r="U99" i="8"/>
  <c r="B100" i="8"/>
  <c r="U100" i="8"/>
  <c r="B101" i="8"/>
  <c r="U101" i="8"/>
  <c r="B102" i="8"/>
  <c r="U102" i="8"/>
  <c r="B103" i="8"/>
  <c r="U103" i="8"/>
  <c r="B104" i="8"/>
  <c r="U104" i="8"/>
  <c r="B105" i="8"/>
  <c r="U105" i="8"/>
  <c r="B106" i="8"/>
  <c r="U106" i="8"/>
  <c r="B107" i="8"/>
  <c r="U107" i="8"/>
  <c r="B108" i="8"/>
  <c r="U108" i="8"/>
  <c r="B109" i="8"/>
  <c r="U109" i="8"/>
  <c r="B110" i="8"/>
  <c r="U110" i="8"/>
  <c r="H126" i="13" l="1"/>
  <c r="H124" i="13"/>
  <c r="H122" i="13"/>
  <c r="H120" i="13"/>
  <c r="H118" i="13"/>
  <c r="H116" i="13"/>
  <c r="H114" i="13"/>
  <c r="H112" i="13"/>
  <c r="H110" i="13"/>
  <c r="H108" i="13"/>
  <c r="E127" i="13"/>
  <c r="E125" i="13"/>
  <c r="E123" i="13"/>
  <c r="E121" i="13"/>
  <c r="E119" i="13"/>
  <c r="E117" i="13"/>
  <c r="E115" i="13"/>
  <c r="E113" i="13"/>
  <c r="E111" i="13"/>
  <c r="E109" i="13"/>
  <c r="E107" i="13"/>
  <c r="H127" i="13"/>
  <c r="H125" i="13"/>
  <c r="H123" i="13"/>
  <c r="H121" i="13"/>
  <c r="H119" i="13"/>
  <c r="H117" i="13"/>
  <c r="H115" i="13"/>
  <c r="H111" i="13"/>
  <c r="H107" i="13"/>
  <c r="E124" i="13"/>
  <c r="E120" i="13"/>
  <c r="E116" i="13"/>
  <c r="E112" i="13"/>
  <c r="E108" i="13"/>
  <c r="H113" i="13"/>
  <c r="H109" i="13"/>
  <c r="E126" i="13"/>
  <c r="E122" i="13"/>
  <c r="E118" i="13"/>
  <c r="E114" i="13"/>
  <c r="E110" i="13"/>
  <c r="AP59" i="15"/>
  <c r="AG59" i="15"/>
  <c r="AP63" i="15"/>
  <c r="AG63" i="15"/>
  <c r="AP67" i="15"/>
  <c r="AG67" i="15"/>
  <c r="AP71" i="15"/>
  <c r="AG71" i="15"/>
  <c r="AP75" i="15"/>
  <c r="AG75" i="15"/>
  <c r="AP79" i="15"/>
  <c r="AG79" i="15"/>
  <c r="AP57" i="15"/>
  <c r="AG57" i="15"/>
  <c r="AP53" i="15"/>
  <c r="AG53" i="15"/>
  <c r="AP47" i="15"/>
  <c r="AG47" i="15"/>
  <c r="AP43" i="15"/>
  <c r="AG43" i="15"/>
  <c r="AP39" i="15"/>
  <c r="AG39" i="15"/>
  <c r="AP35" i="15"/>
  <c r="AG35" i="15"/>
  <c r="AP31" i="15"/>
  <c r="AG31" i="15"/>
  <c r="AP27" i="15"/>
  <c r="AG27" i="15"/>
  <c r="AP23" i="15"/>
  <c r="AG23" i="15"/>
  <c r="AP19" i="15"/>
  <c r="AG19" i="15"/>
  <c r="AP15" i="15"/>
  <c r="AG15" i="15"/>
  <c r="AP11" i="15"/>
  <c r="AG11" i="15"/>
  <c r="AP7" i="15"/>
  <c r="AG7" i="15"/>
  <c r="AP60" i="15"/>
  <c r="AG60" i="15"/>
  <c r="AP64" i="15"/>
  <c r="AG64" i="15"/>
  <c r="AP68" i="15"/>
  <c r="AG68" i="15"/>
  <c r="AP72" i="15"/>
  <c r="AG72" i="15"/>
  <c r="AP76" i="15"/>
  <c r="AG76" i="15"/>
  <c r="AP80" i="15"/>
  <c r="AG80" i="15"/>
  <c r="AP56" i="15"/>
  <c r="AG56" i="15"/>
  <c r="AP52" i="15"/>
  <c r="AG52" i="15"/>
  <c r="AP49" i="15"/>
  <c r="AG49" i="15"/>
  <c r="AP46" i="15"/>
  <c r="AG46" i="15"/>
  <c r="AP42" i="15"/>
  <c r="AG42" i="15"/>
  <c r="AP38" i="15"/>
  <c r="AG38" i="15"/>
  <c r="AP34" i="15"/>
  <c r="AG34" i="15"/>
  <c r="AP30" i="15"/>
  <c r="AG30" i="15"/>
  <c r="AP26" i="15"/>
  <c r="AG26" i="15"/>
  <c r="AP22" i="15"/>
  <c r="AG22" i="15"/>
  <c r="AP18" i="15"/>
  <c r="AG18" i="15"/>
  <c r="AP14" i="15"/>
  <c r="AG14" i="15"/>
  <c r="AP10" i="15"/>
  <c r="AG10" i="15"/>
  <c r="AR59" i="6"/>
  <c r="AI59" i="6"/>
  <c r="AR63" i="6"/>
  <c r="AI63" i="6"/>
  <c r="AR67" i="6"/>
  <c r="AI67" i="6"/>
  <c r="AR71" i="6"/>
  <c r="AI71" i="6"/>
  <c r="AR75" i="6"/>
  <c r="AI75" i="6"/>
  <c r="AR79" i="6"/>
  <c r="AI79" i="6"/>
  <c r="AR58" i="6"/>
  <c r="AI58" i="6"/>
  <c r="AR62" i="6"/>
  <c r="AI62" i="6"/>
  <c r="AR66" i="6"/>
  <c r="AI66" i="6"/>
  <c r="AR70" i="6"/>
  <c r="AI70" i="6"/>
  <c r="AR74" i="6"/>
  <c r="AI74" i="6"/>
  <c r="AR78" i="6"/>
  <c r="AI78" i="6"/>
  <c r="AR82" i="6"/>
  <c r="AI82" i="6"/>
  <c r="AP61" i="15"/>
  <c r="AG61" i="15"/>
  <c r="AP65" i="15"/>
  <c r="AG65" i="15"/>
  <c r="AP69" i="15"/>
  <c r="AG69" i="15"/>
  <c r="AP73" i="15"/>
  <c r="AG73" i="15"/>
  <c r="AP77" i="15"/>
  <c r="AG77" i="15"/>
  <c r="AP81" i="15"/>
  <c r="AG81" i="15"/>
  <c r="AP55" i="15"/>
  <c r="AG55" i="15"/>
  <c r="AP51" i="15"/>
  <c r="AG51" i="15"/>
  <c r="AP45" i="15"/>
  <c r="AG45" i="15"/>
  <c r="AP41" i="15"/>
  <c r="AG41" i="15"/>
  <c r="AP37" i="15"/>
  <c r="AG37" i="15"/>
  <c r="AP33" i="15"/>
  <c r="AG33" i="15"/>
  <c r="AP29" i="15"/>
  <c r="AG29" i="15"/>
  <c r="AP25" i="15"/>
  <c r="AG25" i="15"/>
  <c r="AP21" i="15"/>
  <c r="AG21" i="15"/>
  <c r="AP17" i="15"/>
  <c r="AG17" i="15"/>
  <c r="AP13" i="15"/>
  <c r="AG13" i="15"/>
  <c r="AP9" i="15"/>
  <c r="AG9" i="15"/>
  <c r="AP58" i="15"/>
  <c r="AG58" i="15"/>
  <c r="AP62" i="15"/>
  <c r="AG62" i="15"/>
  <c r="AP66" i="15"/>
  <c r="AG66" i="15"/>
  <c r="AP70" i="15"/>
  <c r="AG70" i="15"/>
  <c r="AP74" i="15"/>
  <c r="AG74" i="15"/>
  <c r="AP78" i="15"/>
  <c r="AG78" i="15"/>
  <c r="AP82" i="15"/>
  <c r="AG82" i="15"/>
  <c r="AP54" i="15"/>
  <c r="AG54" i="15"/>
  <c r="AP50" i="15"/>
  <c r="AG50" i="15"/>
  <c r="AP48" i="15"/>
  <c r="AG48" i="15"/>
  <c r="AP44" i="15"/>
  <c r="AG44" i="15"/>
  <c r="AP40" i="15"/>
  <c r="AG40" i="15"/>
  <c r="AP36" i="15"/>
  <c r="AG36" i="15"/>
  <c r="AP32" i="15"/>
  <c r="AG32" i="15"/>
  <c r="AP28" i="15"/>
  <c r="AG28" i="15"/>
  <c r="AP24" i="15"/>
  <c r="AG24" i="15"/>
  <c r="AP20" i="15"/>
  <c r="AG20" i="15"/>
  <c r="AP16" i="15"/>
  <c r="AG16" i="15"/>
  <c r="AP12" i="15"/>
  <c r="AG12" i="15"/>
  <c r="AP8" i="15"/>
  <c r="AG8" i="15"/>
  <c r="AR61" i="6"/>
  <c r="AI61" i="6"/>
  <c r="AR65" i="6"/>
  <c r="AI65" i="6"/>
  <c r="AR69" i="6"/>
  <c r="AI69" i="6"/>
  <c r="AR73" i="6"/>
  <c r="AI73" i="6"/>
  <c r="AR77" i="6"/>
  <c r="AI77" i="6"/>
  <c r="AR81" i="6"/>
  <c r="AI81" i="6"/>
  <c r="AR60" i="6"/>
  <c r="AI60" i="6"/>
  <c r="AR64" i="6"/>
  <c r="AI64" i="6"/>
  <c r="AR68" i="6"/>
  <c r="AI68" i="6"/>
  <c r="AR72" i="6"/>
  <c r="AI72" i="6"/>
  <c r="AR76" i="6"/>
  <c r="AI76" i="6"/>
  <c r="AR80" i="6"/>
  <c r="AI80" i="6"/>
  <c r="BF4" i="15"/>
  <c r="BE11" i="6"/>
  <c r="BE15" i="6"/>
  <c r="BE19" i="6"/>
  <c r="BE23" i="6"/>
  <c r="BE27" i="6"/>
  <c r="BE31" i="6"/>
  <c r="BE35" i="6"/>
  <c r="BE39" i="6"/>
  <c r="BE43" i="6"/>
  <c r="BE47" i="6"/>
  <c r="BE51" i="6"/>
  <c r="BE55" i="6"/>
  <c r="BE59" i="6"/>
  <c r="BE63" i="6"/>
  <c r="BE67" i="6"/>
  <c r="BE71" i="6"/>
  <c r="BE75" i="6"/>
  <c r="BE79" i="6"/>
  <c r="BE8" i="6"/>
  <c r="BE12" i="6"/>
  <c r="BE16" i="6"/>
  <c r="BE20" i="6"/>
  <c r="BE24" i="6"/>
  <c r="BE28" i="6"/>
  <c r="BE32" i="6"/>
  <c r="BE36" i="6"/>
  <c r="BE40" i="6"/>
  <c r="BE44" i="6"/>
  <c r="BE48" i="6"/>
  <c r="BE52" i="6"/>
  <c r="BE56" i="6"/>
  <c r="BE60" i="6"/>
  <c r="BE64" i="6"/>
  <c r="BE68" i="6"/>
  <c r="BE72" i="6"/>
  <c r="BE76" i="6"/>
  <c r="BE80" i="6"/>
  <c r="BE7" i="6"/>
  <c r="BE13" i="6"/>
  <c r="BE17" i="6"/>
  <c r="BE21" i="6"/>
  <c r="BE25" i="6"/>
  <c r="BE29" i="6"/>
  <c r="BE33" i="6"/>
  <c r="BE37" i="6"/>
  <c r="BE41" i="6"/>
  <c r="BE45" i="6"/>
  <c r="BE49" i="6"/>
  <c r="BE53" i="6"/>
  <c r="BE57" i="6"/>
  <c r="BE61" i="6"/>
  <c r="BE65" i="6"/>
  <c r="BE69" i="6"/>
  <c r="BE73" i="6"/>
  <c r="BE77" i="6"/>
  <c r="BE81" i="6"/>
  <c r="BE10" i="6"/>
  <c r="BE14" i="6"/>
  <c r="BE18" i="6"/>
  <c r="BE22" i="6"/>
  <c r="BE26" i="6"/>
  <c r="BE30" i="6"/>
  <c r="BE34" i="6"/>
  <c r="BE38" i="6"/>
  <c r="BE42" i="6"/>
  <c r="BE46" i="6"/>
  <c r="BE50" i="6"/>
  <c r="BE54" i="6"/>
  <c r="BE58" i="6"/>
  <c r="BE62" i="6"/>
  <c r="BE66" i="6"/>
  <c r="BE70" i="6"/>
  <c r="BE74" i="6"/>
  <c r="BE78" i="6"/>
  <c r="BE82" i="6"/>
  <c r="C105" i="13"/>
  <c r="E105" i="13" s="1"/>
  <c r="C103" i="13"/>
  <c r="E103" i="13" s="1"/>
  <c r="C101" i="13"/>
  <c r="E101" i="13" s="1"/>
  <c r="C99" i="13"/>
  <c r="E99" i="13" s="1"/>
  <c r="C97" i="13"/>
  <c r="E97" i="13" s="1"/>
  <c r="C95" i="13"/>
  <c r="E95" i="13" s="1"/>
  <c r="C93" i="13"/>
  <c r="E93" i="13" s="1"/>
  <c r="C91" i="13"/>
  <c r="E91" i="13" s="1"/>
  <c r="C89" i="13"/>
  <c r="E89" i="13" s="1"/>
  <c r="C87" i="13"/>
  <c r="E87" i="13" s="1"/>
  <c r="C85" i="13"/>
  <c r="E85" i="13" s="1"/>
  <c r="C83" i="13"/>
  <c r="E83" i="13" s="1"/>
  <c r="C81" i="13"/>
  <c r="E81" i="13" s="1"/>
  <c r="C79" i="13"/>
  <c r="E79" i="13" s="1"/>
  <c r="C77" i="13"/>
  <c r="E77" i="13" s="1"/>
  <c r="C75" i="13"/>
  <c r="E75" i="13" s="1"/>
  <c r="C73" i="13"/>
  <c r="E73" i="13" s="1"/>
  <c r="C71" i="13"/>
  <c r="E71" i="13" s="1"/>
  <c r="C69" i="13"/>
  <c r="E69" i="13" s="1"/>
  <c r="C67" i="13"/>
  <c r="E67" i="13" s="1"/>
  <c r="C65" i="13"/>
  <c r="E65" i="13" s="1"/>
  <c r="C63" i="13"/>
  <c r="E63" i="13" s="1"/>
  <c r="C61" i="13"/>
  <c r="E61" i="13" s="1"/>
  <c r="C59" i="13"/>
  <c r="E59" i="13" s="1"/>
  <c r="C57" i="13"/>
  <c r="E57" i="13" s="1"/>
  <c r="C55" i="13"/>
  <c r="E55" i="13" s="1"/>
  <c r="C53" i="13"/>
  <c r="E53" i="13" s="1"/>
  <c r="C51" i="13"/>
  <c r="E51" i="13" s="1"/>
  <c r="C49" i="13"/>
  <c r="E49" i="13" s="1"/>
  <c r="C47" i="13"/>
  <c r="E47" i="13" s="1"/>
  <c r="C45" i="13"/>
  <c r="E45" i="13" s="1"/>
  <c r="C43" i="13"/>
  <c r="E43" i="13" s="1"/>
  <c r="C41" i="13"/>
  <c r="E41" i="13" s="1"/>
  <c r="C39" i="13"/>
  <c r="E39" i="13" s="1"/>
  <c r="C37" i="13"/>
  <c r="E37" i="13" s="1"/>
  <c r="C35" i="13"/>
  <c r="E35" i="13" s="1"/>
  <c r="C33" i="13"/>
  <c r="E33" i="13" s="1"/>
  <c r="C31" i="13"/>
  <c r="E31" i="13" s="1"/>
  <c r="C29" i="13"/>
  <c r="E29" i="13" s="1"/>
  <c r="C27" i="13"/>
  <c r="E27" i="13" s="1"/>
  <c r="C25" i="13"/>
  <c r="E25" i="13" s="1"/>
  <c r="C23" i="13"/>
  <c r="E23" i="13" s="1"/>
  <c r="C21" i="13"/>
  <c r="E21" i="13" s="1"/>
  <c r="C19" i="13"/>
  <c r="E19" i="13" s="1"/>
  <c r="C17" i="13"/>
  <c r="E17" i="13" s="1"/>
  <c r="C15" i="13"/>
  <c r="E15" i="13" s="1"/>
  <c r="C13" i="13"/>
  <c r="E13" i="13" s="1"/>
  <c r="C106" i="13"/>
  <c r="E106" i="13" s="1"/>
  <c r="C104" i="13"/>
  <c r="E104" i="13" s="1"/>
  <c r="C102" i="13"/>
  <c r="E102" i="13" s="1"/>
  <c r="C100" i="13"/>
  <c r="E100" i="13" s="1"/>
  <c r="C98" i="13"/>
  <c r="E98" i="13" s="1"/>
  <c r="C96" i="13"/>
  <c r="E96" i="13" s="1"/>
  <c r="C94" i="13"/>
  <c r="E94" i="13" s="1"/>
  <c r="C92" i="13"/>
  <c r="E92" i="13" s="1"/>
  <c r="C90" i="13"/>
  <c r="E90" i="13" s="1"/>
  <c r="C88" i="13"/>
  <c r="E88" i="13" s="1"/>
  <c r="C86" i="13"/>
  <c r="E86" i="13" s="1"/>
  <c r="C84" i="13"/>
  <c r="E84" i="13" s="1"/>
  <c r="C82" i="13"/>
  <c r="E82" i="13" s="1"/>
  <c r="C80" i="13"/>
  <c r="E80" i="13" s="1"/>
  <c r="C78" i="13"/>
  <c r="E78" i="13" s="1"/>
  <c r="C76" i="13"/>
  <c r="E76" i="13" s="1"/>
  <c r="C74" i="13"/>
  <c r="E74" i="13" s="1"/>
  <c r="C72" i="13"/>
  <c r="E72" i="13" s="1"/>
  <c r="C70" i="13"/>
  <c r="E70" i="13" s="1"/>
  <c r="C68" i="13"/>
  <c r="E68" i="13" s="1"/>
  <c r="C66" i="13"/>
  <c r="E66" i="13" s="1"/>
  <c r="C64" i="13"/>
  <c r="E64" i="13" s="1"/>
  <c r="C62" i="13"/>
  <c r="E62" i="13" s="1"/>
  <c r="C60" i="13"/>
  <c r="E60" i="13" s="1"/>
  <c r="C58" i="13"/>
  <c r="E58" i="13" s="1"/>
  <c r="C56" i="13"/>
  <c r="E56" i="13" s="1"/>
  <c r="C54" i="13"/>
  <c r="E54" i="13" s="1"/>
  <c r="C52" i="13"/>
  <c r="E52" i="13" s="1"/>
  <c r="C50" i="13"/>
  <c r="E50" i="13" s="1"/>
  <c r="C48" i="13"/>
  <c r="E48" i="13" s="1"/>
  <c r="C46" i="13"/>
  <c r="E46" i="13" s="1"/>
  <c r="C44" i="13"/>
  <c r="E44" i="13" s="1"/>
  <c r="C42" i="13"/>
  <c r="E42" i="13" s="1"/>
  <c r="C40" i="13"/>
  <c r="E40" i="13" s="1"/>
  <c r="C38" i="13"/>
  <c r="E38" i="13" s="1"/>
  <c r="C36" i="13"/>
  <c r="E36" i="13" s="1"/>
  <c r="C34" i="13"/>
  <c r="E34" i="13" s="1"/>
  <c r="C32" i="13"/>
  <c r="E32" i="13" s="1"/>
  <c r="C30" i="13"/>
  <c r="E30" i="13" s="1"/>
  <c r="C28" i="13"/>
  <c r="E28" i="13" s="1"/>
  <c r="C26" i="13"/>
  <c r="E26" i="13" s="1"/>
  <c r="C24" i="13"/>
  <c r="E24" i="13" s="1"/>
  <c r="C22" i="13"/>
  <c r="E22" i="13" s="1"/>
  <c r="C20" i="13"/>
  <c r="E20" i="13" s="1"/>
  <c r="C18" i="13"/>
  <c r="E18" i="13" s="1"/>
  <c r="C16" i="13"/>
  <c r="E16" i="13" s="1"/>
  <c r="C14" i="13"/>
  <c r="E14" i="13" s="1"/>
  <c r="C11" i="13"/>
  <c r="E11" i="13" s="1"/>
  <c r="C9" i="13"/>
  <c r="E9" i="13" s="1"/>
  <c r="C7" i="13"/>
  <c r="E7" i="13" s="1"/>
  <c r="C12" i="13"/>
  <c r="E12" i="13" s="1"/>
  <c r="C10" i="13"/>
  <c r="E10" i="13" s="1"/>
  <c r="C8" i="13"/>
  <c r="E8" i="13" s="1"/>
  <c r="F27" i="4"/>
  <c r="G27" i="4" s="1"/>
  <c r="F91" i="4"/>
  <c r="G91" i="4" s="1"/>
  <c r="F59" i="4"/>
  <c r="G59" i="4" s="1"/>
  <c r="F96" i="13"/>
  <c r="H96" i="13" s="1"/>
  <c r="F98" i="13"/>
  <c r="H98" i="13" s="1"/>
  <c r="F100" i="13"/>
  <c r="H100" i="13" s="1"/>
  <c r="F102" i="13"/>
  <c r="H102" i="13" s="1"/>
  <c r="F104" i="13"/>
  <c r="H104" i="13" s="1"/>
  <c r="F106" i="13"/>
  <c r="H106" i="13" s="1"/>
  <c r="F49" i="13"/>
  <c r="H49" i="13" s="1"/>
  <c r="F51" i="13"/>
  <c r="H51" i="13" s="1"/>
  <c r="F53" i="13"/>
  <c r="H53" i="13" s="1"/>
  <c r="F55" i="13"/>
  <c r="H55" i="13" s="1"/>
  <c r="F57" i="13"/>
  <c r="H57" i="13" s="1"/>
  <c r="F59" i="13"/>
  <c r="H59" i="13" s="1"/>
  <c r="F61" i="13"/>
  <c r="H61" i="13" s="1"/>
  <c r="F63" i="13"/>
  <c r="H63" i="13" s="1"/>
  <c r="F65" i="13"/>
  <c r="H65" i="13" s="1"/>
  <c r="F67" i="13"/>
  <c r="H67" i="13" s="1"/>
  <c r="F69" i="13"/>
  <c r="H69" i="13" s="1"/>
  <c r="F71" i="13"/>
  <c r="H71" i="13" s="1"/>
  <c r="F73" i="13"/>
  <c r="H73" i="13" s="1"/>
  <c r="F75" i="13"/>
  <c r="H75" i="13" s="1"/>
  <c r="F77" i="13"/>
  <c r="H77" i="13" s="1"/>
  <c r="F79" i="13"/>
  <c r="H79" i="13" s="1"/>
  <c r="F81" i="13"/>
  <c r="H81" i="13" s="1"/>
  <c r="F83" i="13"/>
  <c r="H83" i="13" s="1"/>
  <c r="F85" i="13"/>
  <c r="H85" i="13" s="1"/>
  <c r="F87" i="13"/>
  <c r="H87" i="13" s="1"/>
  <c r="F89" i="13"/>
  <c r="H89" i="13" s="1"/>
  <c r="F91" i="13"/>
  <c r="H91" i="13" s="1"/>
  <c r="F93" i="13"/>
  <c r="H93" i="13" s="1"/>
  <c r="F95" i="13"/>
  <c r="H95" i="13" s="1"/>
  <c r="F9" i="13"/>
  <c r="H9" i="13" s="1"/>
  <c r="F10" i="13"/>
  <c r="H10" i="13" s="1"/>
  <c r="F13" i="13"/>
  <c r="H13" i="13" s="1"/>
  <c r="F14" i="13"/>
  <c r="H14" i="13" s="1"/>
  <c r="F17" i="13"/>
  <c r="H17" i="13" s="1"/>
  <c r="F18" i="13"/>
  <c r="H18" i="13" s="1"/>
  <c r="F21" i="13"/>
  <c r="H21" i="13" s="1"/>
  <c r="F22" i="13"/>
  <c r="H22" i="13" s="1"/>
  <c r="F25" i="13"/>
  <c r="H25" i="13" s="1"/>
  <c r="F26" i="13"/>
  <c r="H26" i="13" s="1"/>
  <c r="F29" i="13"/>
  <c r="H29" i="13" s="1"/>
  <c r="F30" i="13"/>
  <c r="H30" i="13" s="1"/>
  <c r="F33" i="13"/>
  <c r="H33" i="13" s="1"/>
  <c r="F34" i="13"/>
  <c r="H34" i="13" s="1"/>
  <c r="F37" i="13"/>
  <c r="H37" i="13" s="1"/>
  <c r="F38" i="13"/>
  <c r="H38" i="13" s="1"/>
  <c r="F39" i="13"/>
  <c r="H39" i="13" s="1"/>
  <c r="F40" i="13"/>
  <c r="H40" i="13" s="1"/>
  <c r="F43" i="13"/>
  <c r="H43" i="13" s="1"/>
  <c r="F44" i="13"/>
  <c r="H44" i="13" s="1"/>
  <c r="F47" i="13"/>
  <c r="H47" i="13" s="1"/>
  <c r="F97" i="13"/>
  <c r="H97" i="13" s="1"/>
  <c r="F99" i="13"/>
  <c r="H99" i="13" s="1"/>
  <c r="F101" i="13"/>
  <c r="H101" i="13" s="1"/>
  <c r="F103" i="13"/>
  <c r="H103" i="13" s="1"/>
  <c r="F105" i="13"/>
  <c r="H105" i="13" s="1"/>
  <c r="F48" i="13"/>
  <c r="H48" i="13" s="1"/>
  <c r="F50" i="13"/>
  <c r="H50" i="13" s="1"/>
  <c r="F52" i="13"/>
  <c r="H52" i="13" s="1"/>
  <c r="F54" i="13"/>
  <c r="H54" i="13" s="1"/>
  <c r="F56" i="13"/>
  <c r="H56" i="13" s="1"/>
  <c r="F58" i="13"/>
  <c r="H58" i="13" s="1"/>
  <c r="F60" i="13"/>
  <c r="H60" i="13" s="1"/>
  <c r="F62" i="13"/>
  <c r="H62" i="13" s="1"/>
  <c r="F64" i="13"/>
  <c r="H64" i="13" s="1"/>
  <c r="F66" i="13"/>
  <c r="H66" i="13" s="1"/>
  <c r="F68" i="13"/>
  <c r="H68" i="13" s="1"/>
  <c r="F70" i="13"/>
  <c r="H70" i="13" s="1"/>
  <c r="F72" i="13"/>
  <c r="H72" i="13" s="1"/>
  <c r="F74" i="13"/>
  <c r="H74" i="13" s="1"/>
  <c r="F76" i="13"/>
  <c r="H76" i="13" s="1"/>
  <c r="F78" i="13"/>
  <c r="H78" i="13" s="1"/>
  <c r="F80" i="13"/>
  <c r="H80" i="13" s="1"/>
  <c r="F82" i="13"/>
  <c r="H82" i="13" s="1"/>
  <c r="F84" i="13"/>
  <c r="H84" i="13" s="1"/>
  <c r="F86" i="13"/>
  <c r="H86" i="13" s="1"/>
  <c r="F88" i="13"/>
  <c r="H88" i="13" s="1"/>
  <c r="F90" i="13"/>
  <c r="H90" i="13" s="1"/>
  <c r="F92" i="13"/>
  <c r="H92" i="13" s="1"/>
  <c r="F94" i="13"/>
  <c r="H94" i="13" s="1"/>
  <c r="F7" i="13"/>
  <c r="H7" i="13" s="1"/>
  <c r="F8" i="13"/>
  <c r="H8" i="13" s="1"/>
  <c r="F11" i="13"/>
  <c r="H11" i="13" s="1"/>
  <c r="F12" i="13"/>
  <c r="H12" i="13" s="1"/>
  <c r="F15" i="13"/>
  <c r="H15" i="13" s="1"/>
  <c r="F16" i="13"/>
  <c r="H16" i="13" s="1"/>
  <c r="F19" i="13"/>
  <c r="H19" i="13" s="1"/>
  <c r="F20" i="13"/>
  <c r="H20" i="13" s="1"/>
  <c r="F23" i="13"/>
  <c r="H23" i="13" s="1"/>
  <c r="F24" i="13"/>
  <c r="H24" i="13" s="1"/>
  <c r="F27" i="13"/>
  <c r="H27" i="13" s="1"/>
  <c r="F28" i="13"/>
  <c r="H28" i="13" s="1"/>
  <c r="F31" i="13"/>
  <c r="H31" i="13" s="1"/>
  <c r="F32" i="13"/>
  <c r="H32" i="13" s="1"/>
  <c r="F35" i="13"/>
  <c r="H35" i="13" s="1"/>
  <c r="F36" i="13"/>
  <c r="H36" i="13" s="1"/>
  <c r="F45" i="13"/>
  <c r="H45" i="13" s="1"/>
  <c r="F42" i="13"/>
  <c r="H42" i="13" s="1"/>
  <c r="F46" i="13"/>
  <c r="H46" i="13" s="1"/>
  <c r="F41" i="13"/>
  <c r="H41" i="13" s="1"/>
  <c r="F101" i="4"/>
  <c r="G101" i="4" s="1"/>
  <c r="F75" i="4"/>
  <c r="F43" i="4"/>
  <c r="G43" i="4" s="1"/>
  <c r="G75" i="4"/>
  <c r="K3" i="4"/>
  <c r="N43" i="4" s="1"/>
  <c r="K3" i="13"/>
  <c r="C39" i="4"/>
  <c r="D39" i="4" s="1"/>
  <c r="C87" i="4"/>
  <c r="D87" i="4" s="1"/>
  <c r="F17" i="4"/>
  <c r="F35" i="4"/>
  <c r="F51" i="4"/>
  <c r="F67" i="4"/>
  <c r="F83" i="4"/>
  <c r="G83" i="4" s="1"/>
  <c r="F97" i="4"/>
  <c r="F7" i="4"/>
  <c r="G7" i="4" s="1"/>
  <c r="F99" i="4"/>
  <c r="F95" i="4"/>
  <c r="G95" i="4" s="1"/>
  <c r="F87" i="4"/>
  <c r="F79" i="4"/>
  <c r="G79" i="4" s="1"/>
  <c r="F71" i="4"/>
  <c r="F63" i="4"/>
  <c r="G63" i="4" s="1"/>
  <c r="F55" i="4"/>
  <c r="F47" i="4"/>
  <c r="F39" i="4"/>
  <c r="F31" i="4"/>
  <c r="F23" i="4"/>
  <c r="F9" i="4"/>
  <c r="C103" i="4"/>
  <c r="C71" i="4"/>
  <c r="D71" i="4" s="1"/>
  <c r="C11" i="4"/>
  <c r="C23" i="4"/>
  <c r="C55" i="4"/>
  <c r="C79" i="4"/>
  <c r="C95" i="4"/>
  <c r="F13" i="4"/>
  <c r="F21" i="4"/>
  <c r="F25" i="4"/>
  <c r="F29" i="4"/>
  <c r="F33" i="4"/>
  <c r="F37" i="4"/>
  <c r="F41" i="4"/>
  <c r="F45" i="4"/>
  <c r="F49" i="4"/>
  <c r="F53" i="4"/>
  <c r="F57" i="4"/>
  <c r="F61" i="4"/>
  <c r="F65" i="4"/>
  <c r="F69" i="4"/>
  <c r="F73" i="4"/>
  <c r="F77" i="4"/>
  <c r="F81" i="4"/>
  <c r="F85" i="4"/>
  <c r="F89" i="4"/>
  <c r="G89" i="4" s="1"/>
  <c r="F93" i="4"/>
  <c r="C63" i="4"/>
  <c r="C47" i="4"/>
  <c r="C31" i="4"/>
  <c r="C15" i="4"/>
  <c r="F106" i="4"/>
  <c r="F104" i="4"/>
  <c r="F105" i="4"/>
  <c r="F103" i="4"/>
  <c r="F19" i="4"/>
  <c r="F15" i="4"/>
  <c r="F11" i="4"/>
  <c r="C7" i="4"/>
  <c r="D7" i="4" s="1"/>
  <c r="C99" i="4"/>
  <c r="C91" i="4"/>
  <c r="C83" i="4"/>
  <c r="C75" i="4"/>
  <c r="C67" i="4"/>
  <c r="C59" i="4"/>
  <c r="C51" i="4"/>
  <c r="C43" i="4"/>
  <c r="C35" i="4"/>
  <c r="C27" i="4"/>
  <c r="C19" i="4"/>
  <c r="C8" i="4"/>
  <c r="C10" i="4"/>
  <c r="C12" i="4"/>
  <c r="C14" i="4"/>
  <c r="C16" i="4"/>
  <c r="C18" i="4"/>
  <c r="C20" i="4"/>
  <c r="C22" i="4"/>
  <c r="C24" i="4"/>
  <c r="C26" i="4"/>
  <c r="D26" i="4" s="1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4" i="4"/>
  <c r="C96" i="4"/>
  <c r="C98" i="4"/>
  <c r="C100" i="4"/>
  <c r="C102" i="4"/>
  <c r="C104" i="4"/>
  <c r="C106" i="4"/>
  <c r="F102" i="4"/>
  <c r="F100" i="4"/>
  <c r="F98" i="4"/>
  <c r="F96" i="4"/>
  <c r="F94" i="4"/>
  <c r="F92" i="4"/>
  <c r="F90" i="4"/>
  <c r="F88" i="4"/>
  <c r="F86" i="4"/>
  <c r="F84" i="4"/>
  <c r="F82" i="4"/>
  <c r="F80" i="4"/>
  <c r="F78" i="4"/>
  <c r="F76" i="4"/>
  <c r="F74" i="4"/>
  <c r="F72" i="4"/>
  <c r="F70" i="4"/>
  <c r="F68" i="4"/>
  <c r="F66" i="4"/>
  <c r="F64" i="4"/>
  <c r="F62" i="4"/>
  <c r="F60" i="4"/>
  <c r="F58" i="4"/>
  <c r="F56" i="4"/>
  <c r="F54" i="4"/>
  <c r="F52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F22" i="4"/>
  <c r="F20" i="4"/>
  <c r="F18" i="4"/>
  <c r="F16" i="4"/>
  <c r="F14" i="4"/>
  <c r="F12" i="4"/>
  <c r="F10" i="4"/>
  <c r="F8" i="4"/>
  <c r="C105" i="4"/>
  <c r="C101" i="4"/>
  <c r="C97" i="4"/>
  <c r="C93" i="4"/>
  <c r="C89" i="4"/>
  <c r="C85" i="4"/>
  <c r="C81" i="4"/>
  <c r="C77" i="4"/>
  <c r="C73" i="4"/>
  <c r="C69" i="4"/>
  <c r="C65" i="4"/>
  <c r="C61" i="4"/>
  <c r="C57" i="4"/>
  <c r="C53" i="4"/>
  <c r="C49" i="4"/>
  <c r="C45" i="4"/>
  <c r="C41" i="4"/>
  <c r="C37" i="4"/>
  <c r="C33" i="4"/>
  <c r="C29" i="4"/>
  <c r="C25" i="4"/>
  <c r="C21" i="4"/>
  <c r="C17" i="4"/>
  <c r="C13" i="4"/>
  <c r="C9" i="4"/>
  <c r="D90" i="4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9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10" i="8"/>
  <c r="CK1" i="5"/>
  <c r="CM1" i="5"/>
  <c r="CN1" i="5"/>
  <c r="CP1" i="5"/>
  <c r="CQ1" i="5"/>
  <c r="CR1" i="5"/>
  <c r="CS1" i="5"/>
  <c r="CT1" i="5"/>
  <c r="CU1" i="5"/>
  <c r="CV1" i="5"/>
  <c r="CW1" i="5"/>
  <c r="CX1" i="5"/>
  <c r="CY1" i="5"/>
  <c r="CZ1" i="5"/>
  <c r="CJ1" i="5"/>
  <c r="C9" i="8"/>
  <c r="AE9" i="8" s="1"/>
  <c r="D9" i="8"/>
  <c r="AF9" i="8" s="1"/>
  <c r="F9" i="8"/>
  <c r="AH9" i="8" s="1"/>
  <c r="G9" i="8"/>
  <c r="AI9" i="8" s="1"/>
  <c r="I9" i="8"/>
  <c r="AK9" i="8" s="1"/>
  <c r="J9" i="8"/>
  <c r="AL9" i="8" s="1"/>
  <c r="K9" i="8"/>
  <c r="AM9" i="8" s="1"/>
  <c r="L9" i="8"/>
  <c r="AN9" i="8" s="1"/>
  <c r="M9" i="8"/>
  <c r="AO9" i="8" s="1"/>
  <c r="N9" i="8"/>
  <c r="AP9" i="8" s="1"/>
  <c r="O9" i="8"/>
  <c r="AQ9" i="8" s="1"/>
  <c r="P9" i="8"/>
  <c r="AR9" i="8" s="1"/>
  <c r="Q9" i="8"/>
  <c r="AS9" i="8" s="1"/>
  <c r="R9" i="8"/>
  <c r="AT9" i="8" s="1"/>
  <c r="S9" i="8"/>
  <c r="AU9" i="8" s="1"/>
  <c r="R8" i="8"/>
  <c r="S8" i="8"/>
  <c r="D8" i="8"/>
  <c r="F8" i="8"/>
  <c r="G8" i="8"/>
  <c r="I8" i="8"/>
  <c r="J8" i="8"/>
  <c r="K8" i="8"/>
  <c r="L8" i="8"/>
  <c r="M8" i="8"/>
  <c r="N8" i="8"/>
  <c r="O8" i="8"/>
  <c r="P8" i="8"/>
  <c r="Q8" i="8"/>
  <c r="C8" i="8"/>
  <c r="AE8" i="8" s="1"/>
  <c r="P127" i="13" l="1"/>
  <c r="P125" i="13"/>
  <c r="P123" i="13"/>
  <c r="P121" i="13"/>
  <c r="P119" i="13"/>
  <c r="P117" i="13"/>
  <c r="P115" i="13"/>
  <c r="P113" i="13"/>
  <c r="P111" i="13"/>
  <c r="P109" i="13"/>
  <c r="P107" i="13"/>
  <c r="M126" i="13"/>
  <c r="M124" i="13"/>
  <c r="M122" i="13"/>
  <c r="M120" i="13"/>
  <c r="M118" i="13"/>
  <c r="M116" i="13"/>
  <c r="M114" i="13"/>
  <c r="M112" i="13"/>
  <c r="M110" i="13"/>
  <c r="M108" i="13"/>
  <c r="P124" i="13"/>
  <c r="P120" i="13"/>
  <c r="P116" i="13"/>
  <c r="P112" i="13"/>
  <c r="P108" i="13"/>
  <c r="M125" i="13"/>
  <c r="M121" i="13"/>
  <c r="M117" i="13"/>
  <c r="M113" i="13"/>
  <c r="M109" i="13"/>
  <c r="P126" i="13"/>
  <c r="P122" i="13"/>
  <c r="P118" i="13"/>
  <c r="P114" i="13"/>
  <c r="P110" i="13"/>
  <c r="M127" i="13"/>
  <c r="M123" i="13"/>
  <c r="M119" i="13"/>
  <c r="M115" i="13"/>
  <c r="M111" i="13"/>
  <c r="M107" i="13"/>
  <c r="N68" i="4"/>
  <c r="O68" i="4" s="1"/>
  <c r="K13" i="13"/>
  <c r="K15" i="13"/>
  <c r="K17" i="13"/>
  <c r="K19" i="13"/>
  <c r="K21" i="13"/>
  <c r="K23" i="13"/>
  <c r="K25" i="13"/>
  <c r="K27" i="13"/>
  <c r="K29" i="13"/>
  <c r="K31" i="13"/>
  <c r="K33" i="13"/>
  <c r="M33" i="13" s="1"/>
  <c r="K35" i="13"/>
  <c r="M35" i="13" s="1"/>
  <c r="K37" i="13"/>
  <c r="M37" i="13" s="1"/>
  <c r="K39" i="13"/>
  <c r="M39" i="13" s="1"/>
  <c r="K41" i="13"/>
  <c r="M41" i="13" s="1"/>
  <c r="K43" i="13"/>
  <c r="M43" i="13" s="1"/>
  <c r="K45" i="13"/>
  <c r="M45" i="13" s="1"/>
  <c r="K47" i="13"/>
  <c r="M47" i="13" s="1"/>
  <c r="K49" i="13"/>
  <c r="M49" i="13" s="1"/>
  <c r="K51" i="13"/>
  <c r="M51" i="13" s="1"/>
  <c r="K53" i="13"/>
  <c r="M53" i="13" s="1"/>
  <c r="K55" i="13"/>
  <c r="M55" i="13" s="1"/>
  <c r="K57" i="13"/>
  <c r="M57" i="13" s="1"/>
  <c r="K59" i="13"/>
  <c r="M59" i="13" s="1"/>
  <c r="K61" i="13"/>
  <c r="M61" i="13" s="1"/>
  <c r="K63" i="13"/>
  <c r="M63" i="13" s="1"/>
  <c r="K65" i="13"/>
  <c r="M65" i="13" s="1"/>
  <c r="K67" i="13"/>
  <c r="M67" i="13" s="1"/>
  <c r="K69" i="13"/>
  <c r="M69" i="13" s="1"/>
  <c r="K71" i="13"/>
  <c r="M71" i="13" s="1"/>
  <c r="K73" i="13"/>
  <c r="M73" i="13" s="1"/>
  <c r="K75" i="13"/>
  <c r="M75" i="13" s="1"/>
  <c r="K77" i="13"/>
  <c r="M77" i="13" s="1"/>
  <c r="K79" i="13"/>
  <c r="M79" i="13" s="1"/>
  <c r="K81" i="13"/>
  <c r="M81" i="13" s="1"/>
  <c r="K83" i="13"/>
  <c r="M83" i="13" s="1"/>
  <c r="K85" i="13"/>
  <c r="M85" i="13" s="1"/>
  <c r="K87" i="13"/>
  <c r="M87" i="13" s="1"/>
  <c r="K89" i="13"/>
  <c r="M89" i="13" s="1"/>
  <c r="K91" i="13"/>
  <c r="M91" i="13" s="1"/>
  <c r="K93" i="13"/>
  <c r="M93" i="13" s="1"/>
  <c r="K95" i="13"/>
  <c r="M95" i="13" s="1"/>
  <c r="K97" i="13"/>
  <c r="M97" i="13" s="1"/>
  <c r="K99" i="13"/>
  <c r="M99" i="13" s="1"/>
  <c r="K101" i="13"/>
  <c r="M101" i="13" s="1"/>
  <c r="K103" i="13"/>
  <c r="M103" i="13" s="1"/>
  <c r="K105" i="13"/>
  <c r="M105" i="13" s="1"/>
  <c r="K8" i="13"/>
  <c r="K10" i="13"/>
  <c r="K7" i="13"/>
  <c r="M7" i="13" s="1"/>
  <c r="K12" i="13"/>
  <c r="M12" i="13" s="1"/>
  <c r="K14" i="13"/>
  <c r="M14" i="13" s="1"/>
  <c r="K16" i="13"/>
  <c r="M16" i="13" s="1"/>
  <c r="K18" i="13"/>
  <c r="K20" i="13"/>
  <c r="M20" i="13" s="1"/>
  <c r="K22" i="13"/>
  <c r="K24" i="13"/>
  <c r="M24" i="13" s="1"/>
  <c r="K26" i="13"/>
  <c r="K28" i="13"/>
  <c r="M28" i="13" s="1"/>
  <c r="K30" i="13"/>
  <c r="K32" i="13"/>
  <c r="M32" i="13" s="1"/>
  <c r="K34" i="13"/>
  <c r="M34" i="13" s="1"/>
  <c r="K36" i="13"/>
  <c r="M36" i="13" s="1"/>
  <c r="K38" i="13"/>
  <c r="M38" i="13" s="1"/>
  <c r="K40" i="13"/>
  <c r="M40" i="13" s="1"/>
  <c r="K42" i="13"/>
  <c r="M42" i="13" s="1"/>
  <c r="K44" i="13"/>
  <c r="M44" i="13" s="1"/>
  <c r="K46" i="13"/>
  <c r="M46" i="13" s="1"/>
  <c r="K48" i="13"/>
  <c r="M48" i="13" s="1"/>
  <c r="K50" i="13"/>
  <c r="M50" i="13" s="1"/>
  <c r="K52" i="13"/>
  <c r="M52" i="13" s="1"/>
  <c r="K54" i="13"/>
  <c r="M54" i="13" s="1"/>
  <c r="K56" i="13"/>
  <c r="M56" i="13" s="1"/>
  <c r="K58" i="13"/>
  <c r="M58" i="13" s="1"/>
  <c r="K60" i="13"/>
  <c r="M60" i="13" s="1"/>
  <c r="K62" i="13"/>
  <c r="M62" i="13" s="1"/>
  <c r="K64" i="13"/>
  <c r="M64" i="13" s="1"/>
  <c r="K66" i="13"/>
  <c r="M66" i="13" s="1"/>
  <c r="K68" i="13"/>
  <c r="M68" i="13" s="1"/>
  <c r="K70" i="13"/>
  <c r="M70" i="13" s="1"/>
  <c r="K72" i="13"/>
  <c r="M72" i="13" s="1"/>
  <c r="K74" i="13"/>
  <c r="M74" i="13" s="1"/>
  <c r="K76" i="13"/>
  <c r="M76" i="13" s="1"/>
  <c r="K78" i="13"/>
  <c r="M78" i="13" s="1"/>
  <c r="K80" i="13"/>
  <c r="M80" i="13" s="1"/>
  <c r="K82" i="13"/>
  <c r="M82" i="13" s="1"/>
  <c r="K86" i="13"/>
  <c r="M86" i="13" s="1"/>
  <c r="K90" i="13"/>
  <c r="M90" i="13" s="1"/>
  <c r="K94" i="13"/>
  <c r="M94" i="13" s="1"/>
  <c r="K98" i="13"/>
  <c r="M98" i="13" s="1"/>
  <c r="K102" i="13"/>
  <c r="M102" i="13" s="1"/>
  <c r="K106" i="13"/>
  <c r="M106" i="13" s="1"/>
  <c r="K11" i="13"/>
  <c r="K84" i="13"/>
  <c r="M84" i="13" s="1"/>
  <c r="K88" i="13"/>
  <c r="M88" i="13" s="1"/>
  <c r="K92" i="13"/>
  <c r="M92" i="13" s="1"/>
  <c r="K96" i="13"/>
  <c r="M96" i="13" s="1"/>
  <c r="K100" i="13"/>
  <c r="M100" i="13" s="1"/>
  <c r="K104" i="13"/>
  <c r="M104" i="13" s="1"/>
  <c r="K9" i="13"/>
  <c r="M9" i="13" s="1"/>
  <c r="K17" i="4"/>
  <c r="L17" i="4" s="1"/>
  <c r="P7" i="8"/>
  <c r="AR8" i="8"/>
  <c r="N7" i="8"/>
  <c r="AP8" i="8"/>
  <c r="L7" i="8"/>
  <c r="AN8" i="8"/>
  <c r="J7" i="8"/>
  <c r="AL8" i="8"/>
  <c r="G7" i="8"/>
  <c r="AI8" i="8"/>
  <c r="D7" i="8"/>
  <c r="AF8" i="8"/>
  <c r="R7" i="8"/>
  <c r="AT8" i="8"/>
  <c r="Q7" i="8"/>
  <c r="AS8" i="8"/>
  <c r="O7" i="8"/>
  <c r="AQ8" i="8"/>
  <c r="M7" i="8"/>
  <c r="AO8" i="8"/>
  <c r="K7" i="8"/>
  <c r="AM8" i="8"/>
  <c r="I7" i="8"/>
  <c r="AK8" i="8"/>
  <c r="F7" i="8"/>
  <c r="AH8" i="8"/>
  <c r="S7" i="8"/>
  <c r="AU8" i="8"/>
  <c r="K90" i="4"/>
  <c r="L90" i="4" s="1"/>
  <c r="K10" i="4"/>
  <c r="L10" i="4" s="1"/>
  <c r="K79" i="4"/>
  <c r="L79" i="4" s="1"/>
  <c r="N13" i="4"/>
  <c r="O13" i="4" s="1"/>
  <c r="N99" i="4"/>
  <c r="O99" i="4" s="1"/>
  <c r="N11" i="4"/>
  <c r="O11" i="4" s="1"/>
  <c r="I7" i="4"/>
  <c r="K24" i="4"/>
  <c r="L24" i="4" s="1"/>
  <c r="K42" i="4"/>
  <c r="L42" i="4" s="1"/>
  <c r="K47" i="4"/>
  <c r="L47" i="4" s="1"/>
  <c r="K58" i="4"/>
  <c r="L58" i="4" s="1"/>
  <c r="N77" i="4"/>
  <c r="O77" i="4" s="1"/>
  <c r="N36" i="4"/>
  <c r="O36" i="4" s="1"/>
  <c r="N100" i="4"/>
  <c r="O100" i="4" s="1"/>
  <c r="K8" i="4"/>
  <c r="L8" i="4" s="1"/>
  <c r="K40" i="4"/>
  <c r="L40" i="4" s="1"/>
  <c r="K26" i="4"/>
  <c r="L26" i="4" s="1"/>
  <c r="K9" i="4"/>
  <c r="L9" i="4" s="1"/>
  <c r="K31" i="4"/>
  <c r="L31" i="4" s="1"/>
  <c r="K63" i="4"/>
  <c r="L63" i="4" s="1"/>
  <c r="K95" i="4"/>
  <c r="L95" i="4" s="1"/>
  <c r="K74" i="4"/>
  <c r="L74" i="4" s="1"/>
  <c r="K106" i="4"/>
  <c r="L106" i="4" s="1"/>
  <c r="N45" i="4"/>
  <c r="O45" i="4" s="1"/>
  <c r="N20" i="4"/>
  <c r="O20" i="4" s="1"/>
  <c r="N52" i="4"/>
  <c r="O52" i="4" s="1"/>
  <c r="N84" i="4"/>
  <c r="O84" i="4" s="1"/>
  <c r="N63" i="4"/>
  <c r="O63" i="4" s="1"/>
  <c r="K16" i="4"/>
  <c r="L16" i="4" s="1"/>
  <c r="K32" i="4"/>
  <c r="L32" i="4" s="1"/>
  <c r="K48" i="4"/>
  <c r="L48" i="4" s="1"/>
  <c r="K18" i="4"/>
  <c r="L18" i="4" s="1"/>
  <c r="K34" i="4"/>
  <c r="L34" i="4" s="1"/>
  <c r="K50" i="4"/>
  <c r="L50" i="4" s="1"/>
  <c r="K13" i="4"/>
  <c r="L13" i="4" s="1"/>
  <c r="K23" i="4"/>
  <c r="L23" i="4" s="1"/>
  <c r="K39" i="4"/>
  <c r="L39" i="4" s="1"/>
  <c r="K55" i="4"/>
  <c r="L55" i="4" s="1"/>
  <c r="K71" i="4"/>
  <c r="L71" i="4" s="1"/>
  <c r="K87" i="4"/>
  <c r="L87" i="4" s="1"/>
  <c r="K103" i="4"/>
  <c r="L103" i="4" s="1"/>
  <c r="K66" i="4"/>
  <c r="L66" i="4" s="1"/>
  <c r="K82" i="4"/>
  <c r="L82" i="4" s="1"/>
  <c r="K98" i="4"/>
  <c r="L98" i="4" s="1"/>
  <c r="N93" i="4"/>
  <c r="O93" i="4" s="1"/>
  <c r="N61" i="4"/>
  <c r="O61" i="4" s="1"/>
  <c r="N29" i="4"/>
  <c r="O29" i="4" s="1"/>
  <c r="N12" i="4"/>
  <c r="O12" i="4" s="1"/>
  <c r="N28" i="4"/>
  <c r="O28" i="4" s="1"/>
  <c r="N44" i="4"/>
  <c r="O44" i="4" s="1"/>
  <c r="N60" i="4"/>
  <c r="O60" i="4" s="1"/>
  <c r="N76" i="4"/>
  <c r="O76" i="4" s="1"/>
  <c r="N92" i="4"/>
  <c r="O92" i="4" s="1"/>
  <c r="N95" i="4"/>
  <c r="O95" i="4" s="1"/>
  <c r="N31" i="4"/>
  <c r="O31" i="4" s="1"/>
  <c r="N35" i="4"/>
  <c r="O35" i="4" s="1"/>
  <c r="N75" i="4"/>
  <c r="O75" i="4" s="1"/>
  <c r="K12" i="4"/>
  <c r="L12" i="4" s="1"/>
  <c r="K20" i="4"/>
  <c r="L20" i="4" s="1"/>
  <c r="K28" i="4"/>
  <c r="L28" i="4" s="1"/>
  <c r="K36" i="4"/>
  <c r="L36" i="4" s="1"/>
  <c r="K44" i="4"/>
  <c r="L44" i="4" s="1"/>
  <c r="K52" i="4"/>
  <c r="L52" i="4" s="1"/>
  <c r="K14" i="4"/>
  <c r="L14" i="4" s="1"/>
  <c r="K22" i="4"/>
  <c r="L22" i="4" s="1"/>
  <c r="K30" i="4"/>
  <c r="L30" i="4" s="1"/>
  <c r="K38" i="4"/>
  <c r="L38" i="4" s="1"/>
  <c r="K46" i="4"/>
  <c r="L46" i="4" s="1"/>
  <c r="K7" i="4"/>
  <c r="L7" i="4" s="1"/>
  <c r="K11" i="4"/>
  <c r="L11" i="4" s="1"/>
  <c r="K15" i="4"/>
  <c r="L15" i="4" s="1"/>
  <c r="K19" i="4"/>
  <c r="L19" i="4" s="1"/>
  <c r="K27" i="4"/>
  <c r="L27" i="4" s="1"/>
  <c r="K35" i="4"/>
  <c r="L35" i="4" s="1"/>
  <c r="K43" i="4"/>
  <c r="L43" i="4" s="1"/>
  <c r="K51" i="4"/>
  <c r="L51" i="4" s="1"/>
  <c r="K59" i="4"/>
  <c r="L59" i="4" s="1"/>
  <c r="K67" i="4"/>
  <c r="L67" i="4" s="1"/>
  <c r="K75" i="4"/>
  <c r="L75" i="4" s="1"/>
  <c r="K83" i="4"/>
  <c r="L83" i="4" s="1"/>
  <c r="K91" i="4"/>
  <c r="L91" i="4" s="1"/>
  <c r="K99" i="4"/>
  <c r="L99" i="4" s="1"/>
  <c r="K54" i="4"/>
  <c r="L54" i="4" s="1"/>
  <c r="K62" i="4"/>
  <c r="L62" i="4" s="1"/>
  <c r="K70" i="4"/>
  <c r="L70" i="4" s="1"/>
  <c r="K78" i="4"/>
  <c r="L78" i="4" s="1"/>
  <c r="K86" i="4"/>
  <c r="L86" i="4" s="1"/>
  <c r="K94" i="4"/>
  <c r="L94" i="4" s="1"/>
  <c r="K102" i="4"/>
  <c r="L102" i="4" s="1"/>
  <c r="N101" i="4"/>
  <c r="O101" i="4" s="1"/>
  <c r="N85" i="4"/>
  <c r="O85" i="4" s="1"/>
  <c r="N69" i="4"/>
  <c r="O69" i="4" s="1"/>
  <c r="N53" i="4"/>
  <c r="O53" i="4" s="1"/>
  <c r="N37" i="4"/>
  <c r="O37" i="4" s="1"/>
  <c r="N21" i="4"/>
  <c r="O21" i="4" s="1"/>
  <c r="N8" i="4"/>
  <c r="O8" i="4" s="1"/>
  <c r="N16" i="4"/>
  <c r="O16" i="4" s="1"/>
  <c r="N24" i="4"/>
  <c r="O24" i="4" s="1"/>
  <c r="N32" i="4"/>
  <c r="O32" i="4" s="1"/>
  <c r="N40" i="4"/>
  <c r="O40" i="4" s="1"/>
  <c r="N48" i="4"/>
  <c r="O48" i="4" s="1"/>
  <c r="N56" i="4"/>
  <c r="O56" i="4" s="1"/>
  <c r="N64" i="4"/>
  <c r="O64" i="4" s="1"/>
  <c r="N72" i="4"/>
  <c r="O72" i="4" s="1"/>
  <c r="N80" i="4"/>
  <c r="O80" i="4" s="1"/>
  <c r="N88" i="4"/>
  <c r="O88" i="4" s="1"/>
  <c r="N96" i="4"/>
  <c r="O96" i="4" s="1"/>
  <c r="N104" i="4"/>
  <c r="O104" i="4" s="1"/>
  <c r="N79" i="4"/>
  <c r="O79" i="4" s="1"/>
  <c r="N47" i="4"/>
  <c r="O47" i="4" s="1"/>
  <c r="N15" i="4"/>
  <c r="O15" i="4" s="1"/>
  <c r="N67" i="4"/>
  <c r="O67" i="4" s="1"/>
  <c r="N27" i="4"/>
  <c r="O27" i="4" s="1"/>
  <c r="N59" i="4"/>
  <c r="O59" i="4" s="1"/>
  <c r="N91" i="4"/>
  <c r="O91" i="4" s="1"/>
  <c r="N19" i="4"/>
  <c r="O19" i="4" s="1"/>
  <c r="N51" i="4"/>
  <c r="O51" i="4" s="1"/>
  <c r="N83" i="4"/>
  <c r="O83" i="4" s="1"/>
  <c r="N7" i="4"/>
  <c r="O7" i="4" s="1"/>
  <c r="N23" i="4"/>
  <c r="O23" i="4" s="1"/>
  <c r="N39" i="4"/>
  <c r="O39" i="4" s="1"/>
  <c r="N55" i="4"/>
  <c r="O55" i="4" s="1"/>
  <c r="N71" i="4"/>
  <c r="O71" i="4" s="1"/>
  <c r="N87" i="4"/>
  <c r="O87" i="4" s="1"/>
  <c r="N106" i="4"/>
  <c r="O106" i="4" s="1"/>
  <c r="N102" i="4"/>
  <c r="O102" i="4" s="1"/>
  <c r="N98" i="4"/>
  <c r="O98" i="4" s="1"/>
  <c r="N94" i="4"/>
  <c r="O94" i="4" s="1"/>
  <c r="N90" i="4"/>
  <c r="O90" i="4" s="1"/>
  <c r="N86" i="4"/>
  <c r="O86" i="4" s="1"/>
  <c r="N82" i="4"/>
  <c r="O82" i="4" s="1"/>
  <c r="N78" i="4"/>
  <c r="O78" i="4" s="1"/>
  <c r="N74" i="4"/>
  <c r="O74" i="4" s="1"/>
  <c r="N70" i="4"/>
  <c r="O70" i="4" s="1"/>
  <c r="N66" i="4"/>
  <c r="O66" i="4" s="1"/>
  <c r="N62" i="4"/>
  <c r="O62" i="4" s="1"/>
  <c r="N58" i="4"/>
  <c r="O58" i="4" s="1"/>
  <c r="N54" i="4"/>
  <c r="O54" i="4" s="1"/>
  <c r="N50" i="4"/>
  <c r="O50" i="4" s="1"/>
  <c r="N46" i="4"/>
  <c r="O46" i="4" s="1"/>
  <c r="N42" i="4"/>
  <c r="O42" i="4" s="1"/>
  <c r="N38" i="4"/>
  <c r="O38" i="4" s="1"/>
  <c r="N34" i="4"/>
  <c r="O34" i="4" s="1"/>
  <c r="N30" i="4"/>
  <c r="O30" i="4" s="1"/>
  <c r="N26" i="4"/>
  <c r="O26" i="4" s="1"/>
  <c r="N22" i="4"/>
  <c r="O22" i="4" s="1"/>
  <c r="N18" i="4"/>
  <c r="O18" i="4" s="1"/>
  <c r="N14" i="4"/>
  <c r="O14" i="4" s="1"/>
  <c r="N10" i="4"/>
  <c r="O10" i="4" s="1"/>
  <c r="N9" i="4"/>
  <c r="O9" i="4" s="1"/>
  <c r="N17" i="4"/>
  <c r="O17" i="4" s="1"/>
  <c r="N25" i="4"/>
  <c r="O25" i="4" s="1"/>
  <c r="N33" i="4"/>
  <c r="O33" i="4" s="1"/>
  <c r="N41" i="4"/>
  <c r="O41" i="4" s="1"/>
  <c r="N49" i="4"/>
  <c r="O49" i="4" s="1"/>
  <c r="N57" i="4"/>
  <c r="O57" i="4" s="1"/>
  <c r="N65" i="4"/>
  <c r="O65" i="4" s="1"/>
  <c r="N73" i="4"/>
  <c r="O73" i="4" s="1"/>
  <c r="N81" i="4"/>
  <c r="O81" i="4" s="1"/>
  <c r="N89" i="4"/>
  <c r="O89" i="4" s="1"/>
  <c r="N97" i="4"/>
  <c r="O97" i="4" s="1"/>
  <c r="N105" i="4"/>
  <c r="O105" i="4" s="1"/>
  <c r="K104" i="4"/>
  <c r="L104" i="4" s="1"/>
  <c r="K100" i="4"/>
  <c r="L100" i="4" s="1"/>
  <c r="K96" i="4"/>
  <c r="L96" i="4" s="1"/>
  <c r="K92" i="4"/>
  <c r="L92" i="4" s="1"/>
  <c r="K88" i="4"/>
  <c r="L88" i="4" s="1"/>
  <c r="K84" i="4"/>
  <c r="L84" i="4" s="1"/>
  <c r="K80" i="4"/>
  <c r="L80" i="4" s="1"/>
  <c r="K76" i="4"/>
  <c r="L76" i="4" s="1"/>
  <c r="K72" i="4"/>
  <c r="L72" i="4" s="1"/>
  <c r="K68" i="4"/>
  <c r="L68" i="4" s="1"/>
  <c r="K64" i="4"/>
  <c r="L64" i="4" s="1"/>
  <c r="K60" i="4"/>
  <c r="L60" i="4" s="1"/>
  <c r="K56" i="4"/>
  <c r="L56" i="4" s="1"/>
  <c r="K105" i="4"/>
  <c r="L105" i="4" s="1"/>
  <c r="K101" i="4"/>
  <c r="L101" i="4" s="1"/>
  <c r="K97" i="4"/>
  <c r="L97" i="4" s="1"/>
  <c r="K93" i="4"/>
  <c r="L93" i="4" s="1"/>
  <c r="K89" i="4"/>
  <c r="L89" i="4" s="1"/>
  <c r="K85" i="4"/>
  <c r="L85" i="4" s="1"/>
  <c r="K81" i="4"/>
  <c r="L81" i="4" s="1"/>
  <c r="K77" i="4"/>
  <c r="L77" i="4" s="1"/>
  <c r="K73" i="4"/>
  <c r="L73" i="4" s="1"/>
  <c r="K69" i="4"/>
  <c r="L69" i="4" s="1"/>
  <c r="K65" i="4"/>
  <c r="L65" i="4" s="1"/>
  <c r="K61" i="4"/>
  <c r="L61" i="4" s="1"/>
  <c r="K57" i="4"/>
  <c r="L57" i="4" s="1"/>
  <c r="K53" i="4"/>
  <c r="L53" i="4" s="1"/>
  <c r="K49" i="4"/>
  <c r="L49" i="4" s="1"/>
  <c r="K45" i="4"/>
  <c r="L45" i="4" s="1"/>
  <c r="K41" i="4"/>
  <c r="L41" i="4" s="1"/>
  <c r="K37" i="4"/>
  <c r="L37" i="4" s="1"/>
  <c r="K33" i="4"/>
  <c r="L33" i="4" s="1"/>
  <c r="K29" i="4"/>
  <c r="L29" i="4" s="1"/>
  <c r="K25" i="4"/>
  <c r="L25" i="4" s="1"/>
  <c r="K21" i="4"/>
  <c r="L21" i="4" s="1"/>
  <c r="G7" i="13"/>
  <c r="D7" i="13"/>
  <c r="D8" i="13" s="1"/>
  <c r="D8" i="14" s="1"/>
  <c r="G10" i="13"/>
  <c r="G10" i="14" s="1"/>
  <c r="G8" i="13"/>
  <c r="G8" i="14" s="1"/>
  <c r="G9" i="13"/>
  <c r="G9" i="14" s="1"/>
  <c r="N96" i="13"/>
  <c r="P96" i="13" s="1"/>
  <c r="N95" i="13"/>
  <c r="P95" i="13" s="1"/>
  <c r="N92" i="13"/>
  <c r="P92" i="13" s="1"/>
  <c r="N91" i="13"/>
  <c r="P91" i="13" s="1"/>
  <c r="N88" i="13"/>
  <c r="P88" i="13" s="1"/>
  <c r="N87" i="13"/>
  <c r="P87" i="13" s="1"/>
  <c r="N85" i="13"/>
  <c r="P85" i="13" s="1"/>
  <c r="N84" i="13"/>
  <c r="P84" i="13" s="1"/>
  <c r="N81" i="13"/>
  <c r="P81" i="13" s="1"/>
  <c r="N80" i="13"/>
  <c r="P80" i="13" s="1"/>
  <c r="N77" i="13"/>
  <c r="P77" i="13" s="1"/>
  <c r="N76" i="13"/>
  <c r="P76" i="13" s="1"/>
  <c r="N73" i="13"/>
  <c r="P73" i="13" s="1"/>
  <c r="N72" i="13"/>
  <c r="P72" i="13" s="1"/>
  <c r="N69" i="13"/>
  <c r="P69" i="13" s="1"/>
  <c r="N68" i="13"/>
  <c r="P68" i="13" s="1"/>
  <c r="N65" i="13"/>
  <c r="P65" i="13" s="1"/>
  <c r="N64" i="13"/>
  <c r="P64" i="13" s="1"/>
  <c r="N61" i="13"/>
  <c r="P61" i="13" s="1"/>
  <c r="N60" i="13"/>
  <c r="P60" i="13" s="1"/>
  <c r="N57" i="13"/>
  <c r="P57" i="13" s="1"/>
  <c r="N56" i="13"/>
  <c r="P56" i="13" s="1"/>
  <c r="N53" i="13"/>
  <c r="P53" i="13" s="1"/>
  <c r="N52" i="13"/>
  <c r="P52" i="13" s="1"/>
  <c r="N51" i="13"/>
  <c r="P51" i="13" s="1"/>
  <c r="N50" i="13"/>
  <c r="P50" i="13" s="1"/>
  <c r="N49" i="13"/>
  <c r="P49" i="13" s="1"/>
  <c r="N48" i="13"/>
  <c r="P48" i="13" s="1"/>
  <c r="N47" i="13"/>
  <c r="P47" i="13" s="1"/>
  <c r="N46" i="13"/>
  <c r="P46" i="13" s="1"/>
  <c r="N45" i="13"/>
  <c r="P45" i="13" s="1"/>
  <c r="N44" i="13"/>
  <c r="P44" i="13" s="1"/>
  <c r="N43" i="13"/>
  <c r="P43" i="13" s="1"/>
  <c r="N42" i="13"/>
  <c r="P42" i="13" s="1"/>
  <c r="N41" i="13"/>
  <c r="P41" i="13" s="1"/>
  <c r="N40" i="13"/>
  <c r="P40" i="13" s="1"/>
  <c r="N39" i="13"/>
  <c r="P39" i="13" s="1"/>
  <c r="N38" i="13"/>
  <c r="P38" i="13" s="1"/>
  <c r="N37" i="13"/>
  <c r="P37" i="13" s="1"/>
  <c r="N36" i="13"/>
  <c r="P36" i="13" s="1"/>
  <c r="N35" i="13"/>
  <c r="P35" i="13" s="1"/>
  <c r="N97" i="13"/>
  <c r="P97" i="13" s="1"/>
  <c r="N94" i="13"/>
  <c r="P94" i="13" s="1"/>
  <c r="N89" i="13"/>
  <c r="P89" i="13" s="1"/>
  <c r="N86" i="13"/>
  <c r="P86" i="13" s="1"/>
  <c r="N83" i="13"/>
  <c r="P83" i="13" s="1"/>
  <c r="N78" i="13"/>
  <c r="P78" i="13" s="1"/>
  <c r="N75" i="13"/>
  <c r="P75" i="13" s="1"/>
  <c r="N70" i="13"/>
  <c r="P70" i="13" s="1"/>
  <c r="N67" i="13"/>
  <c r="P67" i="13" s="1"/>
  <c r="N62" i="13"/>
  <c r="P62" i="13" s="1"/>
  <c r="N59" i="13"/>
  <c r="P59" i="13" s="1"/>
  <c r="N54" i="13"/>
  <c r="P54" i="13" s="1"/>
  <c r="N34" i="13"/>
  <c r="P34" i="13" s="1"/>
  <c r="N33" i="13"/>
  <c r="P33" i="13" s="1"/>
  <c r="N32" i="13"/>
  <c r="P32" i="13" s="1"/>
  <c r="N31" i="13"/>
  <c r="P31" i="13" s="1"/>
  <c r="N30" i="13"/>
  <c r="P30" i="13" s="1"/>
  <c r="N29" i="13"/>
  <c r="P29" i="13" s="1"/>
  <c r="N28" i="13"/>
  <c r="P28" i="13" s="1"/>
  <c r="N27" i="13"/>
  <c r="P27" i="13" s="1"/>
  <c r="N26" i="13"/>
  <c r="P26" i="13" s="1"/>
  <c r="N25" i="13"/>
  <c r="P25" i="13" s="1"/>
  <c r="N24" i="13"/>
  <c r="P24" i="13" s="1"/>
  <c r="N23" i="13"/>
  <c r="P23" i="13" s="1"/>
  <c r="N22" i="13"/>
  <c r="P22" i="13" s="1"/>
  <c r="N21" i="13"/>
  <c r="P21" i="13" s="1"/>
  <c r="N20" i="13"/>
  <c r="P20" i="13" s="1"/>
  <c r="N19" i="13"/>
  <c r="P19" i="13" s="1"/>
  <c r="N18" i="13"/>
  <c r="P18" i="13" s="1"/>
  <c r="N17" i="13"/>
  <c r="P17" i="13" s="1"/>
  <c r="N16" i="13"/>
  <c r="P16" i="13" s="1"/>
  <c r="N15" i="13"/>
  <c r="P15" i="13" s="1"/>
  <c r="N14" i="13"/>
  <c r="P14" i="13" s="1"/>
  <c r="N13" i="13"/>
  <c r="P13" i="13" s="1"/>
  <c r="N12" i="13"/>
  <c r="P12" i="13" s="1"/>
  <c r="N11" i="13"/>
  <c r="P11" i="13" s="1"/>
  <c r="N10" i="13"/>
  <c r="P10" i="13" s="1"/>
  <c r="N9" i="13"/>
  <c r="P9" i="13" s="1"/>
  <c r="N8" i="13"/>
  <c r="P8" i="13" s="1"/>
  <c r="N7" i="13"/>
  <c r="P7" i="13" s="1"/>
  <c r="N106" i="13"/>
  <c r="P106" i="13" s="1"/>
  <c r="N105" i="13"/>
  <c r="P105" i="13" s="1"/>
  <c r="N104" i="13"/>
  <c r="P104" i="13" s="1"/>
  <c r="N103" i="13"/>
  <c r="P103" i="13" s="1"/>
  <c r="N102" i="13"/>
  <c r="P102" i="13" s="1"/>
  <c r="N101" i="13"/>
  <c r="P101" i="13" s="1"/>
  <c r="N100" i="13"/>
  <c r="P100" i="13" s="1"/>
  <c r="N99" i="13"/>
  <c r="P99" i="13" s="1"/>
  <c r="N98" i="13"/>
  <c r="P98" i="13" s="1"/>
  <c r="N93" i="13"/>
  <c r="P93" i="13" s="1"/>
  <c r="N82" i="13"/>
  <c r="P82" i="13" s="1"/>
  <c r="N79" i="13"/>
  <c r="P79" i="13" s="1"/>
  <c r="N74" i="13"/>
  <c r="P74" i="13" s="1"/>
  <c r="N71" i="13"/>
  <c r="P71" i="13" s="1"/>
  <c r="N66" i="13"/>
  <c r="P66" i="13" s="1"/>
  <c r="N63" i="13"/>
  <c r="P63" i="13" s="1"/>
  <c r="N58" i="13"/>
  <c r="P58" i="13" s="1"/>
  <c r="N55" i="13"/>
  <c r="P55" i="13" s="1"/>
  <c r="N90" i="13"/>
  <c r="P90" i="13" s="1"/>
  <c r="G8" i="4"/>
  <c r="H8" i="4" s="1" a="1"/>
  <c r="H8" i="4" s="1"/>
  <c r="G12" i="4"/>
  <c r="G16" i="4"/>
  <c r="G20" i="4"/>
  <c r="G24" i="4"/>
  <c r="G28" i="4"/>
  <c r="H28" i="4" s="1" a="1"/>
  <c r="H28" i="4" s="1"/>
  <c r="G32" i="4"/>
  <c r="G36" i="4"/>
  <c r="G40" i="4"/>
  <c r="G44" i="4"/>
  <c r="H44" i="4" s="1" a="1"/>
  <c r="H44" i="4" s="1"/>
  <c r="G48" i="4"/>
  <c r="G52" i="4"/>
  <c r="G56" i="4"/>
  <c r="G60" i="4"/>
  <c r="H60" i="4" s="1" a="1"/>
  <c r="H60" i="4" s="1"/>
  <c r="G64" i="4"/>
  <c r="H64" i="4" s="1" a="1"/>
  <c r="H64" i="4" s="1"/>
  <c r="G68" i="4"/>
  <c r="G72" i="4"/>
  <c r="G76" i="4"/>
  <c r="H76" i="4" s="1" a="1"/>
  <c r="H76" i="4" s="1"/>
  <c r="G80" i="4"/>
  <c r="H80" i="4" s="1" a="1"/>
  <c r="H80" i="4" s="1"/>
  <c r="G84" i="4"/>
  <c r="H84" i="4" s="1" a="1"/>
  <c r="H84" i="4" s="1"/>
  <c r="G88" i="4"/>
  <c r="G92" i="4"/>
  <c r="H92" i="4" s="1" a="1"/>
  <c r="H92" i="4" s="1"/>
  <c r="G96" i="4"/>
  <c r="H96" i="4" s="1" a="1"/>
  <c r="H96" i="4" s="1"/>
  <c r="G100" i="4"/>
  <c r="D102" i="4"/>
  <c r="D86" i="4"/>
  <c r="E87" i="4" s="1" a="1"/>
  <c r="E87" i="4" s="1"/>
  <c r="D82" i="4"/>
  <c r="D78" i="4"/>
  <c r="D74" i="4"/>
  <c r="D70" i="4"/>
  <c r="D66" i="4"/>
  <c r="D62" i="4"/>
  <c r="D58" i="4"/>
  <c r="D54" i="4"/>
  <c r="D50" i="4"/>
  <c r="D46" i="4"/>
  <c r="D42" i="4"/>
  <c r="D38" i="4"/>
  <c r="D34" i="4"/>
  <c r="D30" i="4"/>
  <c r="D22" i="4"/>
  <c r="D18" i="4"/>
  <c r="D14" i="4"/>
  <c r="D10" i="4"/>
  <c r="G11" i="4"/>
  <c r="G19" i="4"/>
  <c r="G105" i="4"/>
  <c r="G106" i="4"/>
  <c r="D31" i="4"/>
  <c r="D63" i="4"/>
  <c r="G81" i="4"/>
  <c r="H81" i="4" s="1" a="1"/>
  <c r="H81" i="4" s="1"/>
  <c r="G73" i="4"/>
  <c r="G65" i="4"/>
  <c r="G57" i="4"/>
  <c r="G49" i="4"/>
  <c r="H49" i="4" s="1" a="1"/>
  <c r="H49" i="4" s="1"/>
  <c r="G41" i="4"/>
  <c r="G33" i="4"/>
  <c r="G25" i="4"/>
  <c r="G13" i="4"/>
  <c r="D79" i="4"/>
  <c r="E79" i="4" s="1" a="1"/>
  <c r="E79" i="4" s="1"/>
  <c r="D103" i="4"/>
  <c r="G23" i="4"/>
  <c r="G39" i="4"/>
  <c r="I39" i="4" s="1"/>
  <c r="G55" i="4"/>
  <c r="G99" i="4"/>
  <c r="G67" i="4"/>
  <c r="G35" i="4"/>
  <c r="D105" i="4"/>
  <c r="G10" i="4"/>
  <c r="G14" i="4"/>
  <c r="G18" i="4"/>
  <c r="G22" i="4"/>
  <c r="G26" i="4"/>
  <c r="G30" i="4"/>
  <c r="G34" i="4"/>
  <c r="G38" i="4"/>
  <c r="G42" i="4"/>
  <c r="G46" i="4"/>
  <c r="G50" i="4"/>
  <c r="G54" i="4"/>
  <c r="G58" i="4"/>
  <c r="G62" i="4"/>
  <c r="H63" i="4" s="1" a="1"/>
  <c r="H63" i="4" s="1"/>
  <c r="G66" i="4"/>
  <c r="G70" i="4"/>
  <c r="G74" i="4"/>
  <c r="G78" i="4"/>
  <c r="G82" i="4"/>
  <c r="G86" i="4"/>
  <c r="G90" i="4"/>
  <c r="H90" i="4" s="1" a="1"/>
  <c r="H90" i="4" s="1"/>
  <c r="G94" i="4"/>
  <c r="H95" i="4" s="1" a="1"/>
  <c r="H95" i="4" s="1"/>
  <c r="G98" i="4"/>
  <c r="G102" i="4"/>
  <c r="H102" i="4" s="1" a="1"/>
  <c r="H102" i="4" s="1"/>
  <c r="D104" i="4"/>
  <c r="D92" i="4"/>
  <c r="D88" i="4"/>
  <c r="E88" i="4" s="1" a="1"/>
  <c r="E88" i="4" s="1"/>
  <c r="D84" i="4"/>
  <c r="D80" i="4"/>
  <c r="D76" i="4"/>
  <c r="D72" i="4"/>
  <c r="E72" i="4" s="1" a="1"/>
  <c r="E72" i="4" s="1"/>
  <c r="D68" i="4"/>
  <c r="D64" i="4"/>
  <c r="D60" i="4"/>
  <c r="D56" i="4"/>
  <c r="D52" i="4"/>
  <c r="D48" i="4"/>
  <c r="D44" i="4"/>
  <c r="D40" i="4"/>
  <c r="E40" i="4" s="1" a="1"/>
  <c r="E40" i="4" s="1"/>
  <c r="D36" i="4"/>
  <c r="D32" i="4"/>
  <c r="D28" i="4"/>
  <c r="D24" i="4"/>
  <c r="D20" i="4"/>
  <c r="D16" i="4"/>
  <c r="D12" i="4"/>
  <c r="D8" i="4"/>
  <c r="E8" i="4" s="1" a="1"/>
  <c r="E8" i="4" s="1"/>
  <c r="G15" i="4"/>
  <c r="D23" i="4"/>
  <c r="G71" i="4"/>
  <c r="H71" i="4" s="1" a="1"/>
  <c r="H71" i="4" s="1"/>
  <c r="G87" i="4"/>
  <c r="G97" i="4"/>
  <c r="G103" i="4"/>
  <c r="G104" i="4"/>
  <c r="D15" i="4"/>
  <c r="D47" i="4"/>
  <c r="G93" i="4"/>
  <c r="G85" i="4"/>
  <c r="G77" i="4"/>
  <c r="G69" i="4"/>
  <c r="G61" i="4"/>
  <c r="G53" i="4"/>
  <c r="G45" i="4"/>
  <c r="G37" i="4"/>
  <c r="G29" i="4"/>
  <c r="G21" i="4"/>
  <c r="D95" i="4"/>
  <c r="D55" i="4"/>
  <c r="D11" i="4"/>
  <c r="G9" i="4"/>
  <c r="G31" i="4"/>
  <c r="G47" i="4"/>
  <c r="O43" i="4"/>
  <c r="G51" i="4"/>
  <c r="G17" i="4"/>
  <c r="N103" i="4"/>
  <c r="D13" i="4"/>
  <c r="D21" i="4"/>
  <c r="D29" i="4"/>
  <c r="D37" i="4"/>
  <c r="D45" i="4"/>
  <c r="D53" i="4"/>
  <c r="D61" i="4"/>
  <c r="D69" i="4"/>
  <c r="D77" i="4"/>
  <c r="D85" i="4"/>
  <c r="D93" i="4"/>
  <c r="D101" i="4"/>
  <c r="D106" i="4"/>
  <c r="D98" i="4"/>
  <c r="D94" i="4"/>
  <c r="D19" i="4"/>
  <c r="D35" i="4"/>
  <c r="D51" i="4"/>
  <c r="D67" i="4"/>
  <c r="D83" i="4"/>
  <c r="D99" i="4"/>
  <c r="D9" i="4"/>
  <c r="D17" i="4"/>
  <c r="D25" i="4"/>
  <c r="E26" i="4" s="1" a="1"/>
  <c r="E26" i="4" s="1"/>
  <c r="D33" i="4"/>
  <c r="D41" i="4"/>
  <c r="D49" i="4"/>
  <c r="D57" i="4"/>
  <c r="D65" i="4"/>
  <c r="D73" i="4"/>
  <c r="D81" i="4"/>
  <c r="D89" i="4"/>
  <c r="D97" i="4"/>
  <c r="D100" i="4"/>
  <c r="D96" i="4"/>
  <c r="D27" i="4"/>
  <c r="D43" i="4"/>
  <c r="D59" i="4"/>
  <c r="D75" i="4"/>
  <c r="D91" i="4"/>
  <c r="C7" i="8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M2" i="5"/>
  <c r="I2" i="5"/>
  <c r="DX5" i="5"/>
  <c r="DY5" i="5"/>
  <c r="DZ5" i="5"/>
  <c r="EA5" i="5"/>
  <c r="EB5" i="5"/>
  <c r="EC5" i="5"/>
  <c r="DW5" i="5"/>
  <c r="O18" i="1"/>
  <c r="J20" i="1"/>
  <c r="I18" i="1"/>
  <c r="J8" i="1"/>
  <c r="J9" i="1"/>
  <c r="J10" i="1"/>
  <c r="J11" i="1"/>
  <c r="J12" i="1"/>
  <c r="J13" i="1"/>
  <c r="J14" i="1"/>
  <c r="J15" i="1"/>
  <c r="J16" i="1"/>
  <c r="J17" i="1"/>
  <c r="J18" i="1"/>
  <c r="J19" i="1"/>
  <c r="DS1" i="5"/>
  <c r="DL8" i="5"/>
  <c r="DL9" i="5"/>
  <c r="DL7" i="5"/>
  <c r="DN1" i="5"/>
  <c r="DO1" i="5"/>
  <c r="DO11" i="5" s="1"/>
  <c r="EH5" i="5" s="1"/>
  <c r="DP1" i="5"/>
  <c r="DP11" i="5" s="1"/>
  <c r="EI5" i="5" s="1"/>
  <c r="DQ1" i="5"/>
  <c r="DR1" i="5"/>
  <c r="DM1" i="5"/>
  <c r="E63" i="4" l="1" a="1"/>
  <c r="E63" i="4" s="1"/>
  <c r="H33" i="4" a="1"/>
  <c r="H33" i="4" s="1"/>
  <c r="H65" i="4" a="1"/>
  <c r="H65" i="4" s="1"/>
  <c r="H15" i="4" a="1"/>
  <c r="H15" i="4" s="1"/>
  <c r="D40" i="7"/>
  <c r="D66" i="7" s="1"/>
  <c r="M66" i="7" s="1"/>
  <c r="D32" i="7"/>
  <c r="I8" i="14"/>
  <c r="D9" i="13"/>
  <c r="G11" i="13"/>
  <c r="G11" i="14" s="1"/>
  <c r="M11" i="13"/>
  <c r="M10" i="13"/>
  <c r="M29" i="13"/>
  <c r="M25" i="13"/>
  <c r="M21" i="13"/>
  <c r="M17" i="13"/>
  <c r="M13" i="13"/>
  <c r="M30" i="13"/>
  <c r="M26" i="13"/>
  <c r="M22" i="13"/>
  <c r="M18" i="13"/>
  <c r="L8" i="13"/>
  <c r="L8" i="14" s="1"/>
  <c r="M8" i="13"/>
  <c r="M31" i="13"/>
  <c r="M27" i="13"/>
  <c r="M23" i="13"/>
  <c r="M19" i="13"/>
  <c r="M15" i="13"/>
  <c r="D39" i="13"/>
  <c r="Q7" i="4"/>
  <c r="E55" i="4" a="1"/>
  <c r="E55" i="4" s="1"/>
  <c r="H21" i="4" a="1"/>
  <c r="H21" i="4" s="1"/>
  <c r="H37" i="4" a="1"/>
  <c r="H37" i="4" s="1"/>
  <c r="H53" i="4" a="1"/>
  <c r="H53" i="4" s="1"/>
  <c r="H69" i="4" a="1"/>
  <c r="H69" i="4" s="1"/>
  <c r="H85" i="4" a="1"/>
  <c r="H85" i="4" s="1"/>
  <c r="E47" i="4" a="1"/>
  <c r="E47" i="4" s="1"/>
  <c r="E15" i="4" a="1"/>
  <c r="E15" i="4" s="1"/>
  <c r="E23" i="4" a="1"/>
  <c r="E23" i="4" s="1"/>
  <c r="I16" i="4"/>
  <c r="E32" i="4" a="1"/>
  <c r="E32" i="4" s="1"/>
  <c r="I48" i="4"/>
  <c r="I80" i="4"/>
  <c r="H82" i="4" a="1"/>
  <c r="H82" i="4" s="1"/>
  <c r="H66" i="4" a="1"/>
  <c r="H66" i="4" s="1"/>
  <c r="H50" i="4" a="1"/>
  <c r="H50" i="4" s="1"/>
  <c r="H34" i="4" a="1"/>
  <c r="H34" i="4" s="1"/>
  <c r="H17" i="4" a="1"/>
  <c r="H17" i="4" s="1"/>
  <c r="H31" i="4" a="1"/>
  <c r="H31" i="4" s="1"/>
  <c r="H9" i="4" a="1"/>
  <c r="H9" i="4" s="1"/>
  <c r="P82" i="4" a="1"/>
  <c r="P82" i="4" s="1"/>
  <c r="M38" i="4" a="1"/>
  <c r="M38" i="4" s="1"/>
  <c r="P50" i="4" a="1"/>
  <c r="P50" i="4" s="1"/>
  <c r="M32" i="4" a="1"/>
  <c r="M32" i="4" s="1"/>
  <c r="E85" i="4" a="1"/>
  <c r="E85" i="4" s="1"/>
  <c r="E69" i="4" a="1"/>
  <c r="E69" i="4" s="1"/>
  <c r="E53" i="4" a="1"/>
  <c r="E53" i="4" s="1"/>
  <c r="E37" i="4" a="1"/>
  <c r="E37" i="4" s="1"/>
  <c r="E21" i="4" a="1"/>
  <c r="E21" i="4" s="1"/>
  <c r="I71" i="4"/>
  <c r="I62" i="4"/>
  <c r="I102" i="4"/>
  <c r="E75" i="4" a="1"/>
  <c r="E75" i="4" s="1"/>
  <c r="E43" i="4" a="1"/>
  <c r="E43" i="4" s="1"/>
  <c r="E96" i="4" a="1"/>
  <c r="E96" i="4" s="1"/>
  <c r="E81" i="4" a="1"/>
  <c r="E81" i="4" s="1"/>
  <c r="E65" i="4" a="1"/>
  <c r="E65" i="4" s="1"/>
  <c r="E49" i="4" a="1"/>
  <c r="E49" i="4" s="1"/>
  <c r="E33" i="4" a="1"/>
  <c r="E33" i="4" s="1"/>
  <c r="E17" i="4" a="1"/>
  <c r="E17" i="4" s="1"/>
  <c r="E67" i="4" a="1"/>
  <c r="E67" i="4" s="1"/>
  <c r="E35" i="4" a="1"/>
  <c r="E35" i="4" s="1"/>
  <c r="I90" i="4"/>
  <c r="M55" i="4" a="1"/>
  <c r="M55" i="4" s="1"/>
  <c r="I22" i="4"/>
  <c r="E103" i="4" a="1"/>
  <c r="E103" i="4" s="1"/>
  <c r="I78" i="4"/>
  <c r="E45" i="4" a="1"/>
  <c r="E45" i="4" s="1"/>
  <c r="E29" i="4" a="1"/>
  <c r="E29" i="4" s="1"/>
  <c r="E13" i="4" a="1"/>
  <c r="E13" i="4" s="1"/>
  <c r="I79" i="4"/>
  <c r="I103" i="4"/>
  <c r="I8" i="13"/>
  <c r="H47" i="4" a="1"/>
  <c r="H47" i="4" s="1"/>
  <c r="E11" i="4" a="1"/>
  <c r="E11" i="4" s="1"/>
  <c r="H29" i="4" a="1"/>
  <c r="H29" i="4" s="1"/>
  <c r="H45" i="4" a="1"/>
  <c r="H45" i="4" s="1"/>
  <c r="H61" i="4" a="1"/>
  <c r="H61" i="4" s="1"/>
  <c r="H77" i="4" a="1"/>
  <c r="H77" i="4" s="1"/>
  <c r="H93" i="4" a="1"/>
  <c r="H93" i="4" s="1"/>
  <c r="H103" i="4" a="1"/>
  <c r="H103" i="4" s="1"/>
  <c r="E64" i="4" a="1"/>
  <c r="E64" i="4" s="1"/>
  <c r="E80" i="4" a="1"/>
  <c r="E80" i="4" s="1"/>
  <c r="H74" i="4" a="1"/>
  <c r="H74" i="4" s="1"/>
  <c r="H13" i="4" a="1"/>
  <c r="H13" i="4" s="1"/>
  <c r="I14" i="4"/>
  <c r="I42" i="4"/>
  <c r="P17" i="4" a="1"/>
  <c r="P17" i="4" s="1"/>
  <c r="R99" i="5"/>
  <c r="R97" i="5"/>
  <c r="R95" i="5"/>
  <c r="R93" i="5"/>
  <c r="R91" i="5"/>
  <c r="R89" i="5"/>
  <c r="R87" i="5"/>
  <c r="R85" i="5"/>
  <c r="R83" i="5"/>
  <c r="R81" i="5"/>
  <c r="R100" i="5"/>
  <c r="R98" i="5"/>
  <c r="R96" i="5"/>
  <c r="R94" i="5"/>
  <c r="R92" i="5"/>
  <c r="R90" i="5"/>
  <c r="R88" i="5"/>
  <c r="R86" i="5"/>
  <c r="R84" i="5"/>
  <c r="R82" i="5"/>
  <c r="M22" i="4" a="1"/>
  <c r="M22" i="4" s="1"/>
  <c r="M103" i="4" a="1"/>
  <c r="M103" i="4" s="1"/>
  <c r="M71" i="4" a="1"/>
  <c r="M71" i="4" s="1"/>
  <c r="M39" i="4" a="1"/>
  <c r="M39" i="4" s="1"/>
  <c r="M48" i="4" a="1"/>
  <c r="M48" i="4" s="1"/>
  <c r="M16" i="4" a="1"/>
  <c r="M16" i="4" s="1"/>
  <c r="P18" i="4" a="1"/>
  <c r="P18" i="4" s="1"/>
  <c r="P49" i="4" a="1"/>
  <c r="P49" i="4" s="1"/>
  <c r="M23" i="4" a="1"/>
  <c r="M23" i="4" s="1"/>
  <c r="P43" i="4" a="1"/>
  <c r="P43" i="4" s="1"/>
  <c r="P8" i="4" a="1"/>
  <c r="P8" i="4" s="1"/>
  <c r="M62" i="4" a="1"/>
  <c r="M62" i="4" s="1"/>
  <c r="P22" i="4" a="1"/>
  <c r="P22" i="4" s="1"/>
  <c r="P54" i="4" a="1"/>
  <c r="P54" i="4" s="1"/>
  <c r="P86" i="4" a="1"/>
  <c r="P86" i="4" s="1"/>
  <c r="P67" i="4" a="1"/>
  <c r="P67" i="4" s="1"/>
  <c r="M87" i="4" a="1"/>
  <c r="M87" i="4" s="1"/>
  <c r="P52" i="4" a="1"/>
  <c r="P52" i="4" s="1"/>
  <c r="M9" i="4" a="1"/>
  <c r="M9" i="4" s="1"/>
  <c r="P33" i="4" a="1"/>
  <c r="P33" i="4" s="1"/>
  <c r="P65" i="4" a="1"/>
  <c r="P65" i="4" s="1"/>
  <c r="I15" i="4"/>
  <c r="I32" i="4"/>
  <c r="I64" i="4"/>
  <c r="H51" i="4" a="1"/>
  <c r="H51" i="4" s="1"/>
  <c r="H97" i="4" a="1"/>
  <c r="H97" i="4" s="1"/>
  <c r="H25" i="4" a="1"/>
  <c r="H25" i="4" s="1"/>
  <c r="H41" i="4" a="1"/>
  <c r="H41" i="4" s="1"/>
  <c r="H57" i="4" a="1"/>
  <c r="H57" i="4" s="1"/>
  <c r="H73" i="4" a="1"/>
  <c r="H73" i="4" s="1"/>
  <c r="P105" i="4" a="1"/>
  <c r="P105" i="4" s="1"/>
  <c r="P89" i="4" a="1"/>
  <c r="P89" i="4" s="1"/>
  <c r="P106" i="4" a="1"/>
  <c r="P106" i="4" s="1"/>
  <c r="P66" i="4" a="1"/>
  <c r="P66" i="4" s="1"/>
  <c r="P34" i="4" a="1"/>
  <c r="P34" i="4" s="1"/>
  <c r="P90" i="4" a="1"/>
  <c r="P90" i="4" s="1"/>
  <c r="P31" i="4" a="1"/>
  <c r="P31" i="4" s="1"/>
  <c r="P63" i="4" a="1"/>
  <c r="P63" i="4" s="1"/>
  <c r="P95" i="4" a="1"/>
  <c r="P95" i="4" s="1"/>
  <c r="I11" i="4"/>
  <c r="H14" i="4" a="1"/>
  <c r="H14" i="4" s="1"/>
  <c r="H67" i="4" a="1"/>
  <c r="H67" i="4" s="1"/>
  <c r="H106" i="4" a="1"/>
  <c r="H106" i="4" s="1"/>
  <c r="P29" i="4" a="1"/>
  <c r="P29" i="4" s="1"/>
  <c r="P45" i="4" a="1"/>
  <c r="P45" i="4" s="1"/>
  <c r="P102" i="4" a="1"/>
  <c r="P102" i="4" s="1"/>
  <c r="P78" i="4" a="1"/>
  <c r="P78" i="4" s="1"/>
  <c r="E104" i="4" a="1"/>
  <c r="E104" i="4" s="1"/>
  <c r="H58" i="4" a="1"/>
  <c r="H58" i="4" s="1"/>
  <c r="H42" i="4" a="1"/>
  <c r="H42" i="4" s="1"/>
  <c r="H26" i="4" a="1"/>
  <c r="H26" i="4" s="1"/>
  <c r="Q55" i="4"/>
  <c r="M46" i="4" a="1"/>
  <c r="M46" i="4" s="1"/>
  <c r="M30" i="4" a="1"/>
  <c r="M30" i="4" s="1"/>
  <c r="M25" i="4" a="1"/>
  <c r="M25" i="4" s="1"/>
  <c r="M41" i="4" a="1"/>
  <c r="M41" i="4" s="1"/>
  <c r="M57" i="4" a="1"/>
  <c r="M57" i="4" s="1"/>
  <c r="M81" i="4" a="1"/>
  <c r="M81" i="4" s="1"/>
  <c r="M89" i="4" a="1"/>
  <c r="M89" i="4" s="1"/>
  <c r="M97" i="4" a="1"/>
  <c r="M97" i="4" s="1"/>
  <c r="M60" i="4" a="1"/>
  <c r="M60" i="4" s="1"/>
  <c r="M68" i="4" a="1"/>
  <c r="M68" i="4" s="1"/>
  <c r="M76" i="4" a="1"/>
  <c r="M76" i="4" s="1"/>
  <c r="M84" i="4" a="1"/>
  <c r="M84" i="4" s="1"/>
  <c r="M92" i="4" a="1"/>
  <c r="M92" i="4" s="1"/>
  <c r="M100" i="4" a="1"/>
  <c r="M100" i="4" s="1"/>
  <c r="M73" i="4" a="1"/>
  <c r="M73" i="4" s="1"/>
  <c r="Q73" i="4"/>
  <c r="M105" i="4" a="1"/>
  <c r="M105" i="4" s="1"/>
  <c r="Q105" i="4"/>
  <c r="M79" i="4" a="1"/>
  <c r="M79" i="4" s="1"/>
  <c r="P13" i="4" a="1"/>
  <c r="P13" i="4" s="1"/>
  <c r="P37" i="4" a="1"/>
  <c r="P37" i="4" s="1"/>
  <c r="P61" i="4" a="1"/>
  <c r="P61" i="4" s="1"/>
  <c r="P15" i="4" a="1"/>
  <c r="P15" i="4" s="1"/>
  <c r="P47" i="4" a="1"/>
  <c r="P47" i="4" s="1"/>
  <c r="P79" i="4" a="1"/>
  <c r="P79" i="4" s="1"/>
  <c r="P98" i="4" a="1"/>
  <c r="P98" i="4" s="1"/>
  <c r="P74" i="4" a="1"/>
  <c r="P74" i="4" s="1"/>
  <c r="P58" i="4" a="1"/>
  <c r="P58" i="4" s="1"/>
  <c r="P42" i="4" a="1"/>
  <c r="P42" i="4" s="1"/>
  <c r="P26" i="4" a="1"/>
  <c r="P26" i="4" s="1"/>
  <c r="P10" i="4" a="1"/>
  <c r="P10" i="4" s="1"/>
  <c r="M13" i="4" a="1"/>
  <c r="M13" i="4" s="1"/>
  <c r="M50" i="4" a="1"/>
  <c r="M50" i="4" s="1"/>
  <c r="M34" i="4" a="1"/>
  <c r="M34" i="4" s="1"/>
  <c r="M18" i="4" a="1"/>
  <c r="M18" i="4" s="1"/>
  <c r="P69" i="4" a="1"/>
  <c r="P69" i="4" s="1"/>
  <c r="P96" i="4" a="1"/>
  <c r="P96" i="4" s="1"/>
  <c r="P88" i="4" a="1"/>
  <c r="P88" i="4" s="1"/>
  <c r="P64" i="4" a="1"/>
  <c r="P64" i="4" s="1"/>
  <c r="P56" i="4" a="1"/>
  <c r="P56" i="4" s="1"/>
  <c r="P32" i="4" a="1"/>
  <c r="P32" i="4" s="1"/>
  <c r="P24" i="4" a="1"/>
  <c r="P24" i="4" s="1"/>
  <c r="P93" i="4" a="1"/>
  <c r="P93" i="4" s="1"/>
  <c r="M94" i="4" a="1"/>
  <c r="M94" i="4" s="1"/>
  <c r="M47" i="4" a="1"/>
  <c r="M47" i="4" s="1"/>
  <c r="M31" i="4" a="1"/>
  <c r="M31" i="4" s="1"/>
  <c r="M11" i="4" a="1"/>
  <c r="M11" i="4" s="1"/>
  <c r="M52" i="4" a="1"/>
  <c r="M52" i="4" s="1"/>
  <c r="M36" i="4" a="1"/>
  <c r="M36" i="4" s="1"/>
  <c r="M20" i="4" a="1"/>
  <c r="M20" i="4" s="1"/>
  <c r="H104" i="4" a="1"/>
  <c r="H104" i="4" s="1"/>
  <c r="Q39" i="4"/>
  <c r="P39" i="4" a="1"/>
  <c r="P39" i="4" s="1"/>
  <c r="P72" i="4" a="1"/>
  <c r="P72" i="4" s="1"/>
  <c r="P48" i="4" a="1"/>
  <c r="P48" i="4" s="1"/>
  <c r="M74" i="4" a="1"/>
  <c r="M74" i="4" s="1"/>
  <c r="M95" i="4" a="1"/>
  <c r="M95" i="4" s="1"/>
  <c r="M63" i="4" a="1"/>
  <c r="M63" i="4" s="1"/>
  <c r="Q69" i="4"/>
  <c r="P11" i="4" a="1"/>
  <c r="P11" i="4" s="1"/>
  <c r="P75" i="4" a="1"/>
  <c r="P75" i="4" s="1"/>
  <c r="P35" i="4" a="1"/>
  <c r="P35" i="4" s="1"/>
  <c r="P99" i="4" a="1"/>
  <c r="P99" i="4" s="1"/>
  <c r="P94" i="4" a="1"/>
  <c r="P94" i="4" s="1"/>
  <c r="P70" i="4" a="1"/>
  <c r="P70" i="4" s="1"/>
  <c r="P62" i="4" a="1"/>
  <c r="P62" i="4" s="1"/>
  <c r="P46" i="4" a="1"/>
  <c r="P46" i="4" s="1"/>
  <c r="P38" i="4" a="1"/>
  <c r="P38" i="4" s="1"/>
  <c r="P30" i="4" a="1"/>
  <c r="P30" i="4" s="1"/>
  <c r="P14" i="4" a="1"/>
  <c r="P14" i="4" s="1"/>
  <c r="P9" i="4" a="1"/>
  <c r="P9" i="4" s="1"/>
  <c r="P25" i="4" a="1"/>
  <c r="P25" i="4" s="1"/>
  <c r="P41" i="4" a="1"/>
  <c r="P41" i="4" s="1"/>
  <c r="P57" i="4" a="1"/>
  <c r="P57" i="4" s="1"/>
  <c r="P73" i="4" a="1"/>
  <c r="P73" i="4" s="1"/>
  <c r="P97" i="4" a="1"/>
  <c r="P97" i="4" s="1"/>
  <c r="Q104" i="4"/>
  <c r="M104" i="4" a="1"/>
  <c r="M104" i="4" s="1"/>
  <c r="Q96" i="4"/>
  <c r="M96" i="4" a="1"/>
  <c r="M96" i="4" s="1"/>
  <c r="Q88" i="4"/>
  <c r="M88" i="4" a="1"/>
  <c r="M88" i="4" s="1"/>
  <c r="Q80" i="4"/>
  <c r="M80" i="4" a="1"/>
  <c r="M80" i="4" s="1"/>
  <c r="Q72" i="4"/>
  <c r="M72" i="4" a="1"/>
  <c r="M72" i="4" s="1"/>
  <c r="Q64" i="4"/>
  <c r="M64" i="4" a="1"/>
  <c r="M64" i="4" s="1"/>
  <c r="Q56" i="4"/>
  <c r="M56" i="4" a="1"/>
  <c r="M56" i="4" s="1"/>
  <c r="M101" i="4" a="1"/>
  <c r="M101" i="4" s="1"/>
  <c r="Q93" i="4"/>
  <c r="M93" i="4" a="1"/>
  <c r="M93" i="4" s="1"/>
  <c r="M85" i="4" a="1"/>
  <c r="M85" i="4" s="1"/>
  <c r="M77" i="4" a="1"/>
  <c r="M77" i="4" s="1"/>
  <c r="M65" i="4" a="1"/>
  <c r="M65" i="4" s="1"/>
  <c r="M49" i="4" a="1"/>
  <c r="M49" i="4" s="1"/>
  <c r="M33" i="4" a="1"/>
  <c r="M33" i="4" s="1"/>
  <c r="M17" i="4" a="1"/>
  <c r="M17" i="4" s="1"/>
  <c r="M42" i="4" a="1"/>
  <c r="M42" i="4" s="1"/>
  <c r="M26" i="4" a="1"/>
  <c r="M26" i="4" s="1"/>
  <c r="M10" i="4" a="1"/>
  <c r="M10" i="4" s="1"/>
  <c r="Q40" i="4"/>
  <c r="M40" i="4" a="1"/>
  <c r="M40" i="4" s="1"/>
  <c r="Q24" i="4"/>
  <c r="M24" i="4" a="1"/>
  <c r="M24" i="4" s="1"/>
  <c r="Q8" i="4"/>
  <c r="M8" i="4" a="1"/>
  <c r="M8" i="4" s="1"/>
  <c r="P27" i="4" a="1"/>
  <c r="P27" i="4" s="1"/>
  <c r="P91" i="4" a="1"/>
  <c r="P91" i="4" s="1"/>
  <c r="P19" i="4" a="1"/>
  <c r="P19" i="4" s="1"/>
  <c r="Q23" i="4"/>
  <c r="P23" i="4" a="1"/>
  <c r="P23" i="4" s="1"/>
  <c r="P55" i="4" a="1"/>
  <c r="P55" i="4" s="1"/>
  <c r="P87" i="4" a="1"/>
  <c r="P87" i="4" s="1"/>
  <c r="P100" i="4" a="1"/>
  <c r="P100" i="4" s="1"/>
  <c r="P92" i="4" a="1"/>
  <c r="P92" i="4" s="1"/>
  <c r="P84" i="4" a="1"/>
  <c r="P84" i="4" s="1"/>
  <c r="P76" i="4" a="1"/>
  <c r="P76" i="4" s="1"/>
  <c r="P68" i="4" a="1"/>
  <c r="P68" i="4" s="1"/>
  <c r="P60" i="4" a="1"/>
  <c r="P60" i="4" s="1"/>
  <c r="P44" i="4" a="1"/>
  <c r="P44" i="4" s="1"/>
  <c r="Q36" i="4"/>
  <c r="P36" i="4" a="1"/>
  <c r="P36" i="4" s="1"/>
  <c r="P28" i="4" a="1"/>
  <c r="P28" i="4" s="1"/>
  <c r="P20" i="4" a="1"/>
  <c r="P20" i="4" s="1"/>
  <c r="P12" i="4" a="1"/>
  <c r="P12" i="4" s="1"/>
  <c r="P77" i="4" a="1"/>
  <c r="P77" i="4" s="1"/>
  <c r="P101" i="4" a="1"/>
  <c r="P101" i="4" s="1"/>
  <c r="M98" i="4" a="1"/>
  <c r="M98" i="4" s="1"/>
  <c r="M90" i="4" a="1"/>
  <c r="M90" i="4" s="1"/>
  <c r="M78" i="4" a="1"/>
  <c r="M78" i="4" s="1"/>
  <c r="M66" i="4" a="1"/>
  <c r="M66" i="4" s="1"/>
  <c r="M58" i="4" a="1"/>
  <c r="M58" i="4" s="1"/>
  <c r="M99" i="4" a="1"/>
  <c r="M99" i="4" s="1"/>
  <c r="M75" i="4" a="1"/>
  <c r="M75" i="4" s="1"/>
  <c r="M67" i="4" a="1"/>
  <c r="M67" i="4" s="1"/>
  <c r="Q59" i="4"/>
  <c r="M59" i="4" a="1"/>
  <c r="M59" i="4" s="1"/>
  <c r="M51" i="4" a="1"/>
  <c r="M51" i="4" s="1"/>
  <c r="M43" i="4" a="1"/>
  <c r="M43" i="4" s="1"/>
  <c r="M35" i="4" a="1"/>
  <c r="M35" i="4" s="1"/>
  <c r="M27" i="4" a="1"/>
  <c r="M27" i="4" s="1"/>
  <c r="M19" i="4" a="1"/>
  <c r="M19" i="4" s="1"/>
  <c r="M14" i="4" a="1"/>
  <c r="M14" i="4" s="1"/>
  <c r="M44" i="4" a="1"/>
  <c r="M44" i="4" s="1"/>
  <c r="M28" i="4" a="1"/>
  <c r="M28" i="4" s="1"/>
  <c r="M12" i="4" a="1"/>
  <c r="M12" i="4" s="1"/>
  <c r="P59" i="4" a="1"/>
  <c r="P59" i="4" s="1"/>
  <c r="Q83" i="4"/>
  <c r="P83" i="4" a="1"/>
  <c r="P83" i="4" s="1"/>
  <c r="Q71" i="4"/>
  <c r="P71" i="4" a="1"/>
  <c r="P71" i="4" s="1"/>
  <c r="P80" i="4" a="1"/>
  <c r="P80" i="4" s="1"/>
  <c r="P40" i="4" a="1"/>
  <c r="P40" i="4" s="1"/>
  <c r="P16" i="4" a="1"/>
  <c r="P16" i="4" s="1"/>
  <c r="M106" i="4" a="1"/>
  <c r="M106" i="4" s="1"/>
  <c r="M82" i="4" a="1"/>
  <c r="M82" i="4" s="1"/>
  <c r="M83" i="4" a="1"/>
  <c r="M83" i="4" s="1"/>
  <c r="M21" i="4" a="1"/>
  <c r="M21" i="4" s="1"/>
  <c r="M29" i="4" a="1"/>
  <c r="M29" i="4" s="1"/>
  <c r="M37" i="4" a="1"/>
  <c r="M37" i="4" s="1"/>
  <c r="M45" i="4" a="1"/>
  <c r="M45" i="4" s="1"/>
  <c r="M53" i="4" a="1"/>
  <c r="M53" i="4" s="1"/>
  <c r="M61" i="4" a="1"/>
  <c r="M61" i="4" s="1"/>
  <c r="M69" i="4" a="1"/>
  <c r="M69" i="4" s="1"/>
  <c r="P81" i="4" a="1"/>
  <c r="P81" i="4" s="1"/>
  <c r="P51" i="4" a="1"/>
  <c r="P51" i="4" s="1"/>
  <c r="P21" i="4" a="1"/>
  <c r="P21" i="4" s="1"/>
  <c r="P53" i="4" a="1"/>
  <c r="P53" i="4" s="1"/>
  <c r="P85" i="4" a="1"/>
  <c r="P85" i="4" s="1"/>
  <c r="M102" i="4" a="1"/>
  <c r="M102" i="4" s="1"/>
  <c r="M86" i="4" a="1"/>
  <c r="M86" i="4" s="1"/>
  <c r="M70" i="4" a="1"/>
  <c r="M70" i="4" s="1"/>
  <c r="M54" i="4" a="1"/>
  <c r="M54" i="4" s="1"/>
  <c r="M91" i="4" a="1"/>
  <c r="M91" i="4" s="1"/>
  <c r="M15" i="4" a="1"/>
  <c r="M15" i="4" s="1"/>
  <c r="E97" i="4" a="1"/>
  <c r="E97" i="4" s="1"/>
  <c r="I99" i="4"/>
  <c r="E99" i="4" a="1"/>
  <c r="E99" i="4" s="1"/>
  <c r="I94" i="4"/>
  <c r="E94" i="4" a="1"/>
  <c r="E94" i="4" s="1"/>
  <c r="I101" i="4"/>
  <c r="E101" i="4" a="1"/>
  <c r="E101" i="4" s="1"/>
  <c r="E95" i="4" a="1"/>
  <c r="E95" i="4" s="1"/>
  <c r="I87" i="4"/>
  <c r="H87" i="4" a="1"/>
  <c r="H87" i="4" s="1"/>
  <c r="E16" i="4" a="1"/>
  <c r="E16" i="4" s="1"/>
  <c r="I24" i="4"/>
  <c r="E24" i="4" a="1"/>
  <c r="E24" i="4" s="1"/>
  <c r="E48" i="4" a="1"/>
  <c r="E48" i="4" s="1"/>
  <c r="E56" i="4" a="1"/>
  <c r="E56" i="4" s="1"/>
  <c r="H98" i="4" a="1"/>
  <c r="H98" i="4" s="1"/>
  <c r="I18" i="4"/>
  <c r="H18" i="4" a="1"/>
  <c r="H18" i="4" s="1"/>
  <c r="I10" i="4"/>
  <c r="H10" i="4" a="1"/>
  <c r="H10" i="4" s="1"/>
  <c r="H35" i="4" a="1"/>
  <c r="H35" i="4" s="1"/>
  <c r="H55" i="4" a="1"/>
  <c r="H55" i="4" s="1"/>
  <c r="H23" i="4" a="1"/>
  <c r="H23" i="4" s="1"/>
  <c r="E31" i="4" a="1"/>
  <c r="E31" i="4" s="1"/>
  <c r="H105" i="4" a="1"/>
  <c r="H105" i="4" s="1"/>
  <c r="H11" i="4" a="1"/>
  <c r="H11" i="4" s="1"/>
  <c r="E14" i="4" a="1"/>
  <c r="E14" i="4" s="1"/>
  <c r="E22" i="4" a="1"/>
  <c r="E22" i="4" s="1"/>
  <c r="E34" i="4" a="1"/>
  <c r="E34" i="4" s="1"/>
  <c r="E42" i="4" a="1"/>
  <c r="E42" i="4" s="1"/>
  <c r="E50" i="4" a="1"/>
  <c r="E50" i="4" s="1"/>
  <c r="E58" i="4" a="1"/>
  <c r="E58" i="4" s="1"/>
  <c r="E66" i="4" a="1"/>
  <c r="E66" i="4" s="1"/>
  <c r="E74" i="4" a="1"/>
  <c r="E74" i="4" s="1"/>
  <c r="E82" i="4" a="1"/>
  <c r="E82" i="4" s="1"/>
  <c r="E102" i="4" a="1"/>
  <c r="E102" i="4" s="1"/>
  <c r="I88" i="4"/>
  <c r="H88" i="4" a="1"/>
  <c r="H88" i="4" s="1"/>
  <c r="I72" i="4"/>
  <c r="H72" i="4" a="1"/>
  <c r="H72" i="4" s="1"/>
  <c r="H56" i="4" a="1"/>
  <c r="H56" i="4" s="1"/>
  <c r="H48" i="4" a="1"/>
  <c r="H48" i="4" s="1"/>
  <c r="H40" i="4" a="1"/>
  <c r="H40" i="4" s="1"/>
  <c r="H32" i="4" a="1"/>
  <c r="H32" i="4" s="1"/>
  <c r="H24" i="4" a="1"/>
  <c r="H24" i="4" s="1"/>
  <c r="H16" i="4" a="1"/>
  <c r="H16" i="4" s="1"/>
  <c r="H43" i="4" a="1"/>
  <c r="H43" i="4" s="1"/>
  <c r="H75" i="4" a="1"/>
  <c r="H75" i="4" s="1"/>
  <c r="H89" i="4" a="1"/>
  <c r="H89" i="4" s="1"/>
  <c r="H91" i="4" a="1"/>
  <c r="H91" i="4" s="1"/>
  <c r="I91" i="4"/>
  <c r="E91" i="4" a="1"/>
  <c r="E91" i="4" s="1"/>
  <c r="I59" i="4"/>
  <c r="E59" i="4" a="1"/>
  <c r="E59" i="4" s="1"/>
  <c r="I27" i="4"/>
  <c r="E27" i="4" a="1"/>
  <c r="E27" i="4" s="1"/>
  <c r="I100" i="4"/>
  <c r="E100" i="4" a="1"/>
  <c r="E100" i="4" s="1"/>
  <c r="I89" i="4"/>
  <c r="E89" i="4" a="1"/>
  <c r="E89" i="4" s="1"/>
  <c r="I73" i="4"/>
  <c r="E73" i="4" a="1"/>
  <c r="E73" i="4" s="1"/>
  <c r="I57" i="4"/>
  <c r="E57" i="4" a="1"/>
  <c r="E57" i="4" s="1"/>
  <c r="I41" i="4"/>
  <c r="E41" i="4" a="1"/>
  <c r="E41" i="4" s="1"/>
  <c r="I25" i="4"/>
  <c r="E25" i="4" a="1"/>
  <c r="E25" i="4" s="1"/>
  <c r="I9" i="4"/>
  <c r="E9" i="4" a="1"/>
  <c r="E9" i="4" s="1"/>
  <c r="I83" i="4"/>
  <c r="E83" i="4" a="1"/>
  <c r="E83" i="4" s="1"/>
  <c r="I51" i="4"/>
  <c r="E51" i="4" a="1"/>
  <c r="E51" i="4" s="1"/>
  <c r="I19" i="4"/>
  <c r="E19" i="4" a="1"/>
  <c r="E19" i="4" s="1"/>
  <c r="I98" i="4"/>
  <c r="E98" i="4" a="1"/>
  <c r="E98" i="4" s="1"/>
  <c r="I106" i="4"/>
  <c r="E106" i="4" a="1"/>
  <c r="E106" i="4" s="1"/>
  <c r="I93" i="4"/>
  <c r="E93" i="4" a="1"/>
  <c r="E93" i="4" s="1"/>
  <c r="I77" i="4"/>
  <c r="E77" i="4" a="1"/>
  <c r="E77" i="4" s="1"/>
  <c r="I61" i="4"/>
  <c r="E61" i="4" a="1"/>
  <c r="E61" i="4" s="1"/>
  <c r="E12" i="4" a="1"/>
  <c r="E12" i="4" s="1"/>
  <c r="E20" i="4" a="1"/>
  <c r="E20" i="4" s="1"/>
  <c r="E28" i="4" a="1"/>
  <c r="E28" i="4" s="1"/>
  <c r="E36" i="4" a="1"/>
  <c r="E36" i="4" s="1"/>
  <c r="E44" i="4" a="1"/>
  <c r="E44" i="4" s="1"/>
  <c r="E52" i="4" a="1"/>
  <c r="E52" i="4" s="1"/>
  <c r="E60" i="4" a="1"/>
  <c r="E60" i="4" s="1"/>
  <c r="E68" i="4" a="1"/>
  <c r="E68" i="4" s="1"/>
  <c r="E76" i="4" a="1"/>
  <c r="E76" i="4" s="1"/>
  <c r="E84" i="4" a="1"/>
  <c r="E84" i="4" s="1"/>
  <c r="E92" i="4" a="1"/>
  <c r="E92" i="4" s="1"/>
  <c r="H94" i="4" a="1"/>
  <c r="H94" i="4" s="1"/>
  <c r="I86" i="4"/>
  <c r="H86" i="4" a="1"/>
  <c r="H86" i="4" s="1"/>
  <c r="H78" i="4" a="1"/>
  <c r="H78" i="4" s="1"/>
  <c r="I70" i="4"/>
  <c r="H70" i="4" a="1"/>
  <c r="H70" i="4" s="1"/>
  <c r="H62" i="4" a="1"/>
  <c r="H62" i="4" s="1"/>
  <c r="H54" i="4" a="1"/>
  <c r="H54" i="4" s="1"/>
  <c r="H46" i="4" a="1"/>
  <c r="H46" i="4" s="1"/>
  <c r="H38" i="4" a="1"/>
  <c r="H38" i="4" s="1"/>
  <c r="H30" i="4" a="1"/>
  <c r="H30" i="4" s="1"/>
  <c r="H22" i="4" a="1"/>
  <c r="H22" i="4" s="1"/>
  <c r="E105" i="4" a="1"/>
  <c r="E105" i="4" s="1"/>
  <c r="H99" i="4" a="1"/>
  <c r="H99" i="4" s="1"/>
  <c r="H39" i="4" a="1"/>
  <c r="H39" i="4" s="1"/>
  <c r="H19" i="4" a="1"/>
  <c r="H19" i="4" s="1"/>
  <c r="E10" i="4" a="1"/>
  <c r="E10" i="4" s="1"/>
  <c r="E18" i="4" a="1"/>
  <c r="E18" i="4" s="1"/>
  <c r="E30" i="4" a="1"/>
  <c r="E30" i="4" s="1"/>
  <c r="E38" i="4" a="1"/>
  <c r="E38" i="4" s="1"/>
  <c r="E46" i="4" a="1"/>
  <c r="E46" i="4" s="1"/>
  <c r="E54" i="4" a="1"/>
  <c r="E54" i="4" s="1"/>
  <c r="E62" i="4" a="1"/>
  <c r="E62" i="4" s="1"/>
  <c r="E70" i="4" a="1"/>
  <c r="E70" i="4" s="1"/>
  <c r="E78" i="4" a="1"/>
  <c r="E78" i="4" s="1"/>
  <c r="E86" i="4" a="1"/>
  <c r="E86" i="4" s="1"/>
  <c r="H100" i="4" a="1"/>
  <c r="H100" i="4" s="1"/>
  <c r="H68" i="4" a="1"/>
  <c r="H68" i="4" s="1"/>
  <c r="H52" i="4" a="1"/>
  <c r="H52" i="4" s="1"/>
  <c r="H36" i="4" a="1"/>
  <c r="H36" i="4" s="1"/>
  <c r="H20" i="4" a="1"/>
  <c r="H20" i="4" s="1"/>
  <c r="H12" i="4" a="1"/>
  <c r="H12" i="4" s="1"/>
  <c r="H27" i="4" a="1"/>
  <c r="H27" i="4" s="1"/>
  <c r="H59" i="4" a="1"/>
  <c r="H59" i="4" s="1"/>
  <c r="H83" i="4" a="1"/>
  <c r="H83" i="4" s="1"/>
  <c r="E71" i="4" a="1"/>
  <c r="E71" i="4" s="1"/>
  <c r="E90" i="4" a="1"/>
  <c r="E90" i="4" s="1"/>
  <c r="H101" i="4" a="1"/>
  <c r="H101" i="4" s="1"/>
  <c r="H79" i="4" a="1"/>
  <c r="H79" i="4" s="1"/>
  <c r="E39" i="4" a="1"/>
  <c r="E39" i="4" s="1"/>
  <c r="Q101" i="4"/>
  <c r="I8" i="4"/>
  <c r="I40" i="4"/>
  <c r="I56" i="4"/>
  <c r="I63" i="4"/>
  <c r="I26" i="4"/>
  <c r="Q27" i="4"/>
  <c r="Q19" i="4"/>
  <c r="I34" i="4"/>
  <c r="I50" i="4"/>
  <c r="I45" i="4"/>
  <c r="I29" i="4"/>
  <c r="I13" i="4"/>
  <c r="Q57" i="4"/>
  <c r="I105" i="4"/>
  <c r="Q52" i="4"/>
  <c r="Q20" i="4"/>
  <c r="Q51" i="4"/>
  <c r="I7" i="13"/>
  <c r="Q21" i="4"/>
  <c r="Q53" i="4"/>
  <c r="Q91" i="4"/>
  <c r="Q106" i="4"/>
  <c r="Q37" i="4"/>
  <c r="Q26" i="4"/>
  <c r="Q81" i="4"/>
  <c r="Q44" i="4"/>
  <c r="Q28" i="4"/>
  <c r="Q12" i="4"/>
  <c r="Q33" i="4"/>
  <c r="Q10" i="4"/>
  <c r="Q17" i="4"/>
  <c r="Q49" i="4"/>
  <c r="Q65" i="4"/>
  <c r="Q42" i="4"/>
  <c r="Q18" i="4"/>
  <c r="Q48" i="4"/>
  <c r="Q32" i="4"/>
  <c r="Q16" i="4"/>
  <c r="Q13" i="4"/>
  <c r="Q61" i="4"/>
  <c r="I23" i="4"/>
  <c r="Q100" i="4"/>
  <c r="Q92" i="4"/>
  <c r="Q84" i="4"/>
  <c r="Q76" i="4"/>
  <c r="Q68" i="4"/>
  <c r="Q60" i="4"/>
  <c r="L7" i="13"/>
  <c r="O7" i="13"/>
  <c r="O8" i="13" s="1"/>
  <c r="O8" i="14" s="1"/>
  <c r="I75" i="4"/>
  <c r="I43" i="4"/>
  <c r="I97" i="4"/>
  <c r="I17" i="4"/>
  <c r="Q102" i="4"/>
  <c r="Q94" i="4"/>
  <c r="Q86" i="4"/>
  <c r="Q78" i="4"/>
  <c r="Q70" i="4"/>
  <c r="Q62" i="4"/>
  <c r="Q54" i="4"/>
  <c r="Q99" i="4"/>
  <c r="Q98" i="4"/>
  <c r="Q90" i="4"/>
  <c r="Q82" i="4"/>
  <c r="Q74" i="4"/>
  <c r="Q66" i="4"/>
  <c r="Q58" i="4"/>
  <c r="I47" i="4"/>
  <c r="I96" i="4"/>
  <c r="I81" i="4"/>
  <c r="I65" i="4"/>
  <c r="I49" i="4"/>
  <c r="I33" i="4"/>
  <c r="I67" i="4"/>
  <c r="I35" i="4"/>
  <c r="I69" i="4"/>
  <c r="I37" i="4"/>
  <c r="I30" i="4"/>
  <c r="I38" i="4"/>
  <c r="I46" i="4"/>
  <c r="I54" i="4"/>
  <c r="I66" i="4"/>
  <c r="I74" i="4"/>
  <c r="I82" i="4"/>
  <c r="I95" i="4"/>
  <c r="I55" i="4"/>
  <c r="I12" i="4"/>
  <c r="I20" i="4"/>
  <c r="I28" i="4"/>
  <c r="I36" i="4"/>
  <c r="I44" i="4"/>
  <c r="I52" i="4"/>
  <c r="I60" i="4"/>
  <c r="I68" i="4"/>
  <c r="I76" i="4"/>
  <c r="I84" i="4"/>
  <c r="I92" i="4"/>
  <c r="Q77" i="4"/>
  <c r="Q89" i="4"/>
  <c r="Q97" i="4"/>
  <c r="Q85" i="4"/>
  <c r="Q95" i="4"/>
  <c r="Q87" i="4"/>
  <c r="O103" i="4"/>
  <c r="P103" i="4" s="1" a="1"/>
  <c r="P103" i="4" s="1"/>
  <c r="Q41" i="4"/>
  <c r="Q25" i="4"/>
  <c r="Q9" i="4"/>
  <c r="Q50" i="4"/>
  <c r="Q34" i="4"/>
  <c r="Q75" i="4"/>
  <c r="Q67" i="4"/>
  <c r="Q63" i="4"/>
  <c r="Q47" i="4"/>
  <c r="Q43" i="4"/>
  <c r="Q35" i="4"/>
  <c r="Q31" i="4"/>
  <c r="Q15" i="4"/>
  <c r="Q11" i="4"/>
  <c r="Q46" i="4"/>
  <c r="Q38" i="4"/>
  <c r="Q30" i="4"/>
  <c r="Q22" i="4"/>
  <c r="Q14" i="4"/>
  <c r="I31" i="4"/>
  <c r="I58" i="4"/>
  <c r="Q29" i="4"/>
  <c r="Q45" i="4"/>
  <c r="Q79" i="4"/>
  <c r="I85" i="4"/>
  <c r="I53" i="4"/>
  <c r="I21" i="4"/>
  <c r="AR4" i="5"/>
  <c r="AK4" i="5"/>
  <c r="BC4" i="5"/>
  <c r="BH4" i="5"/>
  <c r="BR4" i="5"/>
  <c r="BX4" i="5"/>
  <c r="CE4" i="5"/>
  <c r="N6" i="7"/>
  <c r="N5" i="7"/>
  <c r="H4" i="7"/>
  <c r="N4" i="7"/>
  <c r="H7" i="7"/>
  <c r="H3" i="7"/>
  <c r="N3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14" i="7"/>
  <c r="U14" i="7"/>
  <c r="U15" i="7"/>
  <c r="U16" i="7"/>
  <c r="U17" i="7"/>
  <c r="U18" i="7"/>
  <c r="U19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O10" i="7"/>
  <c r="EE47" i="5" l="1"/>
  <c r="EE41" i="5"/>
  <c r="EE35" i="5"/>
  <c r="EE31" i="5"/>
  <c r="EE25" i="5"/>
  <c r="EE19" i="5"/>
  <c r="EE13" i="5"/>
  <c r="EE7" i="5"/>
  <c r="D40" i="13"/>
  <c r="D39" i="14"/>
  <c r="D10" i="13"/>
  <c r="D9" i="14"/>
  <c r="I9" i="14" s="1"/>
  <c r="EE45" i="5"/>
  <c r="EE43" i="5"/>
  <c r="EE39" i="5"/>
  <c r="EE37" i="5"/>
  <c r="EE33" i="5"/>
  <c r="EE29" i="5"/>
  <c r="EE27" i="5"/>
  <c r="EE23" i="5"/>
  <c r="EE21" i="5"/>
  <c r="EE17" i="5"/>
  <c r="EE15" i="5"/>
  <c r="EE11" i="5"/>
  <c r="EE9" i="5"/>
  <c r="EE46" i="5"/>
  <c r="EE44" i="5"/>
  <c r="EE42" i="5"/>
  <c r="EE40" i="5"/>
  <c r="EE38" i="5"/>
  <c r="EE36" i="5"/>
  <c r="EE34" i="5"/>
  <c r="EE32" i="5"/>
  <c r="EE30" i="5"/>
  <c r="EE28" i="5"/>
  <c r="EE26" i="5"/>
  <c r="EE24" i="5"/>
  <c r="EE22" i="5"/>
  <c r="EE20" i="5"/>
  <c r="EE18" i="5"/>
  <c r="EE16" i="5"/>
  <c r="EE14" i="5"/>
  <c r="EE12" i="5"/>
  <c r="EE10" i="5"/>
  <c r="EE8" i="5"/>
  <c r="EE48" i="5"/>
  <c r="EE6" i="5"/>
  <c r="I10" i="13"/>
  <c r="I9" i="13"/>
  <c r="O9" i="13"/>
  <c r="O9" i="14" s="1"/>
  <c r="G12" i="13"/>
  <c r="L9" i="13"/>
  <c r="L9" i="14" s="1"/>
  <c r="AB4" i="5"/>
  <c r="O9" i="7"/>
  <c r="P82" i="15"/>
  <c r="D60" i="13"/>
  <c r="D60" i="14" s="1"/>
  <c r="R82" i="6"/>
  <c r="M110" i="4" a="1"/>
  <c r="M110" i="4" s="1"/>
  <c r="E126" i="4" a="1"/>
  <c r="E126" i="4" s="1"/>
  <c r="H108" i="4" a="1"/>
  <c r="H108" i="4" s="1"/>
  <c r="M123" i="4" a="1"/>
  <c r="M123" i="4" s="1"/>
  <c r="M115" i="4" a="1"/>
  <c r="M115" i="4" s="1"/>
  <c r="M107" i="4" a="1"/>
  <c r="M107" i="4" s="1"/>
  <c r="M120" i="4" a="1"/>
  <c r="M120" i="4" s="1"/>
  <c r="M112" i="4" a="1"/>
  <c r="M112" i="4" s="1"/>
  <c r="M125" i="4" a="1"/>
  <c r="M125" i="4" s="1"/>
  <c r="M117" i="4" a="1"/>
  <c r="M117" i="4" s="1"/>
  <c r="M109" i="4" a="1"/>
  <c r="M109" i="4" s="1"/>
  <c r="M122" i="4" a="1"/>
  <c r="M122" i="4" s="1"/>
  <c r="M114" i="4" a="1"/>
  <c r="M114" i="4" s="1"/>
  <c r="M127" i="4" a="1"/>
  <c r="M127" i="4" s="1"/>
  <c r="Q8" i="13"/>
  <c r="Q8" i="14"/>
  <c r="Q7" i="14"/>
  <c r="M119" i="4" a="1"/>
  <c r="M119" i="4" s="1"/>
  <c r="M111" i="4" a="1"/>
  <c r="M111" i="4" s="1"/>
  <c r="M124" i="4" a="1"/>
  <c r="M124" i="4" s="1"/>
  <c r="M116" i="4" a="1"/>
  <c r="M116" i="4" s="1"/>
  <c r="M108" i="4" a="1"/>
  <c r="M108" i="4" s="1"/>
  <c r="M121" i="4" a="1"/>
  <c r="M121" i="4" s="1"/>
  <c r="M113" i="4" a="1"/>
  <c r="M113" i="4" s="1"/>
  <c r="M126" i="4" a="1"/>
  <c r="M126" i="4" s="1"/>
  <c r="M118" i="4" a="1"/>
  <c r="M118" i="4" s="1"/>
  <c r="P104" i="4" a="1"/>
  <c r="P104" i="4" s="1"/>
  <c r="P126" i="4" s="1" a="1"/>
  <c r="P126" i="4" s="1"/>
  <c r="H125" i="4" a="1"/>
  <c r="H125" i="4" s="1"/>
  <c r="H117" i="4" a="1"/>
  <c r="H117" i="4" s="1"/>
  <c r="H109" i="4" a="1"/>
  <c r="H109" i="4" s="1"/>
  <c r="H122" i="4" a="1"/>
  <c r="H122" i="4" s="1"/>
  <c r="H114" i="4" a="1"/>
  <c r="H114" i="4" s="1"/>
  <c r="H123" i="4" a="1"/>
  <c r="H123" i="4" s="1"/>
  <c r="H115" i="4" a="1"/>
  <c r="H115" i="4" s="1"/>
  <c r="H107" i="4" a="1"/>
  <c r="H107" i="4" s="1"/>
  <c r="H120" i="4" a="1"/>
  <c r="H120" i="4" s="1"/>
  <c r="H112" i="4" a="1"/>
  <c r="H112" i="4" s="1"/>
  <c r="H127" i="4" a="1"/>
  <c r="H127" i="4" s="1"/>
  <c r="E127" i="4" a="1"/>
  <c r="E127" i="4" s="1"/>
  <c r="E108" i="4" a="1"/>
  <c r="E108" i="4" s="1"/>
  <c r="E112" i="4" a="1"/>
  <c r="E112" i="4" s="1"/>
  <c r="E116" i="4" a="1"/>
  <c r="E116" i="4" s="1"/>
  <c r="E120" i="4" a="1"/>
  <c r="E120" i="4" s="1"/>
  <c r="E124" i="4" a="1"/>
  <c r="E124" i="4" s="1"/>
  <c r="E109" i="4" a="1"/>
  <c r="E109" i="4" s="1"/>
  <c r="E113" i="4" a="1"/>
  <c r="E113" i="4" s="1"/>
  <c r="E117" i="4" a="1"/>
  <c r="E117" i="4" s="1"/>
  <c r="E121" i="4" a="1"/>
  <c r="E121" i="4" s="1"/>
  <c r="E125" i="4" a="1"/>
  <c r="E125" i="4" s="1"/>
  <c r="E110" i="4" a="1"/>
  <c r="E110" i="4" s="1"/>
  <c r="E114" i="4" a="1"/>
  <c r="E114" i="4" s="1"/>
  <c r="E118" i="4" a="1"/>
  <c r="E118" i="4" s="1"/>
  <c r="E122" i="4" a="1"/>
  <c r="E122" i="4" s="1"/>
  <c r="E107" i="4" a="1"/>
  <c r="E107" i="4" s="1"/>
  <c r="E111" i="4" a="1"/>
  <c r="E111" i="4" s="1"/>
  <c r="E115" i="4" a="1"/>
  <c r="E115" i="4" s="1"/>
  <c r="E119" i="4" a="1"/>
  <c r="E119" i="4" s="1"/>
  <c r="E123" i="4" a="1"/>
  <c r="E123" i="4" s="1"/>
  <c r="H121" i="4" a="1"/>
  <c r="H121" i="4" s="1"/>
  <c r="H113" i="4" a="1"/>
  <c r="H113" i="4" s="1"/>
  <c r="H126" i="4" a="1"/>
  <c r="H126" i="4" s="1"/>
  <c r="H118" i="4" a="1"/>
  <c r="H118" i="4" s="1"/>
  <c r="H110" i="4" a="1"/>
  <c r="H110" i="4" s="1"/>
  <c r="H119" i="4" a="1"/>
  <c r="H119" i="4" s="1"/>
  <c r="H111" i="4" a="1"/>
  <c r="H111" i="4" s="1"/>
  <c r="H124" i="4" a="1"/>
  <c r="H124" i="4" s="1"/>
  <c r="H116" i="4" a="1"/>
  <c r="H116" i="4" s="1"/>
  <c r="I7" i="14"/>
  <c r="Q7" i="13"/>
  <c r="Q103" i="4"/>
  <c r="DM11" i="5"/>
  <c r="EF5" i="5" s="1"/>
  <c r="A50" i="6"/>
  <c r="A51" i="6"/>
  <c r="A52" i="6"/>
  <c r="A53" i="6"/>
  <c r="A54" i="6"/>
  <c r="A55" i="6"/>
  <c r="A56" i="6"/>
  <c r="A5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7" i="6"/>
  <c r="G49" i="6"/>
  <c r="G48" i="6" s="1" a="1"/>
  <c r="G48" i="6" s="1"/>
  <c r="G47" i="6" s="1" a="1"/>
  <c r="G47" i="6" s="1"/>
  <c r="G46" i="6" s="1" a="1"/>
  <c r="G46" i="6" s="1"/>
  <c r="G45" i="6" s="1" a="1"/>
  <c r="G45" i="6" s="1"/>
  <c r="G44" i="6" s="1" a="1"/>
  <c r="G44" i="6" s="1"/>
  <c r="G43" i="6" s="1" a="1"/>
  <c r="G43" i="6" s="1"/>
  <c r="G42" i="6" s="1" a="1"/>
  <c r="G42" i="6" s="1"/>
  <c r="G41" i="6" s="1" a="1"/>
  <c r="G41" i="6" s="1"/>
  <c r="G40" i="6" s="1" a="1"/>
  <c r="G40" i="6" s="1"/>
  <c r="G39" i="6" s="1" a="1"/>
  <c r="G39" i="6" s="1"/>
  <c r="G38" i="6" s="1" a="1"/>
  <c r="G38" i="6" s="1"/>
  <c r="G37" i="6" s="1" a="1"/>
  <c r="G37" i="6" s="1"/>
  <c r="G36" i="6" s="1" a="1"/>
  <c r="G36" i="6" s="1"/>
  <c r="G35" i="6" s="1" a="1"/>
  <c r="G35" i="6" s="1"/>
  <c r="G34" i="6" s="1" a="1"/>
  <c r="G34" i="6" s="1"/>
  <c r="G33" i="6" s="1" a="1"/>
  <c r="G33" i="6" s="1"/>
  <c r="G32" i="6" s="1" a="1"/>
  <c r="G32" i="6" s="1"/>
  <c r="G31" i="6" s="1" a="1"/>
  <c r="G31" i="6" s="1"/>
  <c r="G30" i="6" s="1" a="1"/>
  <c r="G30" i="6" s="1"/>
  <c r="G29" i="6" s="1" a="1"/>
  <c r="G29" i="6" s="1"/>
  <c r="G28" i="6" s="1" a="1"/>
  <c r="G28" i="6" s="1"/>
  <c r="G27" i="6" s="1" a="1"/>
  <c r="G27" i="6" s="1"/>
  <c r="G26" i="6" s="1" a="1"/>
  <c r="G26" i="6" s="1"/>
  <c r="G25" i="6" s="1" a="1"/>
  <c r="G25" i="6" s="1"/>
  <c r="G24" i="6" s="1" a="1"/>
  <c r="G24" i="6" s="1"/>
  <c r="G23" i="6" s="1" a="1"/>
  <c r="G23" i="6" s="1"/>
  <c r="G22" i="6" s="1" a="1"/>
  <c r="G22" i="6" s="1"/>
  <c r="G21" i="6" s="1" a="1"/>
  <c r="G21" i="6" s="1"/>
  <c r="G20" i="6" s="1" a="1"/>
  <c r="G20" i="6" s="1"/>
  <c r="G19" i="6" s="1" a="1"/>
  <c r="G19" i="6" s="1"/>
  <c r="G18" i="6" s="1" a="1"/>
  <c r="G18" i="6" s="1"/>
  <c r="G17" i="6" s="1" a="1"/>
  <c r="G17" i="6" s="1"/>
  <c r="G16" i="6" s="1" a="1"/>
  <c r="G16" i="6" s="1"/>
  <c r="G15" i="6" s="1" a="1"/>
  <c r="G15" i="6" s="1"/>
  <c r="G14" i="6" s="1" a="1"/>
  <c r="G14" i="6" s="1"/>
  <c r="G13" i="6" s="1" a="1"/>
  <c r="G13" i="6" s="1"/>
  <c r="G12" i="6" s="1" a="1"/>
  <c r="G12" i="6" s="1"/>
  <c r="G11" i="6" s="1" a="1"/>
  <c r="G11" i="6" s="1"/>
  <c r="G10" i="6" s="1" a="1"/>
  <c r="G10" i="6" s="1"/>
  <c r="G9" i="6" s="1" a="1"/>
  <c r="G9" i="6" s="1"/>
  <c r="G8" i="6" s="1" a="1"/>
  <c r="G8" i="6" s="1"/>
  <c r="G7" i="6" s="1" a="1"/>
  <c r="G7" i="6" s="1"/>
  <c r="J7" i="1"/>
  <c r="J6" i="1"/>
  <c r="DQ11" i="5"/>
  <c r="EJ5" i="5" s="1"/>
  <c r="DR11" i="5"/>
  <c r="EK5" i="5" s="1"/>
  <c r="DS11" i="5"/>
  <c r="EL5" i="5" s="1"/>
  <c r="DN11" i="5"/>
  <c r="EG5" i="5" s="1"/>
  <c r="H5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6" i="5"/>
  <c r="O6" i="5" s="1"/>
  <c r="W5" i="5"/>
  <c r="J2" i="8" s="1"/>
  <c r="Y5" i="5"/>
  <c r="J3" i="8" s="1"/>
  <c r="B6" i="5"/>
  <c r="G12" i="14" l="1"/>
  <c r="D11" i="13"/>
  <c r="D10" i="14"/>
  <c r="I10" i="14" s="1"/>
  <c r="D41" i="13"/>
  <c r="D40" i="14"/>
  <c r="C40" i="7"/>
  <c r="C66" i="7" s="1"/>
  <c r="L66" i="7" s="1"/>
  <c r="C32" i="7"/>
  <c r="F40" i="7"/>
  <c r="F66" i="7" s="1"/>
  <c r="O66" i="7" s="1"/>
  <c r="F32" i="7"/>
  <c r="B40" i="7"/>
  <c r="B32" i="7"/>
  <c r="B66" i="7" s="1"/>
  <c r="K66" i="7" s="1"/>
  <c r="G32" i="7"/>
  <c r="G40" i="7"/>
  <c r="G66" i="7" s="1"/>
  <c r="P66" i="7" s="1"/>
  <c r="E40" i="7"/>
  <c r="E66" i="7" s="1"/>
  <c r="N66" i="7" s="1"/>
  <c r="E32" i="7"/>
  <c r="L10" i="13"/>
  <c r="L10" i="14" s="1"/>
  <c r="Q9" i="13"/>
  <c r="G13" i="13"/>
  <c r="O10" i="13"/>
  <c r="O10" i="14" s="1"/>
  <c r="S6" i="5"/>
  <c r="T6" i="5" s="1"/>
  <c r="C49" i="6"/>
  <c r="C47" i="6"/>
  <c r="C45" i="6"/>
  <c r="C43" i="6"/>
  <c r="C41" i="6"/>
  <c r="C39" i="6"/>
  <c r="C37" i="6"/>
  <c r="C35" i="6"/>
  <c r="C33" i="6"/>
  <c r="C31" i="6"/>
  <c r="C29" i="6"/>
  <c r="C27" i="6"/>
  <c r="C25" i="6"/>
  <c r="C23" i="6"/>
  <c r="C21" i="6"/>
  <c r="C19" i="6"/>
  <c r="C17" i="6"/>
  <c r="C15" i="6"/>
  <c r="C13" i="6"/>
  <c r="C11" i="6"/>
  <c r="C9" i="6"/>
  <c r="C57" i="6"/>
  <c r="C55" i="6"/>
  <c r="C53" i="6"/>
  <c r="C51" i="6"/>
  <c r="C7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C12" i="6"/>
  <c r="C10" i="6"/>
  <c r="C8" i="6"/>
  <c r="C56" i="6"/>
  <c r="C54" i="6"/>
  <c r="C52" i="6"/>
  <c r="C50" i="6"/>
  <c r="AQ7" i="6"/>
  <c r="AA7" i="6"/>
  <c r="AQ48" i="6"/>
  <c r="AA48" i="6"/>
  <c r="AQ46" i="6"/>
  <c r="AA46" i="6"/>
  <c r="AQ44" i="6"/>
  <c r="AA44" i="6"/>
  <c r="AQ42" i="6"/>
  <c r="AA42" i="6"/>
  <c r="AQ40" i="6"/>
  <c r="AA40" i="6"/>
  <c r="AQ38" i="6"/>
  <c r="AA38" i="6"/>
  <c r="AQ36" i="6"/>
  <c r="AA36" i="6"/>
  <c r="AQ34" i="6"/>
  <c r="AA34" i="6"/>
  <c r="AQ32" i="6"/>
  <c r="AA32" i="6"/>
  <c r="AQ30" i="6"/>
  <c r="AA30" i="6"/>
  <c r="AQ28" i="6"/>
  <c r="AA28" i="6"/>
  <c r="AQ26" i="6"/>
  <c r="AA26" i="6"/>
  <c r="AQ24" i="6"/>
  <c r="AA24" i="6"/>
  <c r="AQ22" i="6"/>
  <c r="AA22" i="6"/>
  <c r="AQ20" i="6"/>
  <c r="AA20" i="6"/>
  <c r="AQ18" i="6"/>
  <c r="AA18" i="6"/>
  <c r="AQ16" i="6"/>
  <c r="AA16" i="6"/>
  <c r="AQ14" i="6"/>
  <c r="AA14" i="6"/>
  <c r="AQ12" i="6"/>
  <c r="AA12" i="6"/>
  <c r="AQ10" i="6"/>
  <c r="AA10" i="6"/>
  <c r="AQ8" i="6"/>
  <c r="AA8" i="6"/>
  <c r="AQ56" i="6"/>
  <c r="AA56" i="6"/>
  <c r="AQ54" i="6"/>
  <c r="AA54" i="6"/>
  <c r="AQ52" i="6"/>
  <c r="AA52" i="6"/>
  <c r="AQ50" i="6"/>
  <c r="AA50" i="6"/>
  <c r="AQ49" i="6"/>
  <c r="AA49" i="6"/>
  <c r="AA47" i="6"/>
  <c r="AQ47" i="6"/>
  <c r="AQ45" i="6"/>
  <c r="AA45" i="6"/>
  <c r="AA43" i="6"/>
  <c r="AQ43" i="6"/>
  <c r="AQ41" i="6"/>
  <c r="AA41" i="6"/>
  <c r="AA39" i="6"/>
  <c r="AQ39" i="6"/>
  <c r="AQ37" i="6"/>
  <c r="AA37" i="6"/>
  <c r="AA35" i="6"/>
  <c r="AQ35" i="6"/>
  <c r="AQ33" i="6"/>
  <c r="AA33" i="6"/>
  <c r="AA31" i="6"/>
  <c r="AQ31" i="6"/>
  <c r="AQ29" i="6"/>
  <c r="AA29" i="6"/>
  <c r="AA27" i="6"/>
  <c r="AQ27" i="6"/>
  <c r="AQ25" i="6"/>
  <c r="AA25" i="6"/>
  <c r="AQ23" i="6"/>
  <c r="AA23" i="6"/>
  <c r="AQ21" i="6"/>
  <c r="AA21" i="6"/>
  <c r="AQ19" i="6"/>
  <c r="AA19" i="6"/>
  <c r="AQ17" i="6"/>
  <c r="AA17" i="6"/>
  <c r="AQ15" i="6"/>
  <c r="AA15" i="6"/>
  <c r="AQ13" i="6"/>
  <c r="AA13" i="6"/>
  <c r="AQ11" i="6"/>
  <c r="AA11" i="6"/>
  <c r="AQ9" i="6"/>
  <c r="AA9" i="6"/>
  <c r="AQ57" i="6"/>
  <c r="AA57" i="6"/>
  <c r="AA55" i="6"/>
  <c r="AQ55" i="6"/>
  <c r="AQ53" i="6"/>
  <c r="AA53" i="6"/>
  <c r="AA51" i="6"/>
  <c r="AQ51" i="6"/>
  <c r="BH3" i="6"/>
  <c r="D61" i="13"/>
  <c r="D61" i="14" s="1"/>
  <c r="R6" i="5"/>
  <c r="R79" i="5"/>
  <c r="R77" i="5"/>
  <c r="R75" i="5"/>
  <c r="R73" i="5"/>
  <c r="R71" i="5"/>
  <c r="R69" i="5"/>
  <c r="R67" i="5"/>
  <c r="R65" i="5"/>
  <c r="R63" i="5"/>
  <c r="R61" i="5"/>
  <c r="R59" i="5"/>
  <c r="R57" i="5"/>
  <c r="R55" i="5"/>
  <c r="R53" i="5"/>
  <c r="R51" i="5"/>
  <c r="R49" i="5"/>
  <c r="R47" i="5"/>
  <c r="R45" i="5"/>
  <c r="R43" i="5"/>
  <c r="R41" i="5"/>
  <c r="R39" i="5"/>
  <c r="R37" i="5"/>
  <c r="R35" i="5"/>
  <c r="R33" i="5"/>
  <c r="R31" i="5"/>
  <c r="R29" i="5"/>
  <c r="R27" i="5"/>
  <c r="R25" i="5"/>
  <c r="R23" i="5"/>
  <c r="R21" i="5"/>
  <c r="R19" i="5"/>
  <c r="R17" i="5"/>
  <c r="R15" i="5"/>
  <c r="R13" i="5"/>
  <c r="R11" i="5"/>
  <c r="R9" i="5"/>
  <c r="R7" i="5"/>
  <c r="R80" i="5"/>
  <c r="R78" i="5"/>
  <c r="R76" i="5"/>
  <c r="R74" i="5"/>
  <c r="R72" i="5"/>
  <c r="R70" i="5"/>
  <c r="R68" i="5"/>
  <c r="R66" i="5"/>
  <c r="R64" i="5"/>
  <c r="R62" i="5"/>
  <c r="R60" i="5"/>
  <c r="R58" i="5"/>
  <c r="R56" i="5"/>
  <c r="R54" i="5"/>
  <c r="R52" i="5"/>
  <c r="R50" i="5"/>
  <c r="R48" i="5"/>
  <c r="R46" i="5"/>
  <c r="R44" i="5"/>
  <c r="R42" i="5"/>
  <c r="R40" i="5"/>
  <c r="R38" i="5"/>
  <c r="R36" i="5"/>
  <c r="R34" i="5"/>
  <c r="R32" i="5"/>
  <c r="R30" i="5"/>
  <c r="R28" i="5"/>
  <c r="R26" i="5"/>
  <c r="R24" i="5"/>
  <c r="R22" i="5"/>
  <c r="R20" i="5"/>
  <c r="R18" i="5"/>
  <c r="R16" i="5"/>
  <c r="R14" i="5"/>
  <c r="R12" i="5"/>
  <c r="R10" i="5"/>
  <c r="R8" i="5"/>
  <c r="O7" i="5"/>
  <c r="CI6" i="5"/>
  <c r="V6" i="5"/>
  <c r="V47" i="5"/>
  <c r="CI47" i="5"/>
  <c r="V45" i="5"/>
  <c r="CI45" i="5"/>
  <c r="V43" i="5"/>
  <c r="CI43" i="5"/>
  <c r="V41" i="5"/>
  <c r="CI41" i="5"/>
  <c r="V39" i="5"/>
  <c r="CI39" i="5"/>
  <c r="V37" i="5"/>
  <c r="CI37" i="5"/>
  <c r="V35" i="5"/>
  <c r="CI35" i="5"/>
  <c r="V33" i="5"/>
  <c r="CI33" i="5"/>
  <c r="V31" i="5"/>
  <c r="CI31" i="5"/>
  <c r="V29" i="5"/>
  <c r="CI29" i="5"/>
  <c r="V27" i="5"/>
  <c r="CI27" i="5"/>
  <c r="V25" i="5"/>
  <c r="CI25" i="5"/>
  <c r="V23" i="5"/>
  <c r="CI23" i="5"/>
  <c r="V21" i="5"/>
  <c r="CI21" i="5"/>
  <c r="V19" i="5"/>
  <c r="CI19" i="5"/>
  <c r="V17" i="5"/>
  <c r="CI17" i="5"/>
  <c r="V15" i="5"/>
  <c r="CI15" i="5"/>
  <c r="V13" i="5"/>
  <c r="CI13" i="5"/>
  <c r="V11" i="5"/>
  <c r="CI11" i="5"/>
  <c r="V9" i="5"/>
  <c r="CI9" i="5"/>
  <c r="V7" i="5"/>
  <c r="CI7" i="5"/>
  <c r="CI48" i="5"/>
  <c r="V48" i="5"/>
  <c r="CI46" i="5"/>
  <c r="V46" i="5"/>
  <c r="CI44" i="5"/>
  <c r="V44" i="5"/>
  <c r="CI42" i="5"/>
  <c r="V42" i="5"/>
  <c r="CI40" i="5"/>
  <c r="V40" i="5"/>
  <c r="CI38" i="5"/>
  <c r="V38" i="5"/>
  <c r="CI36" i="5"/>
  <c r="V36" i="5"/>
  <c r="CI34" i="5"/>
  <c r="V34" i="5"/>
  <c r="CI32" i="5"/>
  <c r="V32" i="5"/>
  <c r="CI30" i="5"/>
  <c r="V30" i="5"/>
  <c r="CI28" i="5"/>
  <c r="V28" i="5"/>
  <c r="CI26" i="5"/>
  <c r="V26" i="5"/>
  <c r="CI24" i="5"/>
  <c r="V24" i="5"/>
  <c r="CI22" i="5"/>
  <c r="V22" i="5"/>
  <c r="CI20" i="5"/>
  <c r="V20" i="5"/>
  <c r="CI18" i="5"/>
  <c r="V18" i="5"/>
  <c r="CI16" i="5"/>
  <c r="V16" i="5"/>
  <c r="CI14" i="5"/>
  <c r="V14" i="5"/>
  <c r="CI12" i="5"/>
  <c r="V12" i="5"/>
  <c r="CI10" i="5"/>
  <c r="V10" i="5"/>
  <c r="CI8" i="5"/>
  <c r="V8" i="5"/>
  <c r="V5" i="5"/>
  <c r="CI5" i="5"/>
  <c r="P123" i="4" a="1"/>
  <c r="P123" i="4" s="1"/>
  <c r="P115" i="4" a="1"/>
  <c r="P115" i="4" s="1"/>
  <c r="P107" i="4" a="1"/>
  <c r="P107" i="4" s="1"/>
  <c r="P118" i="4" a="1"/>
  <c r="P118" i="4" s="1"/>
  <c r="P110" i="4" a="1"/>
  <c r="P110" i="4" s="1"/>
  <c r="P121" i="4" a="1"/>
  <c r="P121" i="4" s="1"/>
  <c r="P113" i="4" a="1"/>
  <c r="P113" i="4" s="1"/>
  <c r="P124" i="4" a="1"/>
  <c r="P124" i="4" s="1"/>
  <c r="P116" i="4" a="1"/>
  <c r="P116" i="4" s="1"/>
  <c r="P108" i="4" a="1"/>
  <c r="P108" i="4" s="1"/>
  <c r="P119" i="4" a="1"/>
  <c r="P119" i="4" s="1"/>
  <c r="P111" i="4" a="1"/>
  <c r="P111" i="4" s="1"/>
  <c r="P122" i="4" a="1"/>
  <c r="P122" i="4" s="1"/>
  <c r="P114" i="4" a="1"/>
  <c r="P114" i="4" s="1"/>
  <c r="P125" i="4" a="1"/>
  <c r="P125" i="4" s="1"/>
  <c r="P117" i="4" a="1"/>
  <c r="P117" i="4" s="1"/>
  <c r="P109" i="4" a="1"/>
  <c r="P109" i="4" s="1"/>
  <c r="P120" i="4" a="1"/>
  <c r="P120" i="4" s="1"/>
  <c r="P112" i="4" a="1"/>
  <c r="P112" i="4" s="1"/>
  <c r="P127" i="4" a="1"/>
  <c r="P127" i="4" s="1"/>
  <c r="DV38" i="5"/>
  <c r="DV28" i="5"/>
  <c r="DV18" i="5"/>
  <c r="DV8" i="5"/>
  <c r="DV47" i="5"/>
  <c r="DV45" i="5"/>
  <c r="DV43" i="5"/>
  <c r="DV41" i="5"/>
  <c r="DV39" i="5"/>
  <c r="DV37" i="5"/>
  <c r="DV35" i="5"/>
  <c r="DV33" i="5"/>
  <c r="DV31" i="5"/>
  <c r="DV29" i="5"/>
  <c r="DV27" i="5"/>
  <c r="DV25" i="5"/>
  <c r="DV23" i="5"/>
  <c r="DV21" i="5"/>
  <c r="DV19" i="5"/>
  <c r="DV17" i="5"/>
  <c r="DV15" i="5"/>
  <c r="DV13" i="5"/>
  <c r="DV11" i="5"/>
  <c r="DV7" i="5"/>
  <c r="DB48" i="5"/>
  <c r="DV48" i="5"/>
  <c r="DB46" i="5"/>
  <c r="DV46" i="5"/>
  <c r="DB44" i="5"/>
  <c r="DV44" i="5"/>
  <c r="DB42" i="5"/>
  <c r="DV42" i="5"/>
  <c r="DB40" i="5"/>
  <c r="DV40" i="5"/>
  <c r="DB36" i="5"/>
  <c r="DV36" i="5"/>
  <c r="DB34" i="5"/>
  <c r="DV34" i="5"/>
  <c r="DB32" i="5"/>
  <c r="DV32" i="5"/>
  <c r="DB30" i="5"/>
  <c r="DV30" i="5"/>
  <c r="DB26" i="5"/>
  <c r="DV26" i="5"/>
  <c r="DB24" i="5"/>
  <c r="DV24" i="5"/>
  <c r="DB22" i="5"/>
  <c r="DV22" i="5"/>
  <c r="DB20" i="5"/>
  <c r="DV20" i="5"/>
  <c r="DB16" i="5"/>
  <c r="DV16" i="5"/>
  <c r="DB14" i="5"/>
  <c r="DV14" i="5"/>
  <c r="DB12" i="5"/>
  <c r="DV12" i="5"/>
  <c r="DB10" i="5"/>
  <c r="DV10" i="5"/>
  <c r="DB6" i="5"/>
  <c r="DV6" i="5"/>
  <c r="DB9" i="5"/>
  <c r="DV9" i="5"/>
  <c r="DL15" i="5"/>
  <c r="DB38" i="5"/>
  <c r="DL14" i="5"/>
  <c r="DB28" i="5"/>
  <c r="DL13" i="5"/>
  <c r="DB18" i="5"/>
  <c r="DL12" i="5"/>
  <c r="DB8" i="5"/>
  <c r="DL11" i="5"/>
  <c r="DB5" i="5"/>
  <c r="DB47" i="5"/>
  <c r="DB45" i="5"/>
  <c r="DB43" i="5"/>
  <c r="DB41" i="5"/>
  <c r="DB39" i="5"/>
  <c r="DB37" i="5"/>
  <c r="DB35" i="5"/>
  <c r="DB33" i="5"/>
  <c r="DB31" i="5"/>
  <c r="DB29" i="5"/>
  <c r="DB27" i="5"/>
  <c r="DB25" i="5"/>
  <c r="DB23" i="5"/>
  <c r="DB21" i="5"/>
  <c r="DB19" i="5"/>
  <c r="DB17" i="5"/>
  <c r="DB15" i="5"/>
  <c r="DB13" i="5"/>
  <c r="DB11" i="5"/>
  <c r="DB7" i="5"/>
  <c r="B7" i="5"/>
  <c r="G13" i="14" l="1"/>
  <c r="D42" i="13"/>
  <c r="D41" i="14"/>
  <c r="D12" i="13"/>
  <c r="D11" i="14"/>
  <c r="I11" i="14" s="1"/>
  <c r="I11" i="13"/>
  <c r="Q9" i="14"/>
  <c r="O11" i="13"/>
  <c r="O11" i="14" s="1"/>
  <c r="G14" i="13"/>
  <c r="L11" i="13"/>
  <c r="L11" i="14" s="1"/>
  <c r="Q10" i="13"/>
  <c r="AR52" i="6"/>
  <c r="AI52" i="6"/>
  <c r="AR56" i="6"/>
  <c r="AI56" i="6"/>
  <c r="AR10" i="6"/>
  <c r="AI10" i="6"/>
  <c r="AR14" i="6"/>
  <c r="AI14" i="6"/>
  <c r="AR18" i="6"/>
  <c r="AI18" i="6"/>
  <c r="AR22" i="6"/>
  <c r="AI22" i="6"/>
  <c r="AR26" i="6"/>
  <c r="AI26" i="6"/>
  <c r="AR30" i="6"/>
  <c r="AI30" i="6"/>
  <c r="AR34" i="6"/>
  <c r="AI34" i="6"/>
  <c r="AR38" i="6"/>
  <c r="AI38" i="6"/>
  <c r="AR42" i="6"/>
  <c r="AI42" i="6"/>
  <c r="AR46" i="6"/>
  <c r="AI46" i="6"/>
  <c r="AR7" i="6"/>
  <c r="AI7" i="6"/>
  <c r="AR53" i="6"/>
  <c r="AI53" i="6"/>
  <c r="AR57" i="6"/>
  <c r="AI57" i="6"/>
  <c r="AR11" i="6"/>
  <c r="AI11" i="6"/>
  <c r="AR15" i="6"/>
  <c r="AI15" i="6"/>
  <c r="AR19" i="6"/>
  <c r="AI19" i="6"/>
  <c r="AR23" i="6"/>
  <c r="AI23" i="6"/>
  <c r="AR27" i="6"/>
  <c r="AI27" i="6"/>
  <c r="AR31" i="6"/>
  <c r="AI31" i="6"/>
  <c r="AR35" i="6"/>
  <c r="AI35" i="6"/>
  <c r="AR39" i="6"/>
  <c r="AI39" i="6"/>
  <c r="AR43" i="6"/>
  <c r="AI43" i="6"/>
  <c r="AR47" i="6"/>
  <c r="AI47" i="6"/>
  <c r="AR50" i="6"/>
  <c r="AI50" i="6"/>
  <c r="AR54" i="6"/>
  <c r="AI54" i="6"/>
  <c r="AR8" i="6"/>
  <c r="AI8" i="6"/>
  <c r="AR12" i="6"/>
  <c r="AI12" i="6"/>
  <c r="AR16" i="6"/>
  <c r="AI16" i="6"/>
  <c r="AR20" i="6"/>
  <c r="AI20" i="6"/>
  <c r="AR24" i="6"/>
  <c r="AI24" i="6"/>
  <c r="AR28" i="6"/>
  <c r="AI28" i="6"/>
  <c r="AR32" i="6"/>
  <c r="AI32" i="6"/>
  <c r="AR36" i="6"/>
  <c r="AI36" i="6"/>
  <c r="AR40" i="6"/>
  <c r="AI40" i="6"/>
  <c r="AR44" i="6"/>
  <c r="AI44" i="6"/>
  <c r="AR48" i="6"/>
  <c r="AI48" i="6"/>
  <c r="AR51" i="6"/>
  <c r="AI51" i="6"/>
  <c r="AR55" i="6"/>
  <c r="AI55" i="6"/>
  <c r="AR9" i="6"/>
  <c r="AI9" i="6"/>
  <c r="AR13" i="6"/>
  <c r="AI13" i="6"/>
  <c r="AR17" i="6"/>
  <c r="AI17" i="6"/>
  <c r="AR21" i="6"/>
  <c r="AI21" i="6"/>
  <c r="AR25" i="6"/>
  <c r="AI25" i="6"/>
  <c r="AR29" i="6"/>
  <c r="AI29" i="6"/>
  <c r="AR33" i="6"/>
  <c r="AI33" i="6"/>
  <c r="AR37" i="6"/>
  <c r="AI37" i="6"/>
  <c r="AR41" i="6"/>
  <c r="AI41" i="6"/>
  <c r="AR45" i="6"/>
  <c r="AI45" i="6"/>
  <c r="AR49" i="6"/>
  <c r="AI49" i="6"/>
  <c r="O8" i="5"/>
  <c r="S7" i="5"/>
  <c r="T7" i="5" s="1"/>
  <c r="BH4" i="6"/>
  <c r="P51" i="15"/>
  <c r="P53" i="15"/>
  <c r="P55" i="15"/>
  <c r="P57" i="15"/>
  <c r="P59" i="15"/>
  <c r="P61" i="15"/>
  <c r="P63" i="15"/>
  <c r="P65" i="15"/>
  <c r="P67" i="15"/>
  <c r="P69" i="15"/>
  <c r="P71" i="15"/>
  <c r="P73" i="15"/>
  <c r="P75" i="15"/>
  <c r="P77" i="15"/>
  <c r="P79" i="15"/>
  <c r="P81" i="15"/>
  <c r="P50" i="15"/>
  <c r="P52" i="15"/>
  <c r="P54" i="15"/>
  <c r="P56" i="15"/>
  <c r="P58" i="15"/>
  <c r="P60" i="15"/>
  <c r="P62" i="15"/>
  <c r="P64" i="15"/>
  <c r="P66" i="15"/>
  <c r="P68" i="15"/>
  <c r="P70" i="15"/>
  <c r="P72" i="15"/>
  <c r="P74" i="15"/>
  <c r="P76" i="15"/>
  <c r="P78" i="15"/>
  <c r="P80" i="15"/>
  <c r="D62" i="13"/>
  <c r="D62" i="14" s="1"/>
  <c r="R51" i="6"/>
  <c r="R53" i="6"/>
  <c r="R55" i="6"/>
  <c r="R57" i="6"/>
  <c r="R59" i="6"/>
  <c r="R61" i="6"/>
  <c r="R63" i="6"/>
  <c r="R65" i="6"/>
  <c r="R67" i="6"/>
  <c r="R69" i="6"/>
  <c r="R71" i="6"/>
  <c r="R73" i="6"/>
  <c r="R75" i="6"/>
  <c r="R77" i="6"/>
  <c r="R79" i="6"/>
  <c r="R81" i="6"/>
  <c r="R50" i="6"/>
  <c r="R52" i="6"/>
  <c r="R54" i="6"/>
  <c r="R56" i="6"/>
  <c r="R58" i="6"/>
  <c r="R60" i="6"/>
  <c r="R62" i="6"/>
  <c r="R64" i="6"/>
  <c r="R66" i="6"/>
  <c r="R68" i="6"/>
  <c r="R70" i="6"/>
  <c r="R72" i="6"/>
  <c r="R74" i="6"/>
  <c r="R76" i="6"/>
  <c r="R78" i="6"/>
  <c r="R80" i="6"/>
  <c r="B8" i="5"/>
  <c r="D43" i="13" l="1"/>
  <c r="D42" i="14"/>
  <c r="D13" i="13"/>
  <c r="D12" i="14"/>
  <c r="I12" i="14" s="1"/>
  <c r="I12" i="13"/>
  <c r="G14" i="14"/>
  <c r="B9" i="5"/>
  <c r="Q10" i="14"/>
  <c r="L12" i="13"/>
  <c r="L12" i="14" s="1"/>
  <c r="Q11" i="13"/>
  <c r="G15" i="13"/>
  <c r="O12" i="13"/>
  <c r="O12" i="14" s="1"/>
  <c r="O9" i="5"/>
  <c r="S8" i="5"/>
  <c r="T8" i="5" s="1"/>
  <c r="D63" i="13"/>
  <c r="D63" i="14" s="1"/>
  <c r="G15" i="14" l="1"/>
  <c r="D14" i="13"/>
  <c r="D13" i="14"/>
  <c r="I13" i="14" s="1"/>
  <c r="I13" i="13"/>
  <c r="D44" i="13"/>
  <c r="D43" i="14"/>
  <c r="B10" i="5"/>
  <c r="Q11" i="14"/>
  <c r="O13" i="13"/>
  <c r="O13" i="14" s="1"/>
  <c r="G16" i="13"/>
  <c r="Q12" i="14"/>
  <c r="L13" i="13"/>
  <c r="L13" i="14" s="1"/>
  <c r="Q12" i="13"/>
  <c r="S9" i="5"/>
  <c r="T9" i="5" s="1"/>
  <c r="O10" i="5"/>
  <c r="D64" i="13"/>
  <c r="D64" i="14" s="1"/>
  <c r="G16" i="14" l="1"/>
  <c r="D45" i="13"/>
  <c r="D44" i="14"/>
  <c r="D15" i="13"/>
  <c r="D14" i="14"/>
  <c r="I14" i="14" s="1"/>
  <c r="I14" i="13"/>
  <c r="B11" i="5"/>
  <c r="L14" i="13"/>
  <c r="L14" i="14" s="1"/>
  <c r="Q13" i="13"/>
  <c r="G17" i="13"/>
  <c r="O14" i="13"/>
  <c r="O14" i="14" s="1"/>
  <c r="S10" i="5"/>
  <c r="T10" i="5" s="1"/>
  <c r="O11" i="5"/>
  <c r="D65" i="13"/>
  <c r="D65" i="14" s="1"/>
  <c r="G17" i="14" l="1"/>
  <c r="D16" i="13"/>
  <c r="D15" i="14"/>
  <c r="I15" i="14" s="1"/>
  <c r="I15" i="13"/>
  <c r="D46" i="13"/>
  <c r="D45" i="14"/>
  <c r="B12" i="5"/>
  <c r="Q13" i="14"/>
  <c r="O15" i="13"/>
  <c r="O15" i="14" s="1"/>
  <c r="G18" i="13"/>
  <c r="Q14" i="14"/>
  <c r="L15" i="13"/>
  <c r="L15" i="14" s="1"/>
  <c r="Q14" i="13"/>
  <c r="S11" i="5"/>
  <c r="T11" i="5" s="1"/>
  <c r="O12" i="5"/>
  <c r="D66" i="13"/>
  <c r="D66" i="14" s="1"/>
  <c r="G18" i="14" l="1"/>
  <c r="D47" i="13"/>
  <c r="D46" i="14"/>
  <c r="D17" i="13"/>
  <c r="D16" i="14"/>
  <c r="I16" i="14" s="1"/>
  <c r="I16" i="13"/>
  <c r="B13" i="5"/>
  <c r="L16" i="13"/>
  <c r="L16" i="14" s="1"/>
  <c r="Q15" i="13"/>
  <c r="G19" i="13"/>
  <c r="O16" i="13"/>
  <c r="O16" i="14" s="1"/>
  <c r="S12" i="5"/>
  <c r="T12" i="5" s="1"/>
  <c r="O13" i="5"/>
  <c r="D67" i="13"/>
  <c r="D67" i="14" s="1"/>
  <c r="G19" i="14" l="1"/>
  <c r="D18" i="13"/>
  <c r="D17" i="14"/>
  <c r="I17" i="14" s="1"/>
  <c r="I17" i="13"/>
  <c r="D48" i="13"/>
  <c r="D47" i="14"/>
  <c r="B14" i="5"/>
  <c r="Q15" i="14"/>
  <c r="O17" i="13"/>
  <c r="O17" i="14" s="1"/>
  <c r="G20" i="13"/>
  <c r="L17" i="13"/>
  <c r="L17" i="14" s="1"/>
  <c r="Q16" i="13"/>
  <c r="S13" i="5"/>
  <c r="T13" i="5" s="1"/>
  <c r="O14" i="5"/>
  <c r="D68" i="13"/>
  <c r="D68" i="14" s="1"/>
  <c r="D49" i="13" l="1"/>
  <c r="D48" i="14"/>
  <c r="G20" i="14"/>
  <c r="D19" i="13"/>
  <c r="D18" i="14"/>
  <c r="I18" i="14" s="1"/>
  <c r="I18" i="13"/>
  <c r="B15" i="5"/>
  <c r="Q16" i="14"/>
  <c r="L18" i="13"/>
  <c r="L18" i="14" s="1"/>
  <c r="Q17" i="13"/>
  <c r="G21" i="13"/>
  <c r="O18" i="13"/>
  <c r="O18" i="14" s="1"/>
  <c r="S14" i="5"/>
  <c r="T14" i="5" s="1"/>
  <c r="O15" i="5"/>
  <c r="D69" i="13"/>
  <c r="D69" i="14" s="1"/>
  <c r="G21" i="14" l="1"/>
  <c r="D20" i="13"/>
  <c r="D19" i="14"/>
  <c r="I19" i="14" s="1"/>
  <c r="I19" i="13"/>
  <c r="D50" i="13"/>
  <c r="D49" i="14"/>
  <c r="B16" i="5"/>
  <c r="Q17" i="14"/>
  <c r="O19" i="13"/>
  <c r="O19" i="14" s="1"/>
  <c r="G22" i="13"/>
  <c r="Q18" i="14"/>
  <c r="L19" i="13"/>
  <c r="L19" i="14" s="1"/>
  <c r="Q18" i="13"/>
  <c r="S15" i="5"/>
  <c r="T15" i="5" s="1"/>
  <c r="O16" i="5"/>
  <c r="D70" i="13"/>
  <c r="D70" i="14" s="1"/>
  <c r="G22" i="14" l="1"/>
  <c r="D51" i="13"/>
  <c r="D50" i="14"/>
  <c r="D21" i="13"/>
  <c r="D20" i="14"/>
  <c r="I20" i="14" s="1"/>
  <c r="I20" i="13"/>
  <c r="B17" i="5"/>
  <c r="L20" i="13"/>
  <c r="L20" i="14" s="1"/>
  <c r="Q19" i="13"/>
  <c r="G23" i="13"/>
  <c r="O20" i="13"/>
  <c r="O20" i="14" s="1"/>
  <c r="S16" i="5"/>
  <c r="T16" i="5" s="1"/>
  <c r="O17" i="5"/>
  <c r="D71" i="13"/>
  <c r="D71" i="14" s="1"/>
  <c r="G23" i="14" l="1"/>
  <c r="D22" i="13"/>
  <c r="D21" i="14"/>
  <c r="I21" i="14" s="1"/>
  <c r="I21" i="13"/>
  <c r="D52" i="13"/>
  <c r="D51" i="14"/>
  <c r="B18" i="5"/>
  <c r="Q19" i="14"/>
  <c r="O21" i="13"/>
  <c r="O21" i="14" s="1"/>
  <c r="G24" i="13"/>
  <c r="Q20" i="14"/>
  <c r="L21" i="13"/>
  <c r="L21" i="14" s="1"/>
  <c r="Q20" i="13"/>
  <c r="S17" i="5"/>
  <c r="T17" i="5" s="1"/>
  <c r="O18" i="5"/>
  <c r="D72" i="13"/>
  <c r="D72" i="14" s="1"/>
  <c r="D53" i="13" l="1"/>
  <c r="D52" i="14"/>
  <c r="G24" i="14"/>
  <c r="D23" i="13"/>
  <c r="D22" i="14"/>
  <c r="I22" i="14" s="1"/>
  <c r="I22" i="13"/>
  <c r="B19" i="5"/>
  <c r="L22" i="13"/>
  <c r="L22" i="14" s="1"/>
  <c r="Q21" i="13"/>
  <c r="G25" i="13"/>
  <c r="O22" i="13"/>
  <c r="O22" i="14" s="1"/>
  <c r="S18" i="5"/>
  <c r="T18" i="5" s="1"/>
  <c r="O19" i="5"/>
  <c r="D73" i="13"/>
  <c r="D73" i="14" s="1"/>
  <c r="G25" i="14" l="1"/>
  <c r="D24" i="13"/>
  <c r="D23" i="14"/>
  <c r="I23" i="14" s="1"/>
  <c r="I23" i="13"/>
  <c r="D54" i="13"/>
  <c r="D53" i="14"/>
  <c r="B20" i="5"/>
  <c r="Q21" i="14"/>
  <c r="O23" i="13"/>
  <c r="O23" i="14" s="1"/>
  <c r="G26" i="13"/>
  <c r="L23" i="13"/>
  <c r="L23" i="14" s="1"/>
  <c r="Q22" i="13"/>
  <c r="S19" i="5"/>
  <c r="T19" i="5" s="1"/>
  <c r="O20" i="5"/>
  <c r="D74" i="13"/>
  <c r="D74" i="14" s="1"/>
  <c r="G26" i="14" l="1"/>
  <c r="D55" i="13"/>
  <c r="D54" i="14"/>
  <c r="D25" i="13"/>
  <c r="D24" i="14"/>
  <c r="I24" i="14" s="1"/>
  <c r="I24" i="13"/>
  <c r="B21" i="5"/>
  <c r="Q22" i="14"/>
  <c r="N6" i="5" s="1"/>
  <c r="L24" i="13"/>
  <c r="L24" i="14" s="1"/>
  <c r="Q23" i="13"/>
  <c r="G27" i="13"/>
  <c r="O24" i="13"/>
  <c r="O24" i="14" s="1"/>
  <c r="S20" i="5"/>
  <c r="T20" i="5" s="1"/>
  <c r="O21" i="5"/>
  <c r="D75" i="13"/>
  <c r="D75" i="14" s="1"/>
  <c r="G27" i="14" l="1"/>
  <c r="D26" i="13"/>
  <c r="D25" i="14"/>
  <c r="I25" i="14" s="1"/>
  <c r="I25" i="13"/>
  <c r="D56" i="13"/>
  <c r="D55" i="14"/>
  <c r="B22" i="5"/>
  <c r="Q23" i="14"/>
  <c r="N7" i="5" s="1"/>
  <c r="O25" i="13"/>
  <c r="O25" i="14" s="1"/>
  <c r="G28" i="13"/>
  <c r="L25" i="13"/>
  <c r="L25" i="14" s="1"/>
  <c r="Q24" i="13"/>
  <c r="S21" i="5"/>
  <c r="T21" i="5" s="1"/>
  <c r="O22" i="5"/>
  <c r="D76" i="13"/>
  <c r="D76" i="14" s="1"/>
  <c r="G28" i="14" l="1"/>
  <c r="D57" i="13"/>
  <c r="D56" i="14"/>
  <c r="D27" i="13"/>
  <c r="D26" i="14"/>
  <c r="I26" i="14" s="1"/>
  <c r="I26" i="13"/>
  <c r="Q24" i="14"/>
  <c r="N8" i="5" s="1"/>
  <c r="B23" i="5"/>
  <c r="L26" i="13"/>
  <c r="L26" i="14" s="1"/>
  <c r="Q25" i="13"/>
  <c r="G29" i="13"/>
  <c r="O26" i="13"/>
  <c r="O26" i="14" s="1"/>
  <c r="S22" i="5"/>
  <c r="T22" i="5" s="1"/>
  <c r="O23" i="5"/>
  <c r="D77" i="13"/>
  <c r="D77" i="14" s="1"/>
  <c r="G29" i="14" l="1"/>
  <c r="D28" i="13"/>
  <c r="D27" i="14"/>
  <c r="I27" i="14" s="1"/>
  <c r="I27" i="13"/>
  <c r="D58" i="13"/>
  <c r="D57" i="14"/>
  <c r="B24" i="5"/>
  <c r="Q25" i="14"/>
  <c r="N9" i="5" s="1"/>
  <c r="O27" i="13"/>
  <c r="O27" i="14" s="1"/>
  <c r="G30" i="13"/>
  <c r="L27" i="13"/>
  <c r="L27" i="14" s="1"/>
  <c r="Q26" i="13"/>
  <c r="S23" i="5"/>
  <c r="T23" i="5" s="1"/>
  <c r="O24" i="5"/>
  <c r="D78" i="13"/>
  <c r="D78" i="14" s="1"/>
  <c r="G30" i="14" l="1"/>
  <c r="D59" i="13"/>
  <c r="D59" i="14" s="1"/>
  <c r="D58" i="14"/>
  <c r="D29" i="13"/>
  <c r="D28" i="14"/>
  <c r="I28" i="14" s="1"/>
  <c r="I28" i="13"/>
  <c r="B25" i="5"/>
  <c r="Q26" i="14"/>
  <c r="N10" i="5" s="1"/>
  <c r="L28" i="13"/>
  <c r="L28" i="14" s="1"/>
  <c r="Q27" i="13"/>
  <c r="G31" i="13"/>
  <c r="O28" i="13"/>
  <c r="O28" i="14" s="1"/>
  <c r="S24" i="5"/>
  <c r="T24" i="5" s="1"/>
  <c r="O25" i="5"/>
  <c r="D79" i="13"/>
  <c r="D79" i="14" s="1"/>
  <c r="G31" i="14" l="1"/>
  <c r="D30" i="13"/>
  <c r="D29" i="14"/>
  <c r="I29" i="14" s="1"/>
  <c r="I29" i="13"/>
  <c r="B26" i="5"/>
  <c r="Q27" i="14"/>
  <c r="N11" i="5" s="1"/>
  <c r="O29" i="13"/>
  <c r="O29" i="14" s="1"/>
  <c r="G32" i="13"/>
  <c r="Q28" i="14"/>
  <c r="N12" i="5" s="1"/>
  <c r="Q28" i="13"/>
  <c r="L29" i="13"/>
  <c r="L29" i="14" s="1"/>
  <c r="S25" i="5"/>
  <c r="T25" i="5" s="1"/>
  <c r="O26" i="5"/>
  <c r="D80" i="13"/>
  <c r="D80" i="14" s="1"/>
  <c r="G32" i="14" l="1"/>
  <c r="D31" i="13"/>
  <c r="D30" i="14"/>
  <c r="I30" i="14" s="1"/>
  <c r="I30" i="13"/>
  <c r="B27" i="5"/>
  <c r="L30" i="13"/>
  <c r="L30" i="14" s="1"/>
  <c r="G33" i="13"/>
  <c r="Q29" i="13"/>
  <c r="O30" i="13"/>
  <c r="O30" i="14" s="1"/>
  <c r="S26" i="5"/>
  <c r="T26" i="5" s="1"/>
  <c r="O27" i="5"/>
  <c r="D81" i="13"/>
  <c r="D81" i="14" s="1"/>
  <c r="G33" i="14" l="1"/>
  <c r="D32" i="13"/>
  <c r="D31" i="14"/>
  <c r="I31" i="14" s="1"/>
  <c r="J6" i="5" s="1"/>
  <c r="AX7" i="15" s="1"/>
  <c r="I31" i="13"/>
  <c r="B28" i="5"/>
  <c r="Q29" i="14"/>
  <c r="N13" i="5" s="1"/>
  <c r="Q30" i="13"/>
  <c r="O31" i="13"/>
  <c r="O31" i="14" s="1"/>
  <c r="G34" i="13"/>
  <c r="L31" i="13"/>
  <c r="L31" i="14" s="1"/>
  <c r="S27" i="5"/>
  <c r="T27" i="5" s="1"/>
  <c r="O28" i="5"/>
  <c r="D82" i="13"/>
  <c r="D82" i="14" s="1"/>
  <c r="AZ7" i="6" l="1"/>
  <c r="G34" i="14"/>
  <c r="D33" i="13"/>
  <c r="D32" i="14"/>
  <c r="I32" i="14" s="1"/>
  <c r="I4" i="5" s="1"/>
  <c r="I6" i="5" s="1"/>
  <c r="I32" i="13"/>
  <c r="B29" i="5"/>
  <c r="L32" i="13"/>
  <c r="L32" i="14" s="1"/>
  <c r="Q31" i="13"/>
  <c r="O32" i="13"/>
  <c r="O32" i="14" s="1"/>
  <c r="G35" i="13"/>
  <c r="Q30" i="14"/>
  <c r="N14" i="5" s="1"/>
  <c r="S28" i="5"/>
  <c r="T28" i="5" s="1"/>
  <c r="O29" i="5"/>
  <c r="D83" i="13"/>
  <c r="D83" i="14" s="1"/>
  <c r="G35" i="14" l="1"/>
  <c r="D34" i="13"/>
  <c r="D33" i="14"/>
  <c r="I33" i="14" s="1"/>
  <c r="I7" i="5" s="1"/>
  <c r="J7" i="5" s="1"/>
  <c r="AZ8" i="6" s="1"/>
  <c r="I33" i="13"/>
  <c r="B30" i="5"/>
  <c r="G36" i="13"/>
  <c r="Q32" i="13"/>
  <c r="O33" i="13"/>
  <c r="O33" i="14" s="1"/>
  <c r="Q31" i="14"/>
  <c r="N15" i="5" s="1"/>
  <c r="L33" i="13"/>
  <c r="L33" i="14" s="1"/>
  <c r="S29" i="5"/>
  <c r="T29" i="5" s="1"/>
  <c r="O30" i="5"/>
  <c r="D84" i="13"/>
  <c r="D84" i="14" s="1"/>
  <c r="AX8" i="15" l="1"/>
  <c r="G36" i="14"/>
  <c r="D35" i="13"/>
  <c r="D34" i="14"/>
  <c r="I34" i="14" s="1"/>
  <c r="I8" i="5" s="1"/>
  <c r="J8" i="5" s="1"/>
  <c r="AZ9" i="6" s="1"/>
  <c r="I34" i="13"/>
  <c r="B31" i="5"/>
  <c r="L34" i="13"/>
  <c r="L34" i="14" s="1"/>
  <c r="Q33" i="13"/>
  <c r="O34" i="13"/>
  <c r="O34" i="14" s="1"/>
  <c r="Q32" i="14"/>
  <c r="N16" i="5" s="1"/>
  <c r="G37" i="13"/>
  <c r="S30" i="5"/>
  <c r="T30" i="5" s="1"/>
  <c r="O31" i="5"/>
  <c r="D85" i="13"/>
  <c r="D85" i="14" s="1"/>
  <c r="AX9" i="15" l="1"/>
  <c r="G37" i="14"/>
  <c r="D36" i="13"/>
  <c r="D35" i="14"/>
  <c r="I35" i="14" s="1"/>
  <c r="I9" i="5" s="1"/>
  <c r="J9" i="5" s="1"/>
  <c r="AZ10" i="6" s="1"/>
  <c r="I35" i="13"/>
  <c r="B32" i="5"/>
  <c r="Q33" i="14"/>
  <c r="N17" i="5" s="1"/>
  <c r="O35" i="13"/>
  <c r="O35" i="14" s="1"/>
  <c r="L35" i="13"/>
  <c r="L35" i="14" s="1"/>
  <c r="Q34" i="13"/>
  <c r="G38" i="13"/>
  <c r="S31" i="5"/>
  <c r="T31" i="5" s="1"/>
  <c r="O32" i="5"/>
  <c r="D86" i="13"/>
  <c r="D86" i="14" s="1"/>
  <c r="AX10" i="15" l="1"/>
  <c r="G38" i="14"/>
  <c r="D37" i="13"/>
  <c r="D36" i="14"/>
  <c r="I36" i="14" s="1"/>
  <c r="I10" i="5" s="1"/>
  <c r="J10" i="5" s="1"/>
  <c r="AZ11" i="6" s="1"/>
  <c r="I36" i="13"/>
  <c r="B33" i="5"/>
  <c r="Q34" i="14"/>
  <c r="N18" i="5" s="1"/>
  <c r="L36" i="13"/>
  <c r="L36" i="14" s="1"/>
  <c r="G39" i="13"/>
  <c r="Q35" i="13"/>
  <c r="O36" i="13"/>
  <c r="O36" i="14" s="1"/>
  <c r="S32" i="5"/>
  <c r="T32" i="5" s="1"/>
  <c r="O33" i="5"/>
  <c r="D87" i="13"/>
  <c r="D87" i="14" s="1"/>
  <c r="I39" i="13" l="1"/>
  <c r="G39" i="14"/>
  <c r="AX11" i="15"/>
  <c r="D38" i="13"/>
  <c r="D37" i="14"/>
  <c r="I37" i="14" s="1"/>
  <c r="I11" i="5" s="1"/>
  <c r="J11" i="5" s="1"/>
  <c r="AX12" i="15" s="1"/>
  <c r="I37" i="13"/>
  <c r="B34" i="5"/>
  <c r="Q35" i="14"/>
  <c r="N19" i="5" s="1"/>
  <c r="P4" i="5" s="1"/>
  <c r="P6" i="5" s="1"/>
  <c r="Q36" i="13"/>
  <c r="O37" i="13"/>
  <c r="O37" i="14" s="1"/>
  <c r="G40" i="13"/>
  <c r="L37" i="13"/>
  <c r="L37" i="14" s="1"/>
  <c r="S33" i="5"/>
  <c r="T33" i="5" s="1"/>
  <c r="O34" i="5"/>
  <c r="D88" i="13"/>
  <c r="D88" i="14" s="1"/>
  <c r="D38" i="14" l="1"/>
  <c r="I38" i="14" s="1"/>
  <c r="I12" i="5" s="1"/>
  <c r="J12" i="5" s="1"/>
  <c r="I38" i="13"/>
  <c r="I40" i="13"/>
  <c r="G40" i="14"/>
  <c r="AZ12" i="6"/>
  <c r="B35" i="5"/>
  <c r="I39" i="14"/>
  <c r="I13" i="5" s="1"/>
  <c r="J13" i="5" s="1"/>
  <c r="Q36" i="14"/>
  <c r="N20" i="5" s="1"/>
  <c r="G41" i="13"/>
  <c r="Q37" i="13"/>
  <c r="O38" i="13"/>
  <c r="O38" i="14" s="1"/>
  <c r="Q37" i="14"/>
  <c r="L38" i="13"/>
  <c r="L38" i="14" s="1"/>
  <c r="P7" i="5"/>
  <c r="S34" i="5"/>
  <c r="T34" i="5" s="1"/>
  <c r="O35" i="5"/>
  <c r="D89" i="13"/>
  <c r="D89" i="14" s="1"/>
  <c r="I41" i="13" l="1"/>
  <c r="G41" i="14"/>
  <c r="B36" i="5"/>
  <c r="AZ14" i="6"/>
  <c r="AX14" i="15"/>
  <c r="I40" i="14"/>
  <c r="I14" i="5" s="1"/>
  <c r="J14" i="5" s="1"/>
  <c r="AX13" i="15"/>
  <c r="AZ13" i="6"/>
  <c r="N21" i="5"/>
  <c r="P8" i="5" s="1"/>
  <c r="L39" i="13"/>
  <c r="L39" i="14" s="1"/>
  <c r="Q38" i="13"/>
  <c r="O39" i="13"/>
  <c r="O39" i="14" s="1"/>
  <c r="G42" i="13"/>
  <c r="S35" i="5"/>
  <c r="T35" i="5" s="1"/>
  <c r="O36" i="5"/>
  <c r="D90" i="13"/>
  <c r="D90" i="14" s="1"/>
  <c r="I42" i="13" l="1"/>
  <c r="G42" i="14"/>
  <c r="B37" i="5"/>
  <c r="I41" i="14"/>
  <c r="I15" i="5" s="1"/>
  <c r="J15" i="5" s="1"/>
  <c r="AZ15" i="6"/>
  <c r="AX15" i="15"/>
  <c r="Q38" i="14"/>
  <c r="N22" i="5" s="1"/>
  <c r="P9" i="5"/>
  <c r="G43" i="13"/>
  <c r="Q39" i="13"/>
  <c r="O40" i="13"/>
  <c r="O40" i="14" s="1"/>
  <c r="L40" i="13"/>
  <c r="L40" i="14" s="1"/>
  <c r="S36" i="5"/>
  <c r="T36" i="5" s="1"/>
  <c r="O37" i="5"/>
  <c r="D91" i="13"/>
  <c r="D91" i="14" s="1"/>
  <c r="I43" i="13" l="1"/>
  <c r="G43" i="14"/>
  <c r="B38" i="5"/>
  <c r="I42" i="14"/>
  <c r="I16" i="5" s="1"/>
  <c r="J16" i="5" s="1"/>
  <c r="AZ16" i="6"/>
  <c r="AX16" i="15"/>
  <c r="Q40" i="13"/>
  <c r="L41" i="13"/>
  <c r="L41" i="14" s="1"/>
  <c r="Q39" i="14"/>
  <c r="N23" i="5" s="1"/>
  <c r="P10" i="5" s="1"/>
  <c r="O41" i="13"/>
  <c r="O41" i="14" s="1"/>
  <c r="G44" i="13"/>
  <c r="S37" i="5"/>
  <c r="T37" i="5" s="1"/>
  <c r="O38" i="5"/>
  <c r="D92" i="13"/>
  <c r="D92" i="14" s="1"/>
  <c r="I44" i="13" l="1"/>
  <c r="G44" i="14"/>
  <c r="B39" i="5"/>
  <c r="I43" i="14"/>
  <c r="I17" i="5" s="1"/>
  <c r="AZ17" i="6"/>
  <c r="AX17" i="15"/>
  <c r="Q40" i="14"/>
  <c r="N24" i="5" s="1"/>
  <c r="P11" i="5" s="1"/>
  <c r="G45" i="13"/>
  <c r="Q41" i="13"/>
  <c r="L42" i="13"/>
  <c r="L42" i="14" s="1"/>
  <c r="O42" i="13"/>
  <c r="O42" i="14" s="1"/>
  <c r="S38" i="5"/>
  <c r="T38" i="5" s="1"/>
  <c r="O39" i="5"/>
  <c r="D93" i="13"/>
  <c r="D93" i="14" s="1"/>
  <c r="I45" i="13" l="1"/>
  <c r="G45" i="14"/>
  <c r="B40" i="5"/>
  <c r="I44" i="14"/>
  <c r="I18" i="5" s="1"/>
  <c r="J18" i="5" s="1"/>
  <c r="J17" i="5"/>
  <c r="Q41" i="14"/>
  <c r="N25" i="5" s="1"/>
  <c r="P12" i="5" s="1"/>
  <c r="O43" i="13"/>
  <c r="O43" i="14" s="1"/>
  <c r="L43" i="13"/>
  <c r="L43" i="14" s="1"/>
  <c r="Q42" i="14"/>
  <c r="Q42" i="13"/>
  <c r="G46" i="13"/>
  <c r="S39" i="5"/>
  <c r="T39" i="5" s="1"/>
  <c r="O40" i="5"/>
  <c r="D94" i="13"/>
  <c r="D94" i="14" s="1"/>
  <c r="I46" i="13" l="1"/>
  <c r="G46" i="14"/>
  <c r="B41" i="5"/>
  <c r="I45" i="14"/>
  <c r="I19" i="5" s="1"/>
  <c r="AZ19" i="6"/>
  <c r="AX19" i="15"/>
  <c r="AZ18" i="6"/>
  <c r="AX18" i="15"/>
  <c r="N26" i="5"/>
  <c r="P13" i="5" s="1"/>
  <c r="G47" i="13"/>
  <c r="Q43" i="13"/>
  <c r="L44" i="13"/>
  <c r="L44" i="14" s="1"/>
  <c r="O44" i="13"/>
  <c r="O44" i="14" s="1"/>
  <c r="S40" i="5"/>
  <c r="T40" i="5" s="1"/>
  <c r="O41" i="5"/>
  <c r="D95" i="13"/>
  <c r="D95" i="14" s="1"/>
  <c r="I47" i="13" l="1"/>
  <c r="G47" i="14"/>
  <c r="B42" i="5"/>
  <c r="I46" i="14"/>
  <c r="I20" i="5" s="1"/>
  <c r="J20" i="5" s="1"/>
  <c r="J19" i="5"/>
  <c r="Q43" i="14"/>
  <c r="N27" i="5" s="1"/>
  <c r="P14" i="5" s="1"/>
  <c r="Q44" i="13"/>
  <c r="O45" i="13"/>
  <c r="O45" i="14" s="1"/>
  <c r="L45" i="13"/>
  <c r="L45" i="14" s="1"/>
  <c r="G48" i="13"/>
  <c r="S41" i="5"/>
  <c r="T41" i="5" s="1"/>
  <c r="O42" i="5"/>
  <c r="D96" i="13"/>
  <c r="D96" i="14" s="1"/>
  <c r="I48" i="13" l="1"/>
  <c r="G48" i="14"/>
  <c r="B43" i="5"/>
  <c r="AX21" i="15"/>
  <c r="AZ21" i="6"/>
  <c r="I47" i="14"/>
  <c r="I21" i="5" s="1"/>
  <c r="J21" i="5" s="1"/>
  <c r="AX20" i="15"/>
  <c r="AZ20" i="6"/>
  <c r="Q44" i="14"/>
  <c r="N28" i="5" s="1"/>
  <c r="P15" i="5" s="1"/>
  <c r="G49" i="13"/>
  <c r="L46" i="13"/>
  <c r="L46" i="14" s="1"/>
  <c r="Q45" i="13"/>
  <c r="O46" i="13"/>
  <c r="O46" i="14" s="1"/>
  <c r="S42" i="5"/>
  <c r="T42" i="5" s="1"/>
  <c r="O43" i="5"/>
  <c r="D97" i="13"/>
  <c r="D97" i="14" s="1"/>
  <c r="I49" i="13" l="1"/>
  <c r="G49" i="14"/>
  <c r="Q45" i="14"/>
  <c r="N29" i="5" s="1"/>
  <c r="P16" i="5" s="1"/>
  <c r="B44" i="5"/>
  <c r="I48" i="14"/>
  <c r="I22" i="5" s="1"/>
  <c r="AX22" i="15"/>
  <c r="AZ22" i="6"/>
  <c r="G50" i="13"/>
  <c r="Q46" i="13"/>
  <c r="O47" i="13"/>
  <c r="O47" i="14" s="1"/>
  <c r="L47" i="13"/>
  <c r="L47" i="14" s="1"/>
  <c r="S43" i="5"/>
  <c r="T43" i="5" s="1"/>
  <c r="O44" i="5"/>
  <c r="D98" i="13"/>
  <c r="D98" i="14" s="1"/>
  <c r="I50" i="13" l="1"/>
  <c r="G50" i="14"/>
  <c r="B45" i="5"/>
  <c r="I49" i="14"/>
  <c r="I23" i="5" s="1"/>
  <c r="J23" i="5" s="1"/>
  <c r="J22" i="5"/>
  <c r="L48" i="13"/>
  <c r="L48" i="14" s="1"/>
  <c r="Q47" i="13"/>
  <c r="O48" i="13"/>
  <c r="O48" i="14" s="1"/>
  <c r="Q47" i="14"/>
  <c r="N31" i="5" s="1"/>
  <c r="P18" i="5" s="1"/>
  <c r="I50" i="14"/>
  <c r="I24" i="5" s="1"/>
  <c r="G51" i="13"/>
  <c r="Q46" i="14"/>
  <c r="N30" i="5" s="1"/>
  <c r="P17" i="5" s="1"/>
  <c r="S44" i="5"/>
  <c r="T44" i="5" s="1"/>
  <c r="O45" i="5"/>
  <c r="D99" i="13"/>
  <c r="D99" i="14" s="1"/>
  <c r="I51" i="13" l="1"/>
  <c r="G51" i="14"/>
  <c r="I51" i="14" s="1"/>
  <c r="I25" i="5" s="1"/>
  <c r="J25" i="5" s="1"/>
  <c r="B46" i="5"/>
  <c r="J24" i="5"/>
  <c r="AZ25" i="6" s="1"/>
  <c r="AZ24" i="6"/>
  <c r="AX24" i="15"/>
  <c r="AZ23" i="6"/>
  <c r="AX23" i="15"/>
  <c r="G52" i="13"/>
  <c r="Q48" i="13"/>
  <c r="O49" i="13"/>
  <c r="O49" i="14" s="1"/>
  <c r="L49" i="13"/>
  <c r="L49" i="14" s="1"/>
  <c r="Q48" i="14"/>
  <c r="S45" i="5"/>
  <c r="T45" i="5" s="1"/>
  <c r="O46" i="5"/>
  <c r="D100" i="13"/>
  <c r="D100" i="14" s="1"/>
  <c r="I52" i="13" l="1"/>
  <c r="G52" i="14"/>
  <c r="I52" i="14" s="1"/>
  <c r="I26" i="5" s="1"/>
  <c r="J26" i="5" s="1"/>
  <c r="B47" i="5"/>
  <c r="AX25" i="15"/>
  <c r="N32" i="5"/>
  <c r="P19" i="5" s="1"/>
  <c r="G53" i="13"/>
  <c r="Q49" i="13"/>
  <c r="L50" i="13"/>
  <c r="L50" i="14" s="1"/>
  <c r="O50" i="13"/>
  <c r="O50" i="14" s="1"/>
  <c r="AZ26" i="6"/>
  <c r="AX26" i="15"/>
  <c r="S46" i="5"/>
  <c r="T46" i="5" s="1"/>
  <c r="O47" i="5"/>
  <c r="D101" i="13"/>
  <c r="D101" i="14" s="1"/>
  <c r="I53" i="13" l="1"/>
  <c r="G53" i="14"/>
  <c r="B48" i="5"/>
  <c r="Q49" i="14"/>
  <c r="N33" i="5" s="1"/>
  <c r="P20" i="5" s="1"/>
  <c r="L51" i="13"/>
  <c r="L51" i="14" s="1"/>
  <c r="AZ27" i="6"/>
  <c r="AX27" i="15"/>
  <c r="Q50" i="13"/>
  <c r="O51" i="13"/>
  <c r="O51" i="14" s="1"/>
  <c r="I53" i="14"/>
  <c r="I27" i="5" s="1"/>
  <c r="J27" i="5" s="1"/>
  <c r="G54" i="13"/>
  <c r="S47" i="5"/>
  <c r="T47" i="5" s="1"/>
  <c r="O48" i="5"/>
  <c r="D102" i="13"/>
  <c r="D102" i="14" s="1"/>
  <c r="I54" i="13" l="1"/>
  <c r="G54" i="14"/>
  <c r="I54" i="14" s="1"/>
  <c r="I28" i="5" s="1"/>
  <c r="J28" i="5" s="1"/>
  <c r="B49" i="5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G55" i="13"/>
  <c r="O52" i="13"/>
  <c r="O52" i="14" s="1"/>
  <c r="L52" i="13"/>
  <c r="L52" i="14" s="1"/>
  <c r="Q51" i="13"/>
  <c r="Q51" i="14"/>
  <c r="AZ28" i="6"/>
  <c r="AX28" i="15"/>
  <c r="Q50" i="14"/>
  <c r="N34" i="5" s="1"/>
  <c r="P21" i="5" s="1"/>
  <c r="S48" i="5"/>
  <c r="T48" i="5" s="1"/>
  <c r="O49" i="5"/>
  <c r="D103" i="13"/>
  <c r="D103" i="14" s="1"/>
  <c r="I55" i="13" l="1"/>
  <c r="G55" i="14"/>
  <c r="I55" i="14" s="1"/>
  <c r="I29" i="5" s="1"/>
  <c r="J29" i="5" s="1"/>
  <c r="N35" i="5"/>
  <c r="P22" i="5" s="1"/>
  <c r="L53" i="13"/>
  <c r="L53" i="14" s="1"/>
  <c r="AZ29" i="6"/>
  <c r="AX29" i="15"/>
  <c r="Q52" i="13"/>
  <c r="O53" i="13"/>
  <c r="O53" i="14" s="1"/>
  <c r="G56" i="13"/>
  <c r="S49" i="5"/>
  <c r="T49" i="5" s="1"/>
  <c r="O50" i="5"/>
  <c r="D104" i="13"/>
  <c r="D104" i="14" s="1"/>
  <c r="I56" i="13" l="1"/>
  <c r="G56" i="14"/>
  <c r="I56" i="14" s="1"/>
  <c r="I30" i="5" s="1"/>
  <c r="J30" i="5" s="1"/>
  <c r="G57" i="13"/>
  <c r="Q52" i="14"/>
  <c r="N36" i="5" s="1"/>
  <c r="P23" i="5" s="1"/>
  <c r="L54" i="13"/>
  <c r="L54" i="14" s="1"/>
  <c r="AZ30" i="6"/>
  <c r="AX30" i="15"/>
  <c r="Q53" i="13"/>
  <c r="O54" i="13"/>
  <c r="O54" i="14" s="1"/>
  <c r="N50" i="15"/>
  <c r="Q50" i="6"/>
  <c r="P50" i="6"/>
  <c r="S50" i="5"/>
  <c r="T50" i="5" s="1"/>
  <c r="O51" i="5"/>
  <c r="D105" i="13"/>
  <c r="D105" i="14" s="1"/>
  <c r="I57" i="13" l="1"/>
  <c r="G57" i="14"/>
  <c r="I57" i="14" s="1"/>
  <c r="I31" i="5" s="1"/>
  <c r="J31" i="5" s="1"/>
  <c r="Q53" i="14"/>
  <c r="N37" i="5" s="1"/>
  <c r="P24" i="5" s="1"/>
  <c r="AZ31" i="6"/>
  <c r="AX31" i="15"/>
  <c r="Q54" i="13"/>
  <c r="O55" i="13"/>
  <c r="O55" i="14" s="1"/>
  <c r="L55" i="13"/>
  <c r="L55" i="14" s="1"/>
  <c r="G58" i="13"/>
  <c r="N51" i="15"/>
  <c r="Q51" i="6"/>
  <c r="P51" i="6"/>
  <c r="S51" i="5"/>
  <c r="T51" i="5" s="1"/>
  <c r="O52" i="5"/>
  <c r="D106" i="13"/>
  <c r="D106" i="14" s="1"/>
  <c r="D7" i="1"/>
  <c r="D8" i="1"/>
  <c r="D9" i="1"/>
  <c r="D10" i="1"/>
  <c r="D11" i="1"/>
  <c r="D12" i="1"/>
  <c r="D13" i="1"/>
  <c r="D14" i="1"/>
  <c r="D15" i="1"/>
  <c r="D16" i="1"/>
  <c r="D17" i="1"/>
  <c r="D19" i="1"/>
  <c r="D20" i="1"/>
  <c r="D6" i="1"/>
  <c r="C18" i="1"/>
  <c r="I58" i="13" l="1"/>
  <c r="G58" i="14"/>
  <c r="I58" i="14" s="1"/>
  <c r="I32" i="5" s="1"/>
  <c r="J32" i="5" s="1"/>
  <c r="Q54" i="14"/>
  <c r="N38" i="5" s="1"/>
  <c r="P25" i="5" s="1"/>
  <c r="G59" i="13"/>
  <c r="L56" i="13"/>
  <c r="L56" i="14" s="1"/>
  <c r="AX32" i="15"/>
  <c r="AZ32" i="6"/>
  <c r="Q55" i="13"/>
  <c r="O56" i="13"/>
  <c r="O56" i="14" s="1"/>
  <c r="N52" i="15"/>
  <c r="Q52" i="6"/>
  <c r="P52" i="6"/>
  <c r="S52" i="5"/>
  <c r="T52" i="5" s="1"/>
  <c r="O53" i="5"/>
  <c r="D107" i="13"/>
  <c r="D18" i="1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3" i="2"/>
  <c r="K4" i="2"/>
  <c r="O4" i="2" s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2" i="2"/>
  <c r="D108" i="13" l="1"/>
  <c r="D107" i="14"/>
  <c r="I59" i="13"/>
  <c r="G59" i="14"/>
  <c r="I59" i="14" s="1"/>
  <c r="I33" i="5" s="1"/>
  <c r="J33" i="5" s="1"/>
  <c r="Q56" i="13"/>
  <c r="O57" i="13"/>
  <c r="O57" i="14" s="1"/>
  <c r="L57" i="13"/>
  <c r="L57" i="14" s="1"/>
  <c r="Q56" i="14"/>
  <c r="G60" i="13"/>
  <c r="Q55" i="14"/>
  <c r="N39" i="5" s="1"/>
  <c r="P26" i="5" s="1"/>
  <c r="AZ33" i="6"/>
  <c r="AX33" i="15"/>
  <c r="N53" i="15"/>
  <c r="Q53" i="6"/>
  <c r="P53" i="6"/>
  <c r="S53" i="5"/>
  <c r="T53" i="5" s="1"/>
  <c r="O54" i="5"/>
  <c r="L24" i="2"/>
  <c r="M24" i="2"/>
  <c r="O24" i="2"/>
  <c r="M22" i="2"/>
  <c r="O22" i="2"/>
  <c r="M20" i="2"/>
  <c r="O20" i="2"/>
  <c r="L18" i="2"/>
  <c r="M18" i="2"/>
  <c r="O18" i="2"/>
  <c r="L16" i="2"/>
  <c r="M16" i="2"/>
  <c r="O16" i="2"/>
  <c r="M14" i="2"/>
  <c r="O14" i="2"/>
  <c r="M12" i="2"/>
  <c r="O12" i="2"/>
  <c r="M10" i="2"/>
  <c r="O10" i="2"/>
  <c r="M8" i="2"/>
  <c r="O8" i="2"/>
  <c r="M6" i="2"/>
  <c r="O6" i="2"/>
  <c r="M4" i="2"/>
  <c r="M44" i="2"/>
  <c r="O44" i="2"/>
  <c r="M42" i="2"/>
  <c r="O42" i="2"/>
  <c r="M40" i="2"/>
  <c r="O40" i="2"/>
  <c r="M38" i="2"/>
  <c r="O38" i="2"/>
  <c r="M36" i="2"/>
  <c r="O36" i="2"/>
  <c r="M34" i="2"/>
  <c r="O34" i="2"/>
  <c r="M32" i="2"/>
  <c r="O32" i="2"/>
  <c r="M30" i="2"/>
  <c r="O30" i="2"/>
  <c r="M28" i="2"/>
  <c r="O28" i="2"/>
  <c r="M26" i="2"/>
  <c r="O26" i="2"/>
  <c r="O2" i="2"/>
  <c r="M2" i="2"/>
  <c r="M23" i="2"/>
  <c r="O23" i="2"/>
  <c r="L21" i="2"/>
  <c r="M21" i="2"/>
  <c r="O21" i="2"/>
  <c r="M19" i="2"/>
  <c r="O19" i="2"/>
  <c r="M17" i="2"/>
  <c r="O17" i="2"/>
  <c r="M15" i="2"/>
  <c r="O15" i="2"/>
  <c r="M13" i="2"/>
  <c r="O13" i="2"/>
  <c r="L11" i="2"/>
  <c r="M11" i="2"/>
  <c r="O11" i="2"/>
  <c r="M9" i="2"/>
  <c r="O9" i="2"/>
  <c r="L7" i="2"/>
  <c r="M7" i="2"/>
  <c r="O7" i="2"/>
  <c r="M5" i="2"/>
  <c r="O5" i="2"/>
  <c r="L3" i="2"/>
  <c r="M3" i="2"/>
  <c r="O3" i="2"/>
  <c r="M43" i="2"/>
  <c r="O43" i="2"/>
  <c r="M41" i="2"/>
  <c r="O41" i="2"/>
  <c r="M39" i="2"/>
  <c r="O39" i="2"/>
  <c r="L37" i="2"/>
  <c r="M37" i="2"/>
  <c r="O37" i="2"/>
  <c r="M35" i="2"/>
  <c r="O35" i="2"/>
  <c r="L33" i="2"/>
  <c r="M33" i="2"/>
  <c r="O33" i="2"/>
  <c r="M31" i="2"/>
  <c r="O31" i="2"/>
  <c r="L29" i="2"/>
  <c r="M29" i="2"/>
  <c r="O29" i="2"/>
  <c r="M27" i="2"/>
  <c r="O27" i="2"/>
  <c r="L25" i="2"/>
  <c r="M25" i="2"/>
  <c r="O25" i="2"/>
  <c r="E44" i="2"/>
  <c r="F44" i="2"/>
  <c r="D44" i="2"/>
  <c r="F38" i="2"/>
  <c r="D38" i="2"/>
  <c r="F34" i="2"/>
  <c r="D34" i="2"/>
  <c r="F30" i="2"/>
  <c r="D30" i="2"/>
  <c r="E28" i="2"/>
  <c r="D28" i="2"/>
  <c r="F28" i="2"/>
  <c r="D26" i="2"/>
  <c r="F26" i="2"/>
  <c r="E24" i="2"/>
  <c r="D24" i="2"/>
  <c r="F24" i="2"/>
  <c r="E22" i="2"/>
  <c r="F22" i="2"/>
  <c r="D22" i="2"/>
  <c r="E20" i="2"/>
  <c r="D20" i="2"/>
  <c r="F20" i="2"/>
  <c r="E18" i="2"/>
  <c r="F18" i="2"/>
  <c r="D18" i="2"/>
  <c r="E16" i="2"/>
  <c r="D16" i="2"/>
  <c r="F16" i="2"/>
  <c r="E14" i="2"/>
  <c r="F14" i="2"/>
  <c r="D14" i="2"/>
  <c r="D12" i="2"/>
  <c r="F12" i="2"/>
  <c r="E10" i="2"/>
  <c r="F10" i="2"/>
  <c r="D10" i="2"/>
  <c r="D8" i="2"/>
  <c r="F8" i="2"/>
  <c r="E6" i="2"/>
  <c r="D6" i="2"/>
  <c r="F6" i="2"/>
  <c r="D4" i="2"/>
  <c r="F4" i="2"/>
  <c r="F42" i="2"/>
  <c r="D42" i="2"/>
  <c r="E40" i="2"/>
  <c r="D40" i="2"/>
  <c r="F40" i="2"/>
  <c r="E36" i="2"/>
  <c r="D36" i="2"/>
  <c r="F36" i="2"/>
  <c r="E32" i="2"/>
  <c r="D32" i="2"/>
  <c r="F32" i="2"/>
  <c r="D2" i="2"/>
  <c r="F2" i="2"/>
  <c r="E43" i="2"/>
  <c r="D43" i="2"/>
  <c r="F43" i="2"/>
  <c r="F41" i="2"/>
  <c r="D41" i="2"/>
  <c r="E39" i="2"/>
  <c r="D39" i="2"/>
  <c r="F39" i="2"/>
  <c r="F37" i="2"/>
  <c r="D37" i="2"/>
  <c r="E35" i="2"/>
  <c r="D35" i="2"/>
  <c r="F35" i="2"/>
  <c r="F33" i="2"/>
  <c r="D33" i="2"/>
  <c r="E31" i="2"/>
  <c r="D31" i="2"/>
  <c r="F31" i="2"/>
  <c r="F29" i="2"/>
  <c r="D29" i="2"/>
  <c r="E27" i="2"/>
  <c r="D27" i="2"/>
  <c r="F27" i="2"/>
  <c r="F25" i="2"/>
  <c r="D25" i="2"/>
  <c r="E23" i="2"/>
  <c r="D23" i="2"/>
  <c r="F23" i="2"/>
  <c r="F21" i="2"/>
  <c r="D21" i="2"/>
  <c r="E19" i="2"/>
  <c r="D19" i="2"/>
  <c r="F19" i="2"/>
  <c r="F17" i="2"/>
  <c r="D17" i="2"/>
  <c r="E15" i="2"/>
  <c r="D15" i="2"/>
  <c r="F15" i="2"/>
  <c r="F13" i="2"/>
  <c r="D13" i="2"/>
  <c r="E11" i="2"/>
  <c r="D11" i="2"/>
  <c r="F11" i="2"/>
  <c r="F9" i="2"/>
  <c r="D9" i="2"/>
  <c r="E7" i="2"/>
  <c r="D7" i="2"/>
  <c r="F7" i="2"/>
  <c r="F5" i="2"/>
  <c r="D5" i="2"/>
  <c r="E3" i="2"/>
  <c r="D3" i="2"/>
  <c r="F3" i="2"/>
  <c r="C42" i="2"/>
  <c r="E42" i="2"/>
  <c r="C38" i="2"/>
  <c r="E38" i="2"/>
  <c r="C34" i="2"/>
  <c r="E34" i="2"/>
  <c r="C30" i="2"/>
  <c r="E30" i="2"/>
  <c r="C26" i="2"/>
  <c r="E26" i="2"/>
  <c r="C12" i="2"/>
  <c r="E12" i="2"/>
  <c r="C8" i="2"/>
  <c r="E8" i="2"/>
  <c r="C4" i="2"/>
  <c r="E4" i="2"/>
  <c r="C43" i="2"/>
  <c r="C39" i="2"/>
  <c r="C35" i="2"/>
  <c r="C31" i="2"/>
  <c r="C27" i="2"/>
  <c r="C9" i="2"/>
  <c r="C5" i="2"/>
  <c r="E5" i="2"/>
  <c r="E9" i="2"/>
  <c r="E13" i="2"/>
  <c r="E17" i="2"/>
  <c r="E21" i="2"/>
  <c r="E25" i="2"/>
  <c r="E29" i="2"/>
  <c r="E33" i="2"/>
  <c r="E37" i="2"/>
  <c r="E41" i="2"/>
  <c r="C41" i="2"/>
  <c r="C37" i="2"/>
  <c r="C33" i="2"/>
  <c r="C29" i="2"/>
  <c r="C11" i="2"/>
  <c r="C7" i="2"/>
  <c r="C3" i="2"/>
  <c r="L23" i="2"/>
  <c r="L20" i="2"/>
  <c r="L14" i="2"/>
  <c r="L12" i="2"/>
  <c r="L9" i="2"/>
  <c r="L6" i="2"/>
  <c r="L4" i="2"/>
  <c r="L40" i="2"/>
  <c r="L38" i="2"/>
  <c r="L35" i="2"/>
  <c r="L32" i="2"/>
  <c r="L30" i="2"/>
  <c r="L27" i="2"/>
  <c r="C44" i="2"/>
  <c r="C40" i="2"/>
  <c r="C36" i="2"/>
  <c r="C32" i="2"/>
  <c r="C28" i="2"/>
  <c r="C10" i="2"/>
  <c r="C6" i="2"/>
  <c r="L2" i="2"/>
  <c r="L13" i="2"/>
  <c r="L10" i="2"/>
  <c r="L8" i="2"/>
  <c r="L5" i="2"/>
  <c r="L42" i="2"/>
  <c r="L39" i="2"/>
  <c r="L36" i="2"/>
  <c r="L34" i="2"/>
  <c r="L31" i="2"/>
  <c r="L28" i="2"/>
  <c r="L26" i="2"/>
  <c r="N2" i="2"/>
  <c r="C25" i="2"/>
  <c r="C23" i="2"/>
  <c r="C21" i="2"/>
  <c r="C19" i="2"/>
  <c r="C17" i="2"/>
  <c r="C15" i="2"/>
  <c r="C13" i="2"/>
  <c r="C24" i="2"/>
  <c r="C22" i="2"/>
  <c r="C20" i="2"/>
  <c r="C18" i="2"/>
  <c r="C16" i="2"/>
  <c r="C14" i="2"/>
  <c r="N44" i="2"/>
  <c r="L44" i="2"/>
  <c r="N43" i="2"/>
  <c r="L43" i="2"/>
  <c r="N42" i="2"/>
  <c r="N41" i="2"/>
  <c r="L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L22" i="2"/>
  <c r="N21" i="2"/>
  <c r="N20" i="2"/>
  <c r="N19" i="2"/>
  <c r="L19" i="2"/>
  <c r="N18" i="2"/>
  <c r="N17" i="2"/>
  <c r="L17" i="2"/>
  <c r="N16" i="2"/>
  <c r="N15" i="2"/>
  <c r="L15" i="2"/>
  <c r="N14" i="2"/>
  <c r="N13" i="2"/>
  <c r="N12" i="2"/>
  <c r="N11" i="2"/>
  <c r="N10" i="2"/>
  <c r="N9" i="2"/>
  <c r="N8" i="2"/>
  <c r="N7" i="2"/>
  <c r="N6" i="2"/>
  <c r="N5" i="2"/>
  <c r="N4" i="2"/>
  <c r="N3" i="2"/>
  <c r="C2" i="2"/>
  <c r="E2" i="2"/>
  <c r="I60" i="13" l="1"/>
  <c r="G60" i="14"/>
  <c r="D109" i="13"/>
  <c r="D108" i="14"/>
  <c r="N40" i="5"/>
  <c r="P27" i="5" s="1"/>
  <c r="I60" i="14"/>
  <c r="I34" i="5" s="1"/>
  <c r="G61" i="13"/>
  <c r="AX34" i="15"/>
  <c r="AZ34" i="6"/>
  <c r="L58" i="13"/>
  <c r="L58" i="14" s="1"/>
  <c r="Q57" i="13"/>
  <c r="O58" i="13"/>
  <c r="O58" i="14" s="1"/>
  <c r="N54" i="15"/>
  <c r="Q54" i="6"/>
  <c r="P54" i="6"/>
  <c r="S54" i="5"/>
  <c r="T54" i="5" s="1"/>
  <c r="O55" i="5"/>
  <c r="G37" i="2"/>
  <c r="I37" i="2" s="1"/>
  <c r="G29" i="2"/>
  <c r="I29" i="2" s="1"/>
  <c r="G5" i="2"/>
  <c r="I5" i="2" s="1"/>
  <c r="G4" i="2"/>
  <c r="I4" i="2" s="1"/>
  <c r="G8" i="2"/>
  <c r="I8" i="2" s="1"/>
  <c r="G12" i="2"/>
  <c r="I12" i="2" s="1"/>
  <c r="G26" i="2"/>
  <c r="I26" i="2" s="1"/>
  <c r="G30" i="2"/>
  <c r="I30" i="2" s="1"/>
  <c r="G34" i="2"/>
  <c r="I34" i="2" s="1"/>
  <c r="G2" i="2"/>
  <c r="I2" i="2" s="1"/>
  <c r="G41" i="2"/>
  <c r="I41" i="2" s="1"/>
  <c r="G33" i="2"/>
  <c r="I33" i="2" s="1"/>
  <c r="G25" i="2"/>
  <c r="I25" i="2" s="1"/>
  <c r="G17" i="2"/>
  <c r="I17" i="2" s="1"/>
  <c r="G9" i="2"/>
  <c r="I9" i="2" s="1"/>
  <c r="G7" i="2"/>
  <c r="I7" i="2" s="1"/>
  <c r="G15" i="2"/>
  <c r="I15" i="2" s="1"/>
  <c r="G23" i="2"/>
  <c r="I23" i="2" s="1"/>
  <c r="G31" i="2"/>
  <c r="I31" i="2" s="1"/>
  <c r="G39" i="2"/>
  <c r="I39" i="2" s="1"/>
  <c r="G32" i="2"/>
  <c r="I32" i="2" s="1"/>
  <c r="G40" i="2"/>
  <c r="I40" i="2" s="1"/>
  <c r="G10" i="2"/>
  <c r="I10" i="2" s="1"/>
  <c r="G16" i="2"/>
  <c r="I16" i="2" s="1"/>
  <c r="G20" i="2"/>
  <c r="I20" i="2" s="1"/>
  <c r="G24" i="2"/>
  <c r="I24" i="2" s="1"/>
  <c r="G44" i="2"/>
  <c r="I44" i="2" s="1"/>
  <c r="G21" i="2"/>
  <c r="I21" i="2" s="1"/>
  <c r="G13" i="2"/>
  <c r="I13" i="2" s="1"/>
  <c r="G38" i="2"/>
  <c r="I38" i="2" s="1"/>
  <c r="G42" i="2"/>
  <c r="I42" i="2" s="1"/>
  <c r="G3" i="2"/>
  <c r="I3" i="2" s="1"/>
  <c r="G11" i="2"/>
  <c r="I11" i="2" s="1"/>
  <c r="G19" i="2"/>
  <c r="I19" i="2" s="1"/>
  <c r="G27" i="2"/>
  <c r="I27" i="2" s="1"/>
  <c r="G35" i="2"/>
  <c r="I35" i="2" s="1"/>
  <c r="G43" i="2"/>
  <c r="I43" i="2" s="1"/>
  <c r="G36" i="2"/>
  <c r="I36" i="2" s="1"/>
  <c r="G6" i="2"/>
  <c r="I6" i="2" s="1"/>
  <c r="G14" i="2"/>
  <c r="I14" i="2" s="1"/>
  <c r="G18" i="2"/>
  <c r="I18" i="2" s="1"/>
  <c r="G22" i="2"/>
  <c r="I22" i="2" s="1"/>
  <c r="G28" i="2"/>
  <c r="I28" i="2" s="1"/>
  <c r="P27" i="2"/>
  <c r="Q27" i="2" s="1"/>
  <c r="P29" i="2"/>
  <c r="Q29" i="2" s="1"/>
  <c r="P37" i="2"/>
  <c r="Q37" i="2" s="1"/>
  <c r="P5" i="2"/>
  <c r="Q5" i="2" s="1"/>
  <c r="P7" i="2"/>
  <c r="Q7" i="2" s="1"/>
  <c r="P2" i="2"/>
  <c r="Q2" i="2" s="1"/>
  <c r="P16" i="2"/>
  <c r="Q16" i="2" s="1"/>
  <c r="P35" i="2"/>
  <c r="Q35" i="2" s="1"/>
  <c r="P13" i="2"/>
  <c r="Q13" i="2" s="1"/>
  <c r="P15" i="2"/>
  <c r="Q15" i="2" s="1"/>
  <c r="P17" i="2"/>
  <c r="Q17" i="2" s="1"/>
  <c r="P19" i="2"/>
  <c r="Q19" i="2" s="1"/>
  <c r="P21" i="2"/>
  <c r="Q21" i="2" s="1"/>
  <c r="P4" i="2"/>
  <c r="Q4" i="2" s="1"/>
  <c r="P6" i="2"/>
  <c r="Q6" i="2" s="1"/>
  <c r="P8" i="2"/>
  <c r="Q8" i="2" s="1"/>
  <c r="P10" i="2"/>
  <c r="Q10" i="2" s="1"/>
  <c r="P12" i="2"/>
  <c r="Q12" i="2" s="1"/>
  <c r="P14" i="2"/>
  <c r="Q14" i="2" s="1"/>
  <c r="P20" i="2"/>
  <c r="Q20" i="2" s="1"/>
  <c r="P22" i="2"/>
  <c r="Q22" i="2" s="1"/>
  <c r="P24" i="2"/>
  <c r="Q24" i="2" s="1"/>
  <c r="P25" i="2"/>
  <c r="Q25" i="2" s="1"/>
  <c r="P31" i="2"/>
  <c r="Q31" i="2" s="1"/>
  <c r="P33" i="2"/>
  <c r="Q33" i="2" s="1"/>
  <c r="P39" i="2"/>
  <c r="Q39" i="2" s="1"/>
  <c r="P41" i="2"/>
  <c r="Q41" i="2" s="1"/>
  <c r="P43" i="2"/>
  <c r="Q43" i="2" s="1"/>
  <c r="P3" i="2"/>
  <c r="Q3" i="2" s="1"/>
  <c r="P9" i="2"/>
  <c r="Q9" i="2" s="1"/>
  <c r="P11" i="2"/>
  <c r="Q11" i="2" s="1"/>
  <c r="P23" i="2"/>
  <c r="Q23" i="2" s="1"/>
  <c r="P26" i="2"/>
  <c r="Q26" i="2" s="1"/>
  <c r="P28" i="2"/>
  <c r="Q28" i="2" s="1"/>
  <c r="P30" i="2"/>
  <c r="Q30" i="2" s="1"/>
  <c r="P32" i="2"/>
  <c r="Q32" i="2" s="1"/>
  <c r="P34" i="2"/>
  <c r="Q34" i="2" s="1"/>
  <c r="P36" i="2"/>
  <c r="Q36" i="2" s="1"/>
  <c r="P38" i="2"/>
  <c r="Q38" i="2" s="1"/>
  <c r="P40" i="2"/>
  <c r="Q40" i="2" s="1"/>
  <c r="P42" i="2"/>
  <c r="Q42" i="2" s="1"/>
  <c r="P44" i="2"/>
  <c r="Q44" i="2" s="1"/>
  <c r="P18" i="2"/>
  <c r="Q18" i="2" s="1"/>
  <c r="I61" i="13" l="1"/>
  <c r="G61" i="14"/>
  <c r="I61" i="14" s="1"/>
  <c r="I35" i="5" s="1"/>
  <c r="J35" i="5" s="1"/>
  <c r="D110" i="13"/>
  <c r="D109" i="14"/>
  <c r="Q57" i="14"/>
  <c r="N41" i="5" s="1"/>
  <c r="P28" i="5" s="1"/>
  <c r="L59" i="13"/>
  <c r="L59" i="14" s="1"/>
  <c r="J34" i="5"/>
  <c r="Q58" i="13"/>
  <c r="O59" i="13"/>
  <c r="O59" i="14" s="1"/>
  <c r="G62" i="13"/>
  <c r="N55" i="15"/>
  <c r="Q55" i="6"/>
  <c r="P55" i="6"/>
  <c r="S55" i="5"/>
  <c r="T55" i="5" s="1"/>
  <c r="O56" i="5"/>
  <c r="E37" i="15"/>
  <c r="F37" i="15" s="1"/>
  <c r="H31" i="2"/>
  <c r="H30" i="2" s="1"/>
  <c r="H29" i="2" s="1"/>
  <c r="H28" i="2" s="1"/>
  <c r="H27" i="2" s="1"/>
  <c r="H26" i="2" s="1"/>
  <c r="H25" i="2" s="1"/>
  <c r="H24" i="2" s="1"/>
  <c r="H23" i="2" s="1"/>
  <c r="H22" i="2" s="1"/>
  <c r="H21" i="2" s="1"/>
  <c r="H20" i="2" s="1"/>
  <c r="H19" i="2" s="1"/>
  <c r="H18" i="2" s="1"/>
  <c r="H17" i="2" s="1"/>
  <c r="H16" i="2" s="1"/>
  <c r="H15" i="2" s="1"/>
  <c r="H14" i="2" s="1"/>
  <c r="H13" i="2" s="1"/>
  <c r="H12" i="2" s="1"/>
  <c r="H11" i="2" s="1"/>
  <c r="H10" i="2" s="1"/>
  <c r="H9" i="2" s="1"/>
  <c r="H8" i="2" s="1"/>
  <c r="H7" i="2" s="1"/>
  <c r="H6" i="2" s="1"/>
  <c r="H5" i="2" s="1"/>
  <c r="H4" i="2" s="1"/>
  <c r="H3" i="2" s="1"/>
  <c r="H2" i="2" s="1"/>
  <c r="H33" i="2"/>
  <c r="R44" i="2"/>
  <c r="R40" i="2"/>
  <c r="R36" i="2"/>
  <c r="R32" i="2"/>
  <c r="J32" i="2" s="1"/>
  <c r="R28" i="2"/>
  <c r="R23" i="2"/>
  <c r="R9" i="2"/>
  <c r="R43" i="2"/>
  <c r="R39" i="2"/>
  <c r="R31" i="2"/>
  <c r="R24" i="2"/>
  <c r="R20" i="2"/>
  <c r="R19" i="2"/>
  <c r="R15" i="2"/>
  <c r="R35" i="2"/>
  <c r="R2" i="2"/>
  <c r="R18" i="2"/>
  <c r="R11" i="2"/>
  <c r="R41" i="2"/>
  <c r="R33" i="2"/>
  <c r="R25" i="2"/>
  <c r="R22" i="2"/>
  <c r="R14" i="2"/>
  <c r="R10" i="2"/>
  <c r="R6" i="2"/>
  <c r="R21" i="2"/>
  <c r="R17" i="2"/>
  <c r="R13" i="2"/>
  <c r="R16" i="2"/>
  <c r="R7" i="2"/>
  <c r="R27" i="2"/>
  <c r="R12" i="2"/>
  <c r="R8" i="2"/>
  <c r="R4" i="2"/>
  <c r="R5" i="2"/>
  <c r="R29" i="2"/>
  <c r="R42" i="2"/>
  <c r="R38" i="2"/>
  <c r="R34" i="2"/>
  <c r="R30" i="2"/>
  <c r="R26" i="2"/>
  <c r="R3" i="2"/>
  <c r="R37" i="2"/>
  <c r="I62" i="13" l="1"/>
  <c r="G62" i="14"/>
  <c r="I62" i="14" s="1"/>
  <c r="I36" i="5" s="1"/>
  <c r="D111" i="13"/>
  <c r="D110" i="14"/>
  <c r="AZ36" i="6"/>
  <c r="AX36" i="15"/>
  <c r="Q58" i="14"/>
  <c r="N42" i="5" s="1"/>
  <c r="AZ35" i="6"/>
  <c r="AX35" i="15"/>
  <c r="L60" i="13"/>
  <c r="L60" i="14" s="1"/>
  <c r="Q59" i="13"/>
  <c r="G63" i="13"/>
  <c r="O60" i="13"/>
  <c r="O60" i="14" s="1"/>
  <c r="O37" i="6"/>
  <c r="AD37" i="6" s="1"/>
  <c r="P37" i="6"/>
  <c r="AU37" i="6" s="1"/>
  <c r="Q37" i="6"/>
  <c r="AV37" i="6" s="1"/>
  <c r="N56" i="15"/>
  <c r="Q56" i="6"/>
  <c r="P56" i="6"/>
  <c r="S56" i="5"/>
  <c r="T56" i="5" s="1"/>
  <c r="O57" i="5"/>
  <c r="J2" i="2"/>
  <c r="W6" i="5" s="1"/>
  <c r="X6" i="5" s="1"/>
  <c r="D37" i="15"/>
  <c r="D7" i="15"/>
  <c r="D31" i="15"/>
  <c r="E36" i="15"/>
  <c r="F36" i="15" s="1"/>
  <c r="J10" i="2"/>
  <c r="J12" i="2"/>
  <c r="J17" i="2"/>
  <c r="D10" i="15"/>
  <c r="D14" i="15"/>
  <c r="E34" i="15"/>
  <c r="F34" i="15" s="1"/>
  <c r="E28" i="15"/>
  <c r="F28" i="15" s="1"/>
  <c r="H34" i="2"/>
  <c r="J33" i="2"/>
  <c r="E7" i="15"/>
  <c r="F7" i="15" s="1"/>
  <c r="J24" i="2"/>
  <c r="J19" i="2"/>
  <c r="J22" i="2"/>
  <c r="J8" i="2"/>
  <c r="J25" i="2"/>
  <c r="J15" i="2"/>
  <c r="J20" i="2"/>
  <c r="J13" i="2"/>
  <c r="J11" i="2"/>
  <c r="J28" i="2"/>
  <c r="J4" i="2"/>
  <c r="J30" i="2"/>
  <c r="J7" i="2"/>
  <c r="J16" i="2"/>
  <c r="J21" i="2"/>
  <c r="J3" i="2"/>
  <c r="J14" i="2"/>
  <c r="J18" i="2"/>
  <c r="R37" i="6"/>
  <c r="AF37" i="6" s="1"/>
  <c r="AN37" i="6" s="1"/>
  <c r="S32" i="2"/>
  <c r="W36" i="5"/>
  <c r="X36" i="5" s="1"/>
  <c r="I63" i="13" l="1"/>
  <c r="G63" i="14"/>
  <c r="D112" i="13"/>
  <c r="D111" i="14"/>
  <c r="Q59" i="14"/>
  <c r="N43" i="5" s="1"/>
  <c r="P30" i="5" s="1"/>
  <c r="Q60" i="13"/>
  <c r="O61" i="13"/>
  <c r="O61" i="14" s="1"/>
  <c r="J36" i="5"/>
  <c r="L61" i="13"/>
  <c r="L61" i="14" s="1"/>
  <c r="Q60" i="14"/>
  <c r="G64" i="13"/>
  <c r="I63" i="14"/>
  <c r="I37" i="5" s="1"/>
  <c r="J37" i="5" s="1"/>
  <c r="P29" i="5"/>
  <c r="O19" i="6"/>
  <c r="AD19" i="6" s="1"/>
  <c r="P19" i="6"/>
  <c r="AU19" i="6" s="1"/>
  <c r="Q19" i="6"/>
  <c r="AV19" i="6" s="1"/>
  <c r="O26" i="6"/>
  <c r="AD26" i="6" s="1"/>
  <c r="P26" i="6"/>
  <c r="AU26" i="6" s="1"/>
  <c r="Q26" i="6"/>
  <c r="AV26" i="6" s="1"/>
  <c r="O12" i="6"/>
  <c r="AD12" i="6" s="1"/>
  <c r="P12" i="6"/>
  <c r="AU12" i="6" s="1"/>
  <c r="Q12" i="6"/>
  <c r="AV12" i="6" s="1"/>
  <c r="O9" i="6"/>
  <c r="AD9" i="6" s="1"/>
  <c r="P9" i="6"/>
  <c r="AU9" i="6" s="1"/>
  <c r="Q9" i="6"/>
  <c r="AV9" i="6" s="1"/>
  <c r="O16" i="6"/>
  <c r="AD16" i="6" s="1"/>
  <c r="P16" i="6"/>
  <c r="AU16" i="6" s="1"/>
  <c r="Q16" i="6"/>
  <c r="AV16" i="6" s="1"/>
  <c r="O25" i="6"/>
  <c r="AD25" i="6" s="1"/>
  <c r="P25" i="6"/>
  <c r="AU25" i="6" s="1"/>
  <c r="Q25" i="6"/>
  <c r="AV25" i="6" s="1"/>
  <c r="O30" i="6"/>
  <c r="AD30" i="6" s="1"/>
  <c r="P30" i="6"/>
  <c r="AU30" i="6" s="1"/>
  <c r="Q30" i="6"/>
  <c r="AV30" i="6" s="1"/>
  <c r="O27" i="6"/>
  <c r="AD27" i="6" s="1"/>
  <c r="P27" i="6"/>
  <c r="AU27" i="6" s="1"/>
  <c r="Q27" i="6"/>
  <c r="AV27" i="6" s="1"/>
  <c r="O29" i="6"/>
  <c r="AD29" i="6" s="1"/>
  <c r="P29" i="6"/>
  <c r="AU29" i="6" s="1"/>
  <c r="Q29" i="6"/>
  <c r="AV29" i="6" s="1"/>
  <c r="O38" i="6"/>
  <c r="AD38" i="6" s="1"/>
  <c r="P38" i="6"/>
  <c r="AU38" i="6" s="1"/>
  <c r="Q38" i="6"/>
  <c r="AV38" i="6" s="1"/>
  <c r="O17" i="6"/>
  <c r="AD17" i="6" s="1"/>
  <c r="P17" i="6"/>
  <c r="AU17" i="6" s="1"/>
  <c r="Q17" i="6"/>
  <c r="AV17" i="6" s="1"/>
  <c r="O15" i="6"/>
  <c r="AD15" i="6" s="1"/>
  <c r="P15" i="6"/>
  <c r="AU15" i="6" s="1"/>
  <c r="Q15" i="6"/>
  <c r="AV15" i="6" s="1"/>
  <c r="AL37" i="6"/>
  <c r="AE37" i="6"/>
  <c r="AM37" i="6" s="1"/>
  <c r="O23" i="6"/>
  <c r="AD23" i="6" s="1"/>
  <c r="P23" i="6"/>
  <c r="AU23" i="6" s="1"/>
  <c r="Q23" i="6"/>
  <c r="AV23" i="6" s="1"/>
  <c r="O8" i="6"/>
  <c r="AD8" i="6" s="1"/>
  <c r="P8" i="6"/>
  <c r="AU8" i="6" s="1"/>
  <c r="Q8" i="6"/>
  <c r="AV8" i="6" s="1"/>
  <c r="O21" i="6"/>
  <c r="AD21" i="6" s="1"/>
  <c r="P21" i="6"/>
  <c r="AU21" i="6" s="1"/>
  <c r="Q21" i="6"/>
  <c r="AV21" i="6" s="1"/>
  <c r="O35" i="6"/>
  <c r="AD35" i="6" s="1"/>
  <c r="P35" i="6"/>
  <c r="AU35" i="6" s="1"/>
  <c r="Q35" i="6"/>
  <c r="AV35" i="6" s="1"/>
  <c r="O33" i="6"/>
  <c r="AD33" i="6" s="1"/>
  <c r="P33" i="6"/>
  <c r="AU33" i="6" s="1"/>
  <c r="Q33" i="6"/>
  <c r="AV33" i="6" s="1"/>
  <c r="O18" i="6"/>
  <c r="AD18" i="6" s="1"/>
  <c r="P18" i="6"/>
  <c r="AU18" i="6" s="1"/>
  <c r="Q18" i="6"/>
  <c r="AV18" i="6" s="1"/>
  <c r="O20" i="6"/>
  <c r="AD20" i="6" s="1"/>
  <c r="P20" i="6"/>
  <c r="AU20" i="6" s="1"/>
  <c r="Q20" i="6"/>
  <c r="AV20" i="6" s="1"/>
  <c r="O13" i="6"/>
  <c r="AD13" i="6" s="1"/>
  <c r="P13" i="6"/>
  <c r="AU13" i="6" s="1"/>
  <c r="Q13" i="6"/>
  <c r="AV13" i="6" s="1"/>
  <c r="O24" i="6"/>
  <c r="AD24" i="6" s="1"/>
  <c r="P24" i="6"/>
  <c r="AU24" i="6" s="1"/>
  <c r="Q24" i="6"/>
  <c r="AV24" i="6" s="1"/>
  <c r="O22" i="6"/>
  <c r="AD22" i="6" s="1"/>
  <c r="P22" i="6"/>
  <c r="AU22" i="6" s="1"/>
  <c r="Q22" i="6"/>
  <c r="AV22" i="6" s="1"/>
  <c r="R7" i="6"/>
  <c r="AF7" i="6" s="1"/>
  <c r="AN7" i="6" s="1"/>
  <c r="O7" i="6"/>
  <c r="AD7" i="6" s="1"/>
  <c r="AL7" i="6" s="1"/>
  <c r="P7" i="6"/>
  <c r="AU7" i="6" s="1"/>
  <c r="Q7" i="6"/>
  <c r="AV7" i="6" s="1"/>
  <c r="N57" i="15"/>
  <c r="Q57" i="6"/>
  <c r="P57" i="6"/>
  <c r="P10" i="15"/>
  <c r="AD10" i="15" s="1"/>
  <c r="AL10" i="15" s="1"/>
  <c r="N10" i="15"/>
  <c r="AS10" i="15" s="1"/>
  <c r="O10" i="15"/>
  <c r="AT10" i="15" s="1"/>
  <c r="M10" i="15"/>
  <c r="P31" i="15"/>
  <c r="AD31" i="15" s="1"/>
  <c r="AL31" i="15" s="1"/>
  <c r="N31" i="15"/>
  <c r="AS31" i="15" s="1"/>
  <c r="M31" i="15"/>
  <c r="O31" i="15"/>
  <c r="AT31" i="15" s="1"/>
  <c r="N14" i="15"/>
  <c r="AS14" i="15" s="1"/>
  <c r="O14" i="15"/>
  <c r="AT14" i="15" s="1"/>
  <c r="M14" i="15"/>
  <c r="O7" i="15"/>
  <c r="AT7" i="15" s="1"/>
  <c r="N7" i="15"/>
  <c r="AS7" i="15" s="1"/>
  <c r="M7" i="15"/>
  <c r="P37" i="15"/>
  <c r="AD37" i="15" s="1"/>
  <c r="AL37" i="15" s="1"/>
  <c r="N37" i="15"/>
  <c r="AS37" i="15" s="1"/>
  <c r="M37" i="15"/>
  <c r="O37" i="15"/>
  <c r="AT37" i="15" s="1"/>
  <c r="S57" i="5"/>
  <c r="T57" i="5" s="1"/>
  <c r="O58" i="5"/>
  <c r="S2" i="2"/>
  <c r="F7" i="6" s="1"/>
  <c r="W14" i="5"/>
  <c r="X14" i="5" s="1"/>
  <c r="S10" i="2"/>
  <c r="F15" i="6" s="1"/>
  <c r="R15" i="6"/>
  <c r="AF15" i="6" s="1"/>
  <c r="AN15" i="6" s="1"/>
  <c r="J23" i="2"/>
  <c r="J31" i="2"/>
  <c r="J29" i="2"/>
  <c r="J6" i="2"/>
  <c r="R11" i="6" s="1"/>
  <c r="AF11" i="6" s="1"/>
  <c r="AN11" i="6" s="1"/>
  <c r="J26" i="2"/>
  <c r="J9" i="2"/>
  <c r="J27" i="2"/>
  <c r="R32" i="6" s="1"/>
  <c r="AF32" i="6" s="1"/>
  <c r="AN32" i="6" s="1"/>
  <c r="J5" i="2"/>
  <c r="E15" i="15"/>
  <c r="F15" i="15" s="1"/>
  <c r="D32" i="15"/>
  <c r="D15" i="15"/>
  <c r="E31" i="15"/>
  <c r="F31" i="15" s="1"/>
  <c r="D11" i="15"/>
  <c r="E14" i="15"/>
  <c r="F14" i="15" s="1"/>
  <c r="E11" i="15"/>
  <c r="F11" i="15" s="1"/>
  <c r="D36" i="15"/>
  <c r="E10" i="15"/>
  <c r="F10" i="15" s="1"/>
  <c r="E32" i="15"/>
  <c r="F32" i="15" s="1"/>
  <c r="D34" i="15"/>
  <c r="P14" i="15"/>
  <c r="AD14" i="15" s="1"/>
  <c r="AL14" i="15" s="1"/>
  <c r="E22" i="15"/>
  <c r="F22" i="15" s="1"/>
  <c r="D22" i="15"/>
  <c r="P7" i="15"/>
  <c r="AD7" i="15" s="1"/>
  <c r="AL7" i="15" s="1"/>
  <c r="D28" i="15"/>
  <c r="D17" i="15"/>
  <c r="E17" i="15"/>
  <c r="F17" i="15" s="1"/>
  <c r="E19" i="15"/>
  <c r="F19" i="15" s="1"/>
  <c r="D19" i="15"/>
  <c r="D26" i="15"/>
  <c r="E26" i="15"/>
  <c r="F26" i="15" s="1"/>
  <c r="E12" i="15"/>
  <c r="F12" i="15" s="1"/>
  <c r="D12" i="15"/>
  <c r="E9" i="15"/>
  <c r="F9" i="15" s="1"/>
  <c r="D9" i="15"/>
  <c r="E16" i="15"/>
  <c r="F16" i="15" s="1"/>
  <c r="D16" i="15"/>
  <c r="D25" i="15"/>
  <c r="E25" i="15"/>
  <c r="F25" i="15" s="1"/>
  <c r="E30" i="15"/>
  <c r="F30" i="15" s="1"/>
  <c r="D30" i="15"/>
  <c r="E27" i="15"/>
  <c r="F27" i="15" s="1"/>
  <c r="D27" i="15"/>
  <c r="E29" i="15"/>
  <c r="F29" i="15" s="1"/>
  <c r="D29" i="15"/>
  <c r="E38" i="15"/>
  <c r="F38" i="15" s="1"/>
  <c r="D38" i="15"/>
  <c r="E23" i="15"/>
  <c r="F23" i="15" s="1"/>
  <c r="D23" i="15"/>
  <c r="D8" i="15"/>
  <c r="E8" i="15"/>
  <c r="F8" i="15" s="1"/>
  <c r="E21" i="15"/>
  <c r="F21" i="15" s="1"/>
  <c r="D21" i="15"/>
  <c r="E35" i="15"/>
  <c r="F35" i="15" s="1"/>
  <c r="D35" i="15"/>
  <c r="D33" i="15"/>
  <c r="E33" i="15"/>
  <c r="F33" i="15" s="1"/>
  <c r="D18" i="15"/>
  <c r="E18" i="15"/>
  <c r="F18" i="15" s="1"/>
  <c r="D20" i="15"/>
  <c r="E20" i="15"/>
  <c r="F20" i="15" s="1"/>
  <c r="E13" i="15"/>
  <c r="F13" i="15" s="1"/>
  <c r="D13" i="15"/>
  <c r="E24" i="15"/>
  <c r="F24" i="15" s="1"/>
  <c r="D24" i="15"/>
  <c r="H35" i="2"/>
  <c r="J34" i="2"/>
  <c r="F37" i="6"/>
  <c r="Y36" i="5"/>
  <c r="I64" i="13" l="1"/>
  <c r="G64" i="14"/>
  <c r="I64" i="14" s="1"/>
  <c r="I38" i="5" s="1"/>
  <c r="D113" i="13"/>
  <c r="D112" i="14"/>
  <c r="H41" i="7"/>
  <c r="Y6" i="5"/>
  <c r="H33" i="7"/>
  <c r="H69" i="7" s="1"/>
  <c r="N44" i="5"/>
  <c r="P31" i="5" s="1"/>
  <c r="AX38" i="15"/>
  <c r="AZ38" i="6"/>
  <c r="O62" i="13"/>
  <c r="O62" i="14" s="1"/>
  <c r="G65" i="13"/>
  <c r="L62" i="13"/>
  <c r="L62" i="14" s="1"/>
  <c r="Q61" i="13"/>
  <c r="AZ37" i="6"/>
  <c r="AX37" i="15"/>
  <c r="O39" i="6"/>
  <c r="AD39" i="6" s="1"/>
  <c r="P39" i="6"/>
  <c r="AU39" i="6" s="1"/>
  <c r="Q39" i="6"/>
  <c r="AV39" i="6" s="1"/>
  <c r="W9" i="5"/>
  <c r="X9" i="5" s="1"/>
  <c r="O10" i="6"/>
  <c r="AD10" i="6" s="1"/>
  <c r="P10" i="6"/>
  <c r="AU10" i="6" s="1"/>
  <c r="Q10" i="6"/>
  <c r="AV10" i="6" s="1"/>
  <c r="O14" i="6"/>
  <c r="AD14" i="6" s="1"/>
  <c r="P14" i="6"/>
  <c r="AU14" i="6" s="1"/>
  <c r="Q14" i="6"/>
  <c r="AV14" i="6" s="1"/>
  <c r="O11" i="6"/>
  <c r="AD11" i="6" s="1"/>
  <c r="P11" i="6"/>
  <c r="AU11" i="6" s="1"/>
  <c r="Q11" i="6"/>
  <c r="AV11" i="6" s="1"/>
  <c r="O36" i="6"/>
  <c r="AD36" i="6" s="1"/>
  <c r="P36" i="6"/>
  <c r="AU36" i="6" s="1"/>
  <c r="Q36" i="6"/>
  <c r="AV36" i="6" s="1"/>
  <c r="AE7" i="6"/>
  <c r="AM7" i="6" s="1"/>
  <c r="AL22" i="6"/>
  <c r="AE22" i="6"/>
  <c r="AM22" i="6" s="1"/>
  <c r="AL13" i="6"/>
  <c r="AE13" i="6"/>
  <c r="AM13" i="6" s="1"/>
  <c r="AL18" i="6"/>
  <c r="AE18" i="6"/>
  <c r="AM18" i="6" s="1"/>
  <c r="AL35" i="6"/>
  <c r="AE35" i="6"/>
  <c r="AM35" i="6" s="1"/>
  <c r="AL8" i="6"/>
  <c r="AE8" i="6"/>
  <c r="AM8" i="6" s="1"/>
  <c r="AL15" i="6"/>
  <c r="AE15" i="6"/>
  <c r="AM15" i="6" s="1"/>
  <c r="AL38" i="6"/>
  <c r="AE38" i="6"/>
  <c r="AM38" i="6" s="1"/>
  <c r="AE27" i="6"/>
  <c r="AE25" i="6"/>
  <c r="AM25" i="6" s="1"/>
  <c r="AL25" i="6"/>
  <c r="AE9" i="6"/>
  <c r="AM9" i="6" s="1"/>
  <c r="AL9" i="6"/>
  <c r="AL26" i="6"/>
  <c r="AE26" i="6"/>
  <c r="AM26" i="6" s="1"/>
  <c r="W31" i="5"/>
  <c r="X31" i="5" s="1"/>
  <c r="O32" i="6"/>
  <c r="AD32" i="6" s="1"/>
  <c r="P32" i="6"/>
  <c r="AU32" i="6" s="1"/>
  <c r="Q32" i="6"/>
  <c r="AV32" i="6" s="1"/>
  <c r="O31" i="6"/>
  <c r="AD31" i="6" s="1"/>
  <c r="P31" i="6"/>
  <c r="AU31" i="6" s="1"/>
  <c r="Q31" i="6"/>
  <c r="AV31" i="6" s="1"/>
  <c r="O34" i="6"/>
  <c r="AD34" i="6" s="1"/>
  <c r="P34" i="6"/>
  <c r="AU34" i="6" s="1"/>
  <c r="Q34" i="6"/>
  <c r="AV34" i="6" s="1"/>
  <c r="O28" i="6"/>
  <c r="AD28" i="6" s="1"/>
  <c r="P28" i="6"/>
  <c r="AU28" i="6" s="1"/>
  <c r="Q28" i="6"/>
  <c r="AV28" i="6" s="1"/>
  <c r="AL24" i="6"/>
  <c r="AE24" i="6"/>
  <c r="AM24" i="6" s="1"/>
  <c r="AE20" i="6"/>
  <c r="AM20" i="6" s="1"/>
  <c r="AL20" i="6"/>
  <c r="AE33" i="6"/>
  <c r="AM33" i="6" s="1"/>
  <c r="AL33" i="6"/>
  <c r="AL21" i="6"/>
  <c r="AE21" i="6"/>
  <c r="AM21" i="6" s="1"/>
  <c r="AL23" i="6"/>
  <c r="AE23" i="6"/>
  <c r="AM23" i="6" s="1"/>
  <c r="AE17" i="6"/>
  <c r="AM17" i="6" s="1"/>
  <c r="AL17" i="6"/>
  <c r="AL29" i="6"/>
  <c r="AE29" i="6"/>
  <c r="AM29" i="6" s="1"/>
  <c r="AL30" i="6"/>
  <c r="AE30" i="6"/>
  <c r="AM30" i="6" s="1"/>
  <c r="AL16" i="6"/>
  <c r="AE16" i="6"/>
  <c r="AM16" i="6" s="1"/>
  <c r="AL12" i="6"/>
  <c r="AE12" i="6"/>
  <c r="AM12" i="6" s="1"/>
  <c r="AL19" i="6"/>
  <c r="AE19" i="6"/>
  <c r="AM19" i="6" s="1"/>
  <c r="N58" i="15"/>
  <c r="Q58" i="6"/>
  <c r="P58" i="6"/>
  <c r="AB7" i="15"/>
  <c r="AJ7" i="15" s="1"/>
  <c r="AC7" i="15"/>
  <c r="AK7" i="15" s="1"/>
  <c r="AB10" i="15"/>
  <c r="AJ10" i="15" s="1"/>
  <c r="AC10" i="15"/>
  <c r="AK10" i="15" s="1"/>
  <c r="AC37" i="15"/>
  <c r="AK37" i="15" s="1"/>
  <c r="AB37" i="15"/>
  <c r="AJ37" i="15" s="1"/>
  <c r="AB14" i="15"/>
  <c r="AJ14" i="15" s="1"/>
  <c r="AC14" i="15"/>
  <c r="AK14" i="15" s="1"/>
  <c r="AB31" i="15"/>
  <c r="AJ31" i="15" s="1"/>
  <c r="AC31" i="15"/>
  <c r="AK31" i="15" s="1"/>
  <c r="N20" i="15"/>
  <c r="AS20" i="15" s="1"/>
  <c r="O20" i="15"/>
  <c r="AT20" i="15" s="1"/>
  <c r="M20" i="15"/>
  <c r="N18" i="15"/>
  <c r="AS18" i="15" s="1"/>
  <c r="O18" i="15"/>
  <c r="AT18" i="15" s="1"/>
  <c r="M18" i="15"/>
  <c r="N33" i="15"/>
  <c r="AS33" i="15" s="1"/>
  <c r="M33" i="15"/>
  <c r="O33" i="15"/>
  <c r="AT33" i="15" s="1"/>
  <c r="N8" i="15"/>
  <c r="AS8" i="15" s="1"/>
  <c r="M8" i="15"/>
  <c r="O8" i="15"/>
  <c r="AT8" i="15" s="1"/>
  <c r="N25" i="15"/>
  <c r="AS25" i="15" s="1"/>
  <c r="M25" i="15"/>
  <c r="O25" i="15"/>
  <c r="AT25" i="15" s="1"/>
  <c r="N26" i="15"/>
  <c r="AS26" i="15" s="1"/>
  <c r="O26" i="15"/>
  <c r="AT26" i="15" s="1"/>
  <c r="M26" i="15"/>
  <c r="N17" i="15"/>
  <c r="AS17" i="15" s="1"/>
  <c r="M17" i="15"/>
  <c r="O17" i="15"/>
  <c r="AT17" i="15" s="1"/>
  <c r="N22" i="15"/>
  <c r="AS22" i="15" s="1"/>
  <c r="O22" i="15"/>
  <c r="AT22" i="15" s="1"/>
  <c r="M22" i="15"/>
  <c r="N34" i="15"/>
  <c r="AS34" i="15" s="1"/>
  <c r="O34" i="15"/>
  <c r="AT34" i="15" s="1"/>
  <c r="M34" i="15"/>
  <c r="P11" i="15"/>
  <c r="AD11" i="15" s="1"/>
  <c r="AL11" i="15" s="1"/>
  <c r="N11" i="15"/>
  <c r="AS11" i="15" s="1"/>
  <c r="M11" i="15"/>
  <c r="O11" i="15"/>
  <c r="AT11" i="15" s="1"/>
  <c r="N15" i="15"/>
  <c r="AS15" i="15" s="1"/>
  <c r="M15" i="15"/>
  <c r="O15" i="15"/>
  <c r="AT15" i="15" s="1"/>
  <c r="N24" i="15"/>
  <c r="AS24" i="15" s="1"/>
  <c r="O24" i="15"/>
  <c r="AT24" i="15" s="1"/>
  <c r="M24" i="15"/>
  <c r="N13" i="15"/>
  <c r="AS13" i="15" s="1"/>
  <c r="M13" i="15"/>
  <c r="O13" i="15"/>
  <c r="AT13" i="15" s="1"/>
  <c r="N35" i="15"/>
  <c r="AS35" i="15" s="1"/>
  <c r="M35" i="15"/>
  <c r="O35" i="15"/>
  <c r="AT35" i="15" s="1"/>
  <c r="N21" i="15"/>
  <c r="AS21" i="15" s="1"/>
  <c r="M21" i="15"/>
  <c r="O21" i="15"/>
  <c r="AT21" i="15" s="1"/>
  <c r="N23" i="15"/>
  <c r="AS23" i="15" s="1"/>
  <c r="M23" i="15"/>
  <c r="O23" i="15"/>
  <c r="AT23" i="15" s="1"/>
  <c r="N38" i="15"/>
  <c r="AS38" i="15" s="1"/>
  <c r="O38" i="15"/>
  <c r="AT38" i="15" s="1"/>
  <c r="M38" i="15"/>
  <c r="N29" i="15"/>
  <c r="AS29" i="15" s="1"/>
  <c r="M29" i="15"/>
  <c r="O29" i="15"/>
  <c r="AT29" i="15" s="1"/>
  <c r="N27" i="15"/>
  <c r="AS27" i="15" s="1"/>
  <c r="M27" i="15"/>
  <c r="O27" i="15"/>
  <c r="AT27" i="15" s="1"/>
  <c r="N30" i="15"/>
  <c r="AS30" i="15" s="1"/>
  <c r="O30" i="15"/>
  <c r="AT30" i="15" s="1"/>
  <c r="M30" i="15"/>
  <c r="N16" i="15"/>
  <c r="AS16" i="15" s="1"/>
  <c r="O16" i="15"/>
  <c r="AT16" i="15" s="1"/>
  <c r="M16" i="15"/>
  <c r="N9" i="15"/>
  <c r="AS9" i="15" s="1"/>
  <c r="M9" i="15"/>
  <c r="O9" i="15"/>
  <c r="AT9" i="15" s="1"/>
  <c r="N12" i="15"/>
  <c r="AS12" i="15" s="1"/>
  <c r="O12" i="15"/>
  <c r="AT12" i="15" s="1"/>
  <c r="M12" i="15"/>
  <c r="N19" i="15"/>
  <c r="AS19" i="15" s="1"/>
  <c r="M19" i="15"/>
  <c r="O19" i="15"/>
  <c r="AT19" i="15" s="1"/>
  <c r="N28" i="15"/>
  <c r="AS28" i="15" s="1"/>
  <c r="O28" i="15"/>
  <c r="AT28" i="15" s="1"/>
  <c r="M28" i="15"/>
  <c r="N36" i="15"/>
  <c r="AS36" i="15" s="1"/>
  <c r="O36" i="15"/>
  <c r="AT36" i="15" s="1"/>
  <c r="M36" i="15"/>
  <c r="N32" i="15"/>
  <c r="AS32" i="15" s="1"/>
  <c r="O32" i="15"/>
  <c r="AT32" i="15" s="1"/>
  <c r="M32" i="15"/>
  <c r="S58" i="5"/>
  <c r="T58" i="5" s="1"/>
  <c r="O59" i="5"/>
  <c r="W35" i="5"/>
  <c r="X35" i="5" s="1"/>
  <c r="P15" i="15"/>
  <c r="AD15" i="15" s="1"/>
  <c r="AL15" i="15" s="1"/>
  <c r="S6" i="2"/>
  <c r="F11" i="6" s="1"/>
  <c r="S27" i="2"/>
  <c r="F32" i="6" s="1"/>
  <c r="Y14" i="5"/>
  <c r="S31" i="2"/>
  <c r="F36" i="6" s="1"/>
  <c r="W10" i="5"/>
  <c r="X10" i="5" s="1"/>
  <c r="R36" i="6"/>
  <c r="AF36" i="6" s="1"/>
  <c r="AN36" i="6" s="1"/>
  <c r="P32" i="15"/>
  <c r="AD32" i="15" s="1"/>
  <c r="R10" i="6"/>
  <c r="AF10" i="6" s="1"/>
  <c r="AN10" i="6" s="1"/>
  <c r="S5" i="2"/>
  <c r="P36" i="15"/>
  <c r="AD36" i="15" s="1"/>
  <c r="AL36" i="15" s="1"/>
  <c r="S9" i="2"/>
  <c r="W13" i="5"/>
  <c r="X13" i="5" s="1"/>
  <c r="R14" i="6"/>
  <c r="AF14" i="6" s="1"/>
  <c r="AN14" i="6" s="1"/>
  <c r="P28" i="15"/>
  <c r="AD28" i="15" s="1"/>
  <c r="AL28" i="15" s="1"/>
  <c r="P22" i="15"/>
  <c r="AD22" i="15" s="1"/>
  <c r="AL22" i="15" s="1"/>
  <c r="R22" i="6"/>
  <c r="AF22" i="6" s="1"/>
  <c r="AN22" i="6" s="1"/>
  <c r="S17" i="2"/>
  <c r="W21" i="5"/>
  <c r="X21" i="5" s="1"/>
  <c r="R34" i="6"/>
  <c r="AF34" i="6" s="1"/>
  <c r="AN34" i="6" s="1"/>
  <c r="W33" i="5"/>
  <c r="X33" i="5" s="1"/>
  <c r="S29" i="2"/>
  <c r="R17" i="6"/>
  <c r="AF17" i="6" s="1"/>
  <c r="AN17" i="6" s="1"/>
  <c r="S12" i="2"/>
  <c r="W16" i="5"/>
  <c r="X16" i="5" s="1"/>
  <c r="P17" i="15"/>
  <c r="AD17" i="15" s="1"/>
  <c r="AL17" i="15" s="1"/>
  <c r="R28" i="6"/>
  <c r="AF28" i="6" s="1"/>
  <c r="AN28" i="6" s="1"/>
  <c r="S23" i="2"/>
  <c r="W27" i="5"/>
  <c r="X27" i="5" s="1"/>
  <c r="P34" i="15"/>
  <c r="AD34" i="15" s="1"/>
  <c r="AL34" i="15" s="1"/>
  <c r="R31" i="6"/>
  <c r="AF31" i="6" s="1"/>
  <c r="AN31" i="6" s="1"/>
  <c r="S26" i="2"/>
  <c r="W30" i="5"/>
  <c r="X30" i="5" s="1"/>
  <c r="H36" i="2"/>
  <c r="J35" i="2"/>
  <c r="P24" i="15"/>
  <c r="AD24" i="15" s="1"/>
  <c r="AL24" i="15" s="1"/>
  <c r="P13" i="15"/>
  <c r="AD13" i="15" s="1"/>
  <c r="AL13" i="15" s="1"/>
  <c r="S8" i="2"/>
  <c r="W12" i="5"/>
  <c r="X12" i="5" s="1"/>
  <c r="R13" i="6"/>
  <c r="AF13" i="6" s="1"/>
  <c r="AN13" i="6" s="1"/>
  <c r="S15" i="2"/>
  <c r="W19" i="5"/>
  <c r="X19" i="5" s="1"/>
  <c r="R20" i="6"/>
  <c r="AF20" i="6" s="1"/>
  <c r="AN20" i="6" s="1"/>
  <c r="S13" i="2"/>
  <c r="W17" i="5"/>
  <c r="X17" i="5" s="1"/>
  <c r="R18" i="6"/>
  <c r="AF18" i="6" s="1"/>
  <c r="AN18" i="6" s="1"/>
  <c r="P33" i="15"/>
  <c r="AD33" i="15" s="1"/>
  <c r="AL33" i="15" s="1"/>
  <c r="P35" i="15"/>
  <c r="AD35" i="15" s="1"/>
  <c r="AL35" i="15" s="1"/>
  <c r="R35" i="6"/>
  <c r="AF35" i="6" s="1"/>
  <c r="AN35" i="6" s="1"/>
  <c r="S30" i="2"/>
  <c r="W34" i="5"/>
  <c r="X34" i="5" s="1"/>
  <c r="S3" i="2"/>
  <c r="R8" i="6"/>
  <c r="AF8" i="6" s="1"/>
  <c r="AN8" i="6" s="1"/>
  <c r="W7" i="5"/>
  <c r="X7" i="5" s="1"/>
  <c r="P8" i="15"/>
  <c r="AD8" i="15" s="1"/>
  <c r="AL8" i="15" s="1"/>
  <c r="S18" i="2"/>
  <c r="R23" i="6"/>
  <c r="AF23" i="6" s="1"/>
  <c r="AN23" i="6" s="1"/>
  <c r="W22" i="5"/>
  <c r="X22" i="5" s="1"/>
  <c r="R38" i="6"/>
  <c r="AF38" i="6" s="1"/>
  <c r="AN38" i="6" s="1"/>
  <c r="S33" i="2"/>
  <c r="W37" i="5"/>
  <c r="X37" i="5" s="1"/>
  <c r="W28" i="5"/>
  <c r="X28" i="5" s="1"/>
  <c r="R29" i="6"/>
  <c r="AF29" i="6" s="1"/>
  <c r="AN29" i="6" s="1"/>
  <c r="S24" i="2"/>
  <c r="P27" i="15"/>
  <c r="AD27" i="15" s="1"/>
  <c r="AL27" i="15" s="1"/>
  <c r="S22" i="2"/>
  <c r="H42" i="7" s="1"/>
  <c r="R27" i="6"/>
  <c r="AF27" i="6" s="1"/>
  <c r="W26" i="5"/>
  <c r="X26" i="5" s="1"/>
  <c r="P25" i="15"/>
  <c r="AD25" i="15" s="1"/>
  <c r="AL25" i="15" s="1"/>
  <c r="R9" i="6"/>
  <c r="AF9" i="6" s="1"/>
  <c r="AN9" i="6" s="1"/>
  <c r="S4" i="2"/>
  <c r="W8" i="5"/>
  <c r="X8" i="5" s="1"/>
  <c r="P26" i="15"/>
  <c r="AD26" i="15" s="1"/>
  <c r="AL26" i="15" s="1"/>
  <c r="P19" i="15"/>
  <c r="AD19" i="15" s="1"/>
  <c r="AL19" i="15" s="1"/>
  <c r="D39" i="15"/>
  <c r="E39" i="15"/>
  <c r="F39" i="15" s="1"/>
  <c r="S19" i="2"/>
  <c r="R24" i="6"/>
  <c r="AF24" i="6" s="1"/>
  <c r="AN24" i="6" s="1"/>
  <c r="W23" i="5"/>
  <c r="X23" i="5" s="1"/>
  <c r="P20" i="15"/>
  <c r="AD20" i="15" s="1"/>
  <c r="AL20" i="15" s="1"/>
  <c r="P18" i="15"/>
  <c r="AD18" i="15" s="1"/>
  <c r="AL18" i="15" s="1"/>
  <c r="S28" i="2"/>
  <c r="W32" i="5"/>
  <c r="X32" i="5" s="1"/>
  <c r="R33" i="6"/>
  <c r="AF33" i="6" s="1"/>
  <c r="AN33" i="6" s="1"/>
  <c r="P21" i="15"/>
  <c r="AD21" i="15" s="1"/>
  <c r="AL21" i="15" s="1"/>
  <c r="S16" i="2"/>
  <c r="R21" i="6"/>
  <c r="AF21" i="6" s="1"/>
  <c r="AN21" i="6" s="1"/>
  <c r="W20" i="5"/>
  <c r="X20" i="5" s="1"/>
  <c r="P23" i="15"/>
  <c r="AD23" i="15" s="1"/>
  <c r="AL23" i="15" s="1"/>
  <c r="P38" i="15"/>
  <c r="AD38" i="15" s="1"/>
  <c r="AL38" i="15" s="1"/>
  <c r="P29" i="15"/>
  <c r="AD29" i="15" s="1"/>
  <c r="AL29" i="15" s="1"/>
  <c r="P30" i="15"/>
  <c r="AD30" i="15" s="1"/>
  <c r="AL30" i="15" s="1"/>
  <c r="S25" i="2"/>
  <c r="R30" i="6"/>
  <c r="AF30" i="6" s="1"/>
  <c r="AN30" i="6" s="1"/>
  <c r="W29" i="5"/>
  <c r="X29" i="5" s="1"/>
  <c r="R25" i="6"/>
  <c r="AF25" i="6" s="1"/>
  <c r="AN25" i="6" s="1"/>
  <c r="S20" i="2"/>
  <c r="W24" i="5"/>
  <c r="X24" i="5" s="1"/>
  <c r="P16" i="15"/>
  <c r="AD16" i="15" s="1"/>
  <c r="AL16" i="15" s="1"/>
  <c r="S11" i="2"/>
  <c r="W15" i="5"/>
  <c r="X15" i="5" s="1"/>
  <c r="R16" i="6"/>
  <c r="AF16" i="6" s="1"/>
  <c r="AN16" i="6" s="1"/>
  <c r="P9" i="15"/>
  <c r="AD9" i="15" s="1"/>
  <c r="AL9" i="15" s="1"/>
  <c r="P12" i="15"/>
  <c r="AD12" i="15" s="1"/>
  <c r="AL12" i="15" s="1"/>
  <c r="S7" i="2"/>
  <c r="W11" i="5"/>
  <c r="X11" i="5" s="1"/>
  <c r="R12" i="6"/>
  <c r="AF12" i="6" s="1"/>
  <c r="AN12" i="6" s="1"/>
  <c r="W25" i="5"/>
  <c r="X25" i="5" s="1"/>
  <c r="S21" i="2"/>
  <c r="R26" i="6"/>
  <c r="AF26" i="6" s="1"/>
  <c r="AN26" i="6" s="1"/>
  <c r="R19" i="6"/>
  <c r="AF19" i="6" s="1"/>
  <c r="AN19" i="6" s="1"/>
  <c r="S14" i="2"/>
  <c r="W18" i="5"/>
  <c r="X18" i="5" s="1"/>
  <c r="H7" i="6"/>
  <c r="V7" i="6" s="1"/>
  <c r="AK7" i="6" s="1"/>
  <c r="H38" i="15"/>
  <c r="T38" i="15" s="1"/>
  <c r="AI38" i="15" s="1"/>
  <c r="H37" i="15"/>
  <c r="T37" i="15" s="1"/>
  <c r="AI37" i="15" s="1"/>
  <c r="H36" i="15"/>
  <c r="T36" i="15" s="1"/>
  <c r="AI36" i="15" s="1"/>
  <c r="H35" i="15"/>
  <c r="T35" i="15" s="1"/>
  <c r="AI35" i="15" s="1"/>
  <c r="H34" i="15"/>
  <c r="T34" i="15" s="1"/>
  <c r="AI34" i="15" s="1"/>
  <c r="H33" i="15"/>
  <c r="T33" i="15" s="1"/>
  <c r="AI33" i="15" s="1"/>
  <c r="H32" i="15"/>
  <c r="T32" i="15" s="1"/>
  <c r="AI32" i="15" s="1"/>
  <c r="H31" i="15"/>
  <c r="T31" i="15" s="1"/>
  <c r="AI31" i="15" s="1"/>
  <c r="H30" i="15"/>
  <c r="T30" i="15" s="1"/>
  <c r="AI30" i="15" s="1"/>
  <c r="H29" i="15"/>
  <c r="T29" i="15" s="1"/>
  <c r="AI29" i="15" s="1"/>
  <c r="H28" i="15"/>
  <c r="T28" i="15" s="1"/>
  <c r="AI28" i="15" s="1"/>
  <c r="H27" i="15"/>
  <c r="T27" i="15" s="1"/>
  <c r="AI27" i="15" s="1"/>
  <c r="H26" i="15"/>
  <c r="T26" i="15" s="1"/>
  <c r="AI26" i="15" s="1"/>
  <c r="H25" i="15"/>
  <c r="T25" i="15" s="1"/>
  <c r="AI25" i="15" s="1"/>
  <c r="H24" i="15"/>
  <c r="T24" i="15" s="1"/>
  <c r="AI24" i="15" s="1"/>
  <c r="H23" i="15"/>
  <c r="T23" i="15" s="1"/>
  <c r="AI23" i="15" s="1"/>
  <c r="H22" i="15"/>
  <c r="T22" i="15" s="1"/>
  <c r="AI22" i="15" s="1"/>
  <c r="H21" i="15"/>
  <c r="T21" i="15" s="1"/>
  <c r="AI21" i="15" s="1"/>
  <c r="H20" i="15"/>
  <c r="T20" i="15" s="1"/>
  <c r="AI20" i="15" s="1"/>
  <c r="H19" i="15"/>
  <c r="T19" i="15" s="1"/>
  <c r="AI19" i="15" s="1"/>
  <c r="H18" i="15"/>
  <c r="T18" i="15" s="1"/>
  <c r="AI18" i="15" s="1"/>
  <c r="H17" i="15"/>
  <c r="T17" i="15" s="1"/>
  <c r="AI17" i="15" s="1"/>
  <c r="H16" i="15"/>
  <c r="T16" i="15" s="1"/>
  <c r="AI16" i="15" s="1"/>
  <c r="H15" i="15"/>
  <c r="T15" i="15" s="1"/>
  <c r="AI15" i="15" s="1"/>
  <c r="H14" i="15"/>
  <c r="T14" i="15" s="1"/>
  <c r="AI14" i="15" s="1"/>
  <c r="H13" i="15"/>
  <c r="T13" i="15" s="1"/>
  <c r="AI13" i="15" s="1"/>
  <c r="H12" i="15"/>
  <c r="T12" i="15" s="1"/>
  <c r="AI12" i="15" s="1"/>
  <c r="H11" i="15"/>
  <c r="T11" i="15" s="1"/>
  <c r="AI11" i="15" s="1"/>
  <c r="H10" i="15"/>
  <c r="T10" i="15" s="1"/>
  <c r="AI10" i="15" s="1"/>
  <c r="H9" i="15"/>
  <c r="T9" i="15" s="1"/>
  <c r="AI9" i="15" s="1"/>
  <c r="H8" i="15"/>
  <c r="T8" i="15" s="1"/>
  <c r="AI8" i="15" s="1"/>
  <c r="H7" i="15"/>
  <c r="T7" i="15" s="1"/>
  <c r="AI7" i="15" s="1"/>
  <c r="I65" i="13" l="1"/>
  <c r="G65" i="14"/>
  <c r="I65" i="14" s="1"/>
  <c r="I39" i="5" s="1"/>
  <c r="J38" i="5"/>
  <c r="AZ39" i="6" s="1"/>
  <c r="D114" i="13"/>
  <c r="D113" i="14"/>
  <c r="H34" i="7"/>
  <c r="H70" i="7" s="1"/>
  <c r="Q61" i="14"/>
  <c r="N45" i="5" s="1"/>
  <c r="P32" i="5" s="1"/>
  <c r="L63" i="13"/>
  <c r="L63" i="14" s="1"/>
  <c r="G66" i="13"/>
  <c r="Q62" i="13"/>
  <c r="O63" i="13"/>
  <c r="O63" i="14" s="1"/>
  <c r="AL32" i="15"/>
  <c r="BG7" i="15"/>
  <c r="BG8" i="15" s="1"/>
  <c r="BG9" i="15" s="1"/>
  <c r="BG10" i="15" s="1"/>
  <c r="BG11" i="15" s="1"/>
  <c r="BG12" i="15" s="1"/>
  <c r="BG13" i="15" s="1"/>
  <c r="BG14" i="15" s="1"/>
  <c r="BG15" i="15" s="1"/>
  <c r="BG16" i="15" s="1"/>
  <c r="BG17" i="15" s="1"/>
  <c r="BG18" i="15" s="1"/>
  <c r="BG19" i="15" s="1"/>
  <c r="BG20" i="15" s="1"/>
  <c r="BG21" i="15" s="1"/>
  <c r="BG22" i="15" s="1"/>
  <c r="BG23" i="15" s="1"/>
  <c r="BG24" i="15" s="1"/>
  <c r="BG25" i="15" s="1"/>
  <c r="BG26" i="15" s="1"/>
  <c r="BG27" i="15" s="1"/>
  <c r="BG28" i="15" s="1"/>
  <c r="BG29" i="15" s="1"/>
  <c r="BG30" i="15" s="1"/>
  <c r="BG31" i="15" s="1"/>
  <c r="BG32" i="15" s="1"/>
  <c r="BG33" i="15" s="1"/>
  <c r="BG34" i="15" s="1"/>
  <c r="BG35" i="15" s="1"/>
  <c r="BG36" i="15" s="1"/>
  <c r="BG37" i="15" s="1"/>
  <c r="BG38" i="15" s="1"/>
  <c r="BG39" i="15" s="1"/>
  <c r="BG40" i="15" s="1"/>
  <c r="BG41" i="15" s="1"/>
  <c r="BG42" i="15" s="1"/>
  <c r="BG43" i="15" s="1"/>
  <c r="BG44" i="15" s="1"/>
  <c r="BG45" i="15" s="1"/>
  <c r="BG46" i="15" s="1"/>
  <c r="BG47" i="15" s="1"/>
  <c r="BG48" i="15" s="1"/>
  <c r="BG49" i="15" s="1"/>
  <c r="BG50" i="15" s="1"/>
  <c r="BG51" i="15" s="1"/>
  <c r="BG52" i="15" s="1"/>
  <c r="BG53" i="15" s="1"/>
  <c r="BG54" i="15" s="1"/>
  <c r="BG55" i="15" s="1"/>
  <c r="BG56" i="15" s="1"/>
  <c r="BG57" i="15" s="1"/>
  <c r="BG58" i="15" s="1"/>
  <c r="BG59" i="15" s="1"/>
  <c r="BG60" i="15" s="1"/>
  <c r="BG61" i="15" s="1"/>
  <c r="BG62" i="15" s="1"/>
  <c r="BG63" i="15" s="1"/>
  <c r="BG64" i="15" s="1"/>
  <c r="BG65" i="15" s="1"/>
  <c r="BG66" i="15" s="1"/>
  <c r="BG67" i="15" s="1"/>
  <c r="BG68" i="15" s="1"/>
  <c r="BG69" i="15" s="1"/>
  <c r="BG70" i="15" s="1"/>
  <c r="BG71" i="15" s="1"/>
  <c r="BG72" i="15" s="1"/>
  <c r="BG73" i="15" s="1"/>
  <c r="BG74" i="15" s="1"/>
  <c r="BG75" i="15" s="1"/>
  <c r="BG76" i="15" s="1"/>
  <c r="BG77" i="15" s="1"/>
  <c r="BG78" i="15" s="1"/>
  <c r="BG79" i="15" s="1"/>
  <c r="BG80" i="15" s="1"/>
  <c r="BG81" i="15" s="1"/>
  <c r="BG82" i="15" s="1"/>
  <c r="AM27" i="6"/>
  <c r="BH7" i="6"/>
  <c r="BH8" i="6" s="1"/>
  <c r="BH9" i="6" s="1"/>
  <c r="BH10" i="6" s="1"/>
  <c r="BH11" i="6" s="1"/>
  <c r="BH12" i="6" s="1"/>
  <c r="BH13" i="6" s="1"/>
  <c r="BH14" i="6" s="1"/>
  <c r="BH15" i="6" s="1"/>
  <c r="BH16" i="6" s="1"/>
  <c r="BH17" i="6" s="1"/>
  <c r="BH18" i="6" s="1"/>
  <c r="BH19" i="6" s="1"/>
  <c r="BH20" i="6" s="1"/>
  <c r="BH21" i="6" s="1"/>
  <c r="BH22" i="6" s="1"/>
  <c r="BH23" i="6" s="1"/>
  <c r="BH24" i="6" s="1"/>
  <c r="BH25" i="6" s="1"/>
  <c r="BH26" i="6" s="1"/>
  <c r="BH27" i="6" s="1"/>
  <c r="BH28" i="6" s="1"/>
  <c r="BH29" i="6" s="1"/>
  <c r="BH30" i="6" s="1"/>
  <c r="BH31" i="6" s="1"/>
  <c r="BH32" i="6" s="1"/>
  <c r="BH33" i="6" s="1"/>
  <c r="BH34" i="6" s="1"/>
  <c r="BH35" i="6" s="1"/>
  <c r="BH36" i="6" s="1"/>
  <c r="BH37" i="6" s="1"/>
  <c r="BH38" i="6" s="1"/>
  <c r="BH39" i="6" s="1"/>
  <c r="BH40" i="6" s="1"/>
  <c r="BH41" i="6" s="1"/>
  <c r="BH42" i="6" s="1"/>
  <c r="BH43" i="6" s="1"/>
  <c r="BH44" i="6" s="1"/>
  <c r="BH45" i="6" s="1"/>
  <c r="BH46" i="6" s="1"/>
  <c r="BH47" i="6" s="1"/>
  <c r="BH48" i="6" s="1"/>
  <c r="BH49" i="6" s="1"/>
  <c r="BH50" i="6" s="1"/>
  <c r="BH51" i="6" s="1"/>
  <c r="BH52" i="6" s="1"/>
  <c r="BH53" i="6" s="1"/>
  <c r="BH54" i="6" s="1"/>
  <c r="BH55" i="6" s="1"/>
  <c r="BH56" i="6" s="1"/>
  <c r="BH57" i="6" s="1"/>
  <c r="BH58" i="6" s="1"/>
  <c r="BH59" i="6" s="1"/>
  <c r="BH60" i="6" s="1"/>
  <c r="BH61" i="6" s="1"/>
  <c r="BH62" i="6" s="1"/>
  <c r="BH63" i="6" s="1"/>
  <c r="BH64" i="6" s="1"/>
  <c r="BH65" i="6" s="1"/>
  <c r="BH66" i="6" s="1"/>
  <c r="BH67" i="6" s="1"/>
  <c r="BH68" i="6" s="1"/>
  <c r="BH69" i="6" s="1"/>
  <c r="BH70" i="6" s="1"/>
  <c r="BH71" i="6" s="1"/>
  <c r="BH72" i="6" s="1"/>
  <c r="BH73" i="6" s="1"/>
  <c r="BH74" i="6" s="1"/>
  <c r="BH75" i="6" s="1"/>
  <c r="BH76" i="6" s="1"/>
  <c r="BH77" i="6" s="1"/>
  <c r="BH78" i="6" s="1"/>
  <c r="BH79" i="6" s="1"/>
  <c r="BH80" i="6" s="1"/>
  <c r="BH81" i="6" s="1"/>
  <c r="BH82" i="6" s="1"/>
  <c r="AN27" i="6"/>
  <c r="BI7" i="6"/>
  <c r="BI8" i="6" s="1"/>
  <c r="BI9" i="6" s="1"/>
  <c r="BI10" i="6" s="1"/>
  <c r="BI11" i="6" s="1"/>
  <c r="BI12" i="6" s="1"/>
  <c r="BI13" i="6" s="1"/>
  <c r="BI14" i="6" s="1"/>
  <c r="BI15" i="6" s="1"/>
  <c r="BI16" i="6" s="1"/>
  <c r="BI17" i="6" s="1"/>
  <c r="BI18" i="6" s="1"/>
  <c r="BI19" i="6" s="1"/>
  <c r="BI20" i="6" s="1"/>
  <c r="BI21" i="6" s="1"/>
  <c r="BI22" i="6" s="1"/>
  <c r="BI23" i="6" s="1"/>
  <c r="BI24" i="6" s="1"/>
  <c r="BI25" i="6" s="1"/>
  <c r="BI26" i="6" s="1"/>
  <c r="BI27" i="6" s="1"/>
  <c r="BI28" i="6" s="1"/>
  <c r="BI29" i="6" s="1"/>
  <c r="BI30" i="6" s="1"/>
  <c r="BI31" i="6" s="1"/>
  <c r="BI32" i="6" s="1"/>
  <c r="BI33" i="6" s="1"/>
  <c r="BI34" i="6" s="1"/>
  <c r="BI35" i="6" s="1"/>
  <c r="BI36" i="6" s="1"/>
  <c r="BI37" i="6" s="1"/>
  <c r="BI38" i="6" s="1"/>
  <c r="BI39" i="6" s="1"/>
  <c r="BI40" i="6" s="1"/>
  <c r="BI41" i="6" s="1"/>
  <c r="BI42" i="6" s="1"/>
  <c r="BI43" i="6" s="1"/>
  <c r="BI44" i="6" s="1"/>
  <c r="BI45" i="6" s="1"/>
  <c r="BI46" i="6" s="1"/>
  <c r="BI47" i="6" s="1"/>
  <c r="BI48" i="6" s="1"/>
  <c r="BI49" i="6" s="1"/>
  <c r="BI50" i="6" s="1"/>
  <c r="BI51" i="6" s="1"/>
  <c r="BI52" i="6" s="1"/>
  <c r="BI53" i="6" s="1"/>
  <c r="BI54" i="6" s="1"/>
  <c r="BI55" i="6" s="1"/>
  <c r="BI56" i="6" s="1"/>
  <c r="BI57" i="6" s="1"/>
  <c r="BI58" i="6" s="1"/>
  <c r="BI59" i="6" s="1"/>
  <c r="BI60" i="6" s="1"/>
  <c r="BI61" i="6" s="1"/>
  <c r="BI62" i="6" s="1"/>
  <c r="BI63" i="6" s="1"/>
  <c r="BI64" i="6" s="1"/>
  <c r="BI65" i="6" s="1"/>
  <c r="BI66" i="6" s="1"/>
  <c r="BI67" i="6" s="1"/>
  <c r="BI68" i="6" s="1"/>
  <c r="BI69" i="6" s="1"/>
  <c r="BI70" i="6" s="1"/>
  <c r="BI71" i="6" s="1"/>
  <c r="BI72" i="6" s="1"/>
  <c r="BI73" i="6" s="1"/>
  <c r="BI74" i="6" s="1"/>
  <c r="BI75" i="6" s="1"/>
  <c r="BI76" i="6" s="1"/>
  <c r="BI77" i="6" s="1"/>
  <c r="BI78" i="6" s="1"/>
  <c r="BI79" i="6" s="1"/>
  <c r="BI80" i="6" s="1"/>
  <c r="BI81" i="6" s="1"/>
  <c r="BI82" i="6" s="1"/>
  <c r="AL27" i="6"/>
  <c r="BG7" i="6"/>
  <c r="BG8" i="6" s="1"/>
  <c r="BG9" i="6" s="1"/>
  <c r="BG10" i="6" s="1"/>
  <c r="BG11" i="6" s="1"/>
  <c r="BG12" i="6" s="1"/>
  <c r="BG13" i="6" s="1"/>
  <c r="BG14" i="6" s="1"/>
  <c r="BG15" i="6" s="1"/>
  <c r="BG16" i="6" s="1"/>
  <c r="O40" i="6"/>
  <c r="AD40" i="6" s="1"/>
  <c r="P40" i="6"/>
  <c r="AU40" i="6" s="1"/>
  <c r="Q40" i="6"/>
  <c r="AV40" i="6" s="1"/>
  <c r="AE28" i="6"/>
  <c r="AM28" i="6" s="1"/>
  <c r="AL28" i="6"/>
  <c r="AL31" i="6"/>
  <c r="AE31" i="6"/>
  <c r="AM31" i="6" s="1"/>
  <c r="AL11" i="6"/>
  <c r="AE11" i="6"/>
  <c r="AM11" i="6" s="1"/>
  <c r="AE10" i="6"/>
  <c r="AM10" i="6" s="1"/>
  <c r="AL10" i="6"/>
  <c r="AL39" i="6"/>
  <c r="AE39" i="6"/>
  <c r="AM39" i="6" s="1"/>
  <c r="AL34" i="6"/>
  <c r="AE34" i="6"/>
  <c r="AM34" i="6" s="1"/>
  <c r="AL32" i="6"/>
  <c r="AE32" i="6"/>
  <c r="AM32" i="6" s="1"/>
  <c r="AE36" i="6"/>
  <c r="AM36" i="6" s="1"/>
  <c r="AL36" i="6"/>
  <c r="AL14" i="6"/>
  <c r="AE14" i="6"/>
  <c r="AM14" i="6" s="1"/>
  <c r="AR20" i="15"/>
  <c r="AA20" i="15"/>
  <c r="AR22" i="15"/>
  <c r="AA22" i="15"/>
  <c r="AR24" i="15"/>
  <c r="AA24" i="15"/>
  <c r="AR26" i="15"/>
  <c r="AA26" i="15"/>
  <c r="AR28" i="15"/>
  <c r="AA28" i="15"/>
  <c r="AR30" i="15"/>
  <c r="AA30" i="15"/>
  <c r="AR32" i="15"/>
  <c r="AA32" i="15"/>
  <c r="BD7" i="15" s="1"/>
  <c r="BD8" i="15" s="1"/>
  <c r="BD9" i="15" s="1"/>
  <c r="BD10" i="15" s="1"/>
  <c r="BD11" i="15" s="1"/>
  <c r="AR34" i="15"/>
  <c r="AA34" i="15"/>
  <c r="AR36" i="15"/>
  <c r="AA36" i="15"/>
  <c r="AR38" i="15"/>
  <c r="AA38" i="15"/>
  <c r="AR8" i="15"/>
  <c r="AA8" i="15"/>
  <c r="AR10" i="15"/>
  <c r="AA10" i="15"/>
  <c r="AR12" i="15"/>
  <c r="AA12" i="15"/>
  <c r="AR14" i="15"/>
  <c r="AA14" i="15"/>
  <c r="AR16" i="15"/>
  <c r="AA16" i="15"/>
  <c r="AR18" i="15"/>
  <c r="AA18" i="15"/>
  <c r="AR7" i="15"/>
  <c r="AA7" i="15"/>
  <c r="AR9" i="15"/>
  <c r="AA9" i="15"/>
  <c r="AR11" i="15"/>
  <c r="AA11" i="15"/>
  <c r="AR13" i="15"/>
  <c r="AA13" i="15"/>
  <c r="AR15" i="15"/>
  <c r="AA15" i="15"/>
  <c r="AR17" i="15"/>
  <c r="AA17" i="15"/>
  <c r="AR19" i="15"/>
  <c r="AA19" i="15"/>
  <c r="AR21" i="15"/>
  <c r="AA21" i="15"/>
  <c r="AR23" i="15"/>
  <c r="AA23" i="15"/>
  <c r="AR25" i="15"/>
  <c r="AA25" i="15"/>
  <c r="AR27" i="15"/>
  <c r="AA27" i="15"/>
  <c r="AR29" i="15"/>
  <c r="AA29" i="15"/>
  <c r="AR31" i="15"/>
  <c r="AA31" i="15"/>
  <c r="AR33" i="15"/>
  <c r="AA33" i="15"/>
  <c r="AR35" i="15"/>
  <c r="AA35" i="15"/>
  <c r="AR37" i="15"/>
  <c r="AA37" i="15"/>
  <c r="AT7" i="6"/>
  <c r="AC7" i="6"/>
  <c r="Y31" i="5"/>
  <c r="N59" i="15"/>
  <c r="Q59" i="6"/>
  <c r="P59" i="6"/>
  <c r="AC32" i="15"/>
  <c r="AB32" i="15"/>
  <c r="AC28" i="15"/>
  <c r="AK28" i="15" s="1"/>
  <c r="AB28" i="15"/>
  <c r="AJ28" i="15" s="1"/>
  <c r="AB19" i="15"/>
  <c r="AJ19" i="15" s="1"/>
  <c r="AC19" i="15"/>
  <c r="AK19" i="15" s="1"/>
  <c r="AC12" i="15"/>
  <c r="AK12" i="15" s="1"/>
  <c r="AB12" i="15"/>
  <c r="AJ12" i="15" s="1"/>
  <c r="AB9" i="15"/>
  <c r="AJ9" i="15" s="1"/>
  <c r="AC9" i="15"/>
  <c r="AK9" i="15" s="1"/>
  <c r="AC16" i="15"/>
  <c r="AK16" i="15" s="1"/>
  <c r="AB16" i="15"/>
  <c r="AJ16" i="15" s="1"/>
  <c r="AC29" i="15"/>
  <c r="AK29" i="15" s="1"/>
  <c r="AB29" i="15"/>
  <c r="AJ29" i="15" s="1"/>
  <c r="AC38" i="15"/>
  <c r="AK38" i="15" s="1"/>
  <c r="AB38" i="15"/>
  <c r="AJ38" i="15" s="1"/>
  <c r="AB23" i="15"/>
  <c r="AJ23" i="15" s="1"/>
  <c r="AC23" i="15"/>
  <c r="AK23" i="15" s="1"/>
  <c r="AB35" i="15"/>
  <c r="AJ35" i="15" s="1"/>
  <c r="AC35" i="15"/>
  <c r="AK35" i="15" s="1"/>
  <c r="AC11" i="15"/>
  <c r="AK11" i="15" s="1"/>
  <c r="AB11" i="15"/>
  <c r="AJ11" i="15" s="1"/>
  <c r="AB22" i="15"/>
  <c r="AJ22" i="15" s="1"/>
  <c r="AC22" i="15"/>
  <c r="AK22" i="15" s="1"/>
  <c r="AC17" i="15"/>
  <c r="AK17" i="15" s="1"/>
  <c r="AB17" i="15"/>
  <c r="AJ17" i="15" s="1"/>
  <c r="AB26" i="15"/>
  <c r="AJ26" i="15" s="1"/>
  <c r="AC26" i="15"/>
  <c r="AK26" i="15" s="1"/>
  <c r="AC25" i="15"/>
  <c r="AK25" i="15" s="1"/>
  <c r="AB25" i="15"/>
  <c r="AJ25" i="15" s="1"/>
  <c r="AC33" i="15"/>
  <c r="AK33" i="15" s="1"/>
  <c r="AB33" i="15"/>
  <c r="AJ33" i="15" s="1"/>
  <c r="AB18" i="15"/>
  <c r="AJ18" i="15" s="1"/>
  <c r="AC18" i="15"/>
  <c r="AK18" i="15" s="1"/>
  <c r="AC36" i="15"/>
  <c r="AK36" i="15" s="1"/>
  <c r="AB36" i="15"/>
  <c r="AJ36" i="15" s="1"/>
  <c r="AB30" i="15"/>
  <c r="AJ30" i="15" s="1"/>
  <c r="AC30" i="15"/>
  <c r="AK30" i="15" s="1"/>
  <c r="AB27" i="15"/>
  <c r="AJ27" i="15" s="1"/>
  <c r="AC27" i="15"/>
  <c r="AK27" i="15" s="1"/>
  <c r="AC21" i="15"/>
  <c r="AK21" i="15" s="1"/>
  <c r="AB21" i="15"/>
  <c r="AJ21" i="15" s="1"/>
  <c r="AB13" i="15"/>
  <c r="AJ13" i="15" s="1"/>
  <c r="AC13" i="15"/>
  <c r="AK13" i="15" s="1"/>
  <c r="AC24" i="15"/>
  <c r="AK24" i="15" s="1"/>
  <c r="AB24" i="15"/>
  <c r="AJ24" i="15" s="1"/>
  <c r="AC15" i="15"/>
  <c r="AK15" i="15" s="1"/>
  <c r="AB15" i="15"/>
  <c r="AJ15" i="15" s="1"/>
  <c r="AC34" i="15"/>
  <c r="AK34" i="15" s="1"/>
  <c r="AB34" i="15"/>
  <c r="AJ34" i="15" s="1"/>
  <c r="AC8" i="15"/>
  <c r="AK8" i="15" s="1"/>
  <c r="AB8" i="15"/>
  <c r="AJ8" i="15" s="1"/>
  <c r="AC20" i="15"/>
  <c r="AK20" i="15" s="1"/>
  <c r="AB20" i="15"/>
  <c r="AJ20" i="15" s="1"/>
  <c r="N39" i="15"/>
  <c r="AS39" i="15" s="1"/>
  <c r="M39" i="15"/>
  <c r="O39" i="15"/>
  <c r="AT39" i="15" s="1"/>
  <c r="S59" i="5"/>
  <c r="T59" i="5" s="1"/>
  <c r="O60" i="5"/>
  <c r="Y35" i="5"/>
  <c r="Y10" i="5"/>
  <c r="Y9" i="5"/>
  <c r="F10" i="6"/>
  <c r="H39" i="15"/>
  <c r="T39" i="15" s="1"/>
  <c r="AI39" i="15" s="1"/>
  <c r="F14" i="6"/>
  <c r="Y13" i="5"/>
  <c r="F28" i="6"/>
  <c r="Y27" i="5"/>
  <c r="F34" i="6"/>
  <c r="Y33" i="5"/>
  <c r="F31" i="6"/>
  <c r="Y30" i="5"/>
  <c r="F17" i="6"/>
  <c r="Y16" i="5"/>
  <c r="F22" i="6"/>
  <c r="Y21" i="5"/>
  <c r="F16" i="6"/>
  <c r="Y15" i="5"/>
  <c r="F33" i="6"/>
  <c r="Y32" i="5"/>
  <c r="F24" i="6"/>
  <c r="Y23" i="5"/>
  <c r="S34" i="2"/>
  <c r="W38" i="5"/>
  <c r="X38" i="5" s="1"/>
  <c r="R39" i="6"/>
  <c r="AF39" i="6" s="1"/>
  <c r="AN39" i="6" s="1"/>
  <c r="F29" i="6"/>
  <c r="Y28" i="5"/>
  <c r="F38" i="6"/>
  <c r="Y37" i="5"/>
  <c r="F8" i="6"/>
  <c r="Y7" i="5"/>
  <c r="Y19" i="5"/>
  <c r="F20" i="6"/>
  <c r="Y12" i="5"/>
  <c r="F13" i="6"/>
  <c r="D40" i="15"/>
  <c r="E40" i="15"/>
  <c r="F40" i="15" s="1"/>
  <c r="F19" i="6"/>
  <c r="Y18" i="5"/>
  <c r="F26" i="6"/>
  <c r="Y25" i="5"/>
  <c r="Y11" i="5"/>
  <c r="F12" i="6"/>
  <c r="F25" i="6"/>
  <c r="Y24" i="5"/>
  <c r="F30" i="6"/>
  <c r="Y29" i="5"/>
  <c r="Y20" i="5"/>
  <c r="F21" i="6"/>
  <c r="P39" i="15"/>
  <c r="AD39" i="15" s="1"/>
  <c r="AL39" i="15" s="1"/>
  <c r="F9" i="6"/>
  <c r="Y8" i="5"/>
  <c r="F27" i="6"/>
  <c r="Y26" i="5"/>
  <c r="F23" i="6"/>
  <c r="Y22" i="5"/>
  <c r="F35" i="6"/>
  <c r="Y34" i="5"/>
  <c r="F18" i="6"/>
  <c r="Y17" i="5"/>
  <c r="H37" i="2"/>
  <c r="J36" i="2"/>
  <c r="AX39" i="15" l="1"/>
  <c r="I66" i="13"/>
  <c r="G66" i="14"/>
  <c r="D115" i="13"/>
  <c r="D114" i="14"/>
  <c r="Q62" i="14"/>
  <c r="N46" i="5" s="1"/>
  <c r="I66" i="14"/>
  <c r="I40" i="5" s="1"/>
  <c r="G67" i="13"/>
  <c r="Q63" i="13"/>
  <c r="O64" i="13"/>
  <c r="O64" i="14" s="1"/>
  <c r="J39" i="5"/>
  <c r="L64" i="13"/>
  <c r="L64" i="14" s="1"/>
  <c r="AK32" i="15"/>
  <c r="BF7" i="15"/>
  <c r="BF8" i="15" s="1"/>
  <c r="BF9" i="15" s="1"/>
  <c r="BF10" i="15" s="1"/>
  <c r="BF11" i="15" s="1"/>
  <c r="BF12" i="15" s="1"/>
  <c r="BF13" i="15" s="1"/>
  <c r="BF14" i="15" s="1"/>
  <c r="BF15" i="15" s="1"/>
  <c r="BF16" i="15" s="1"/>
  <c r="BF17" i="15" s="1"/>
  <c r="BF18" i="15" s="1"/>
  <c r="BF19" i="15" s="1"/>
  <c r="BF20" i="15" s="1"/>
  <c r="BF21" i="15" s="1"/>
  <c r="BF22" i="15" s="1"/>
  <c r="BF23" i="15" s="1"/>
  <c r="BF24" i="15" s="1"/>
  <c r="BF25" i="15" s="1"/>
  <c r="BF26" i="15" s="1"/>
  <c r="BF27" i="15" s="1"/>
  <c r="BF28" i="15" s="1"/>
  <c r="BF29" i="15" s="1"/>
  <c r="BF30" i="15" s="1"/>
  <c r="BF31" i="15" s="1"/>
  <c r="BF32" i="15" s="1"/>
  <c r="BF33" i="15" s="1"/>
  <c r="BF34" i="15" s="1"/>
  <c r="BF35" i="15" s="1"/>
  <c r="BF36" i="15" s="1"/>
  <c r="BF37" i="15" s="1"/>
  <c r="BF38" i="15" s="1"/>
  <c r="BF39" i="15" s="1"/>
  <c r="BF40" i="15" s="1"/>
  <c r="BF41" i="15" s="1"/>
  <c r="BF42" i="15" s="1"/>
  <c r="BF43" i="15" s="1"/>
  <c r="BF44" i="15" s="1"/>
  <c r="BF45" i="15" s="1"/>
  <c r="BF46" i="15" s="1"/>
  <c r="BF47" i="15" s="1"/>
  <c r="BF48" i="15" s="1"/>
  <c r="BF49" i="15" s="1"/>
  <c r="BF50" i="15" s="1"/>
  <c r="BF51" i="15" s="1"/>
  <c r="BF52" i="15" s="1"/>
  <c r="BF53" i="15" s="1"/>
  <c r="BF54" i="15" s="1"/>
  <c r="BF55" i="15" s="1"/>
  <c r="BF56" i="15" s="1"/>
  <c r="BF57" i="15" s="1"/>
  <c r="BF58" i="15" s="1"/>
  <c r="BF59" i="15" s="1"/>
  <c r="BF60" i="15" s="1"/>
  <c r="BF61" i="15" s="1"/>
  <c r="BF62" i="15" s="1"/>
  <c r="BF63" i="15" s="1"/>
  <c r="BF64" i="15" s="1"/>
  <c r="BF65" i="15" s="1"/>
  <c r="BF66" i="15" s="1"/>
  <c r="BF67" i="15" s="1"/>
  <c r="BF68" i="15" s="1"/>
  <c r="BF69" i="15" s="1"/>
  <c r="BF70" i="15" s="1"/>
  <c r="BF71" i="15" s="1"/>
  <c r="BF72" i="15" s="1"/>
  <c r="BF73" i="15" s="1"/>
  <c r="BF74" i="15" s="1"/>
  <c r="BF75" i="15" s="1"/>
  <c r="BF76" i="15" s="1"/>
  <c r="BF77" i="15" s="1"/>
  <c r="BF78" i="15" s="1"/>
  <c r="BF79" i="15" s="1"/>
  <c r="BF80" i="15" s="1"/>
  <c r="BF81" i="15" s="1"/>
  <c r="BF82" i="15" s="1"/>
  <c r="AJ32" i="15"/>
  <c r="BE7" i="15"/>
  <c r="BE8" i="15" s="1"/>
  <c r="BE9" i="15" s="1"/>
  <c r="BE10" i="15" s="1"/>
  <c r="BE11" i="15" s="1"/>
  <c r="BE12" i="15" s="1"/>
  <c r="BE13" i="15" s="1"/>
  <c r="BE14" i="15" s="1"/>
  <c r="BE15" i="15" s="1"/>
  <c r="BE16" i="15" s="1"/>
  <c r="BE17" i="15" s="1"/>
  <c r="BE18" i="15" s="1"/>
  <c r="BE19" i="15" s="1"/>
  <c r="BE20" i="15" s="1"/>
  <c r="BE21" i="15" s="1"/>
  <c r="BE22" i="15" s="1"/>
  <c r="BE23" i="15" s="1"/>
  <c r="BE24" i="15" s="1"/>
  <c r="BE25" i="15" s="1"/>
  <c r="BE26" i="15" s="1"/>
  <c r="BE27" i="15" s="1"/>
  <c r="BE28" i="15" s="1"/>
  <c r="BE29" i="15" s="1"/>
  <c r="BE30" i="15" s="1"/>
  <c r="BE31" i="15" s="1"/>
  <c r="BE32" i="15" s="1"/>
  <c r="BE33" i="15" s="1"/>
  <c r="BE34" i="15" s="1"/>
  <c r="BE35" i="15" s="1"/>
  <c r="BE36" i="15" s="1"/>
  <c r="BE37" i="15" s="1"/>
  <c r="BE38" i="15" s="1"/>
  <c r="BE39" i="15" s="1"/>
  <c r="BE40" i="15" s="1"/>
  <c r="BE41" i="15" s="1"/>
  <c r="BE42" i="15" s="1"/>
  <c r="BE43" i="15" s="1"/>
  <c r="BE44" i="15" s="1"/>
  <c r="BE45" i="15" s="1"/>
  <c r="BE46" i="15" s="1"/>
  <c r="BE47" i="15" s="1"/>
  <c r="BE48" i="15" s="1"/>
  <c r="BE49" i="15" s="1"/>
  <c r="BE50" i="15" s="1"/>
  <c r="BE51" i="15" s="1"/>
  <c r="BE52" i="15" s="1"/>
  <c r="BE53" i="15" s="1"/>
  <c r="BE54" i="15" s="1"/>
  <c r="BE55" i="15" s="1"/>
  <c r="BE56" i="15" s="1"/>
  <c r="BE57" i="15" s="1"/>
  <c r="BE58" i="15" s="1"/>
  <c r="BE59" i="15" s="1"/>
  <c r="BE60" i="15" s="1"/>
  <c r="BE61" i="15" s="1"/>
  <c r="BE62" i="15" s="1"/>
  <c r="BE63" i="15" s="1"/>
  <c r="BE64" i="15" s="1"/>
  <c r="BE65" i="15" s="1"/>
  <c r="BE66" i="15" s="1"/>
  <c r="BE67" i="15" s="1"/>
  <c r="BE68" i="15" s="1"/>
  <c r="BE69" i="15" s="1"/>
  <c r="BE70" i="15" s="1"/>
  <c r="BE71" i="15" s="1"/>
  <c r="BE72" i="15" s="1"/>
  <c r="BE73" i="15" s="1"/>
  <c r="BE74" i="15" s="1"/>
  <c r="BE75" i="15" s="1"/>
  <c r="BE76" i="15" s="1"/>
  <c r="BE77" i="15" s="1"/>
  <c r="BE78" i="15" s="1"/>
  <c r="BE79" i="15" s="1"/>
  <c r="BE80" i="15" s="1"/>
  <c r="BE81" i="15" s="1"/>
  <c r="BE82" i="15" s="1"/>
  <c r="O41" i="6"/>
  <c r="AD41" i="6" s="1"/>
  <c r="P41" i="6"/>
  <c r="AU41" i="6" s="1"/>
  <c r="Q41" i="6"/>
  <c r="AV41" i="6" s="1"/>
  <c r="AL40" i="6"/>
  <c r="AE40" i="6"/>
  <c r="AM40" i="6" s="1"/>
  <c r="AR39" i="15"/>
  <c r="AA39" i="15"/>
  <c r="N60" i="15"/>
  <c r="Q60" i="6"/>
  <c r="P60" i="6"/>
  <c r="AB39" i="15"/>
  <c r="AJ39" i="15" s="1"/>
  <c r="AC39" i="15"/>
  <c r="AK39" i="15" s="1"/>
  <c r="N40" i="15"/>
  <c r="AS40" i="15" s="1"/>
  <c r="O40" i="15"/>
  <c r="AT40" i="15" s="1"/>
  <c r="M40" i="15"/>
  <c r="S60" i="5"/>
  <c r="T60" i="5" s="1"/>
  <c r="O61" i="5"/>
  <c r="H40" i="15"/>
  <c r="T40" i="15" s="1"/>
  <c r="AI40" i="15" s="1"/>
  <c r="H8" i="6"/>
  <c r="V8" i="6" s="1"/>
  <c r="AK8" i="6" s="1"/>
  <c r="H24" i="6"/>
  <c r="V24" i="6" s="1"/>
  <c r="AK24" i="6" s="1"/>
  <c r="H16" i="6"/>
  <c r="V16" i="6" s="1"/>
  <c r="AK16" i="6" s="1"/>
  <c r="H32" i="6"/>
  <c r="V32" i="6" s="1"/>
  <c r="AK32" i="6" s="1"/>
  <c r="H28" i="6"/>
  <c r="V28" i="6" s="1"/>
  <c r="AK28" i="6" s="1"/>
  <c r="H12" i="6"/>
  <c r="V12" i="6" s="1"/>
  <c r="AK12" i="6" s="1"/>
  <c r="H19" i="6"/>
  <c r="V19" i="6" s="1"/>
  <c r="AK19" i="6" s="1"/>
  <c r="H13" i="6"/>
  <c r="V13" i="6" s="1"/>
  <c r="AK13" i="6" s="1"/>
  <c r="H38" i="6"/>
  <c r="V38" i="6" s="1"/>
  <c r="AK38" i="6" s="1"/>
  <c r="H30" i="6"/>
  <c r="V30" i="6" s="1"/>
  <c r="AK30" i="6" s="1"/>
  <c r="H22" i="6"/>
  <c r="V22" i="6" s="1"/>
  <c r="AK22" i="6" s="1"/>
  <c r="H15" i="6"/>
  <c r="V15" i="6" s="1"/>
  <c r="AK15" i="6" s="1"/>
  <c r="H31" i="6"/>
  <c r="V31" i="6" s="1"/>
  <c r="AK31" i="6" s="1"/>
  <c r="H33" i="6"/>
  <c r="V33" i="6" s="1"/>
  <c r="AK33" i="6" s="1"/>
  <c r="H25" i="6"/>
  <c r="V25" i="6" s="1"/>
  <c r="AK25" i="6" s="1"/>
  <c r="H11" i="6"/>
  <c r="V11" i="6" s="1"/>
  <c r="AK11" i="6" s="1"/>
  <c r="H27" i="6"/>
  <c r="V27" i="6" s="1"/>
  <c r="AK27" i="6" s="1"/>
  <c r="H17" i="6"/>
  <c r="V17" i="6" s="1"/>
  <c r="AK17" i="6" s="1"/>
  <c r="H36" i="6"/>
  <c r="V36" i="6" s="1"/>
  <c r="AK36" i="6" s="1"/>
  <c r="H20" i="6"/>
  <c r="V20" i="6" s="1"/>
  <c r="AK20" i="6" s="1"/>
  <c r="H35" i="6"/>
  <c r="V35" i="6" s="1"/>
  <c r="AK35" i="6" s="1"/>
  <c r="H14" i="6"/>
  <c r="V14" i="6" s="1"/>
  <c r="AK14" i="6" s="1"/>
  <c r="H9" i="6"/>
  <c r="V9" i="6" s="1"/>
  <c r="AK9" i="6" s="1"/>
  <c r="H34" i="6"/>
  <c r="V34" i="6" s="1"/>
  <c r="AK34" i="6" s="1"/>
  <c r="H26" i="6"/>
  <c r="V26" i="6" s="1"/>
  <c r="AK26" i="6" s="1"/>
  <c r="H18" i="6"/>
  <c r="V18" i="6" s="1"/>
  <c r="AK18" i="6" s="1"/>
  <c r="H10" i="6"/>
  <c r="V10" i="6" s="1"/>
  <c r="AK10" i="6" s="1"/>
  <c r="H23" i="6"/>
  <c r="V23" i="6" s="1"/>
  <c r="AK23" i="6" s="1"/>
  <c r="H37" i="6"/>
  <c r="V37" i="6" s="1"/>
  <c r="AK37" i="6" s="1"/>
  <c r="H29" i="6"/>
  <c r="V29" i="6" s="1"/>
  <c r="AK29" i="6" s="1"/>
  <c r="H21" i="6"/>
  <c r="V21" i="6" s="1"/>
  <c r="AK21" i="6" s="1"/>
  <c r="H38" i="2"/>
  <c r="J37" i="2"/>
  <c r="P40" i="15"/>
  <c r="AD40" i="15" s="1"/>
  <c r="AL40" i="15" s="1"/>
  <c r="E41" i="15"/>
  <c r="F41" i="15" s="1"/>
  <c r="D41" i="15"/>
  <c r="S35" i="2"/>
  <c r="W39" i="5"/>
  <c r="X39" i="5" s="1"/>
  <c r="R40" i="6"/>
  <c r="AF40" i="6" s="1"/>
  <c r="AN40" i="6" s="1"/>
  <c r="F39" i="6"/>
  <c r="Y38" i="5"/>
  <c r="J40" i="5" l="1"/>
  <c r="AX41" i="15" s="1"/>
  <c r="I67" i="13"/>
  <c r="G67" i="14"/>
  <c r="I67" i="14" s="1"/>
  <c r="I41" i="5" s="1"/>
  <c r="D116" i="13"/>
  <c r="D115" i="14"/>
  <c r="Q63" i="14"/>
  <c r="N47" i="5" s="1"/>
  <c r="P34" i="5" s="1"/>
  <c r="Q64" i="13"/>
  <c r="L65" i="13"/>
  <c r="L65" i="14" s="1"/>
  <c r="AX40" i="15"/>
  <c r="AZ40" i="6"/>
  <c r="G68" i="13"/>
  <c r="P33" i="5"/>
  <c r="O65" i="13"/>
  <c r="O65" i="14" s="1"/>
  <c r="O42" i="6"/>
  <c r="AD42" i="6" s="1"/>
  <c r="P42" i="6"/>
  <c r="AU42" i="6" s="1"/>
  <c r="Q42" i="6"/>
  <c r="AV42" i="6" s="1"/>
  <c r="AE41" i="6"/>
  <c r="AM41" i="6" s="1"/>
  <c r="AL41" i="6"/>
  <c r="AT29" i="6"/>
  <c r="AC29" i="6"/>
  <c r="AT23" i="6"/>
  <c r="AC23" i="6"/>
  <c r="AT18" i="6"/>
  <c r="AC18" i="6"/>
  <c r="AT34" i="6"/>
  <c r="AC34" i="6"/>
  <c r="AT14" i="6"/>
  <c r="AC14" i="6"/>
  <c r="AT20" i="6"/>
  <c r="AC20" i="6"/>
  <c r="AT17" i="6"/>
  <c r="AC17" i="6"/>
  <c r="AT11" i="6"/>
  <c r="AC11" i="6"/>
  <c r="AT33" i="6"/>
  <c r="AC33" i="6"/>
  <c r="AT15" i="6"/>
  <c r="AC15" i="6"/>
  <c r="AT30" i="6"/>
  <c r="AC30" i="6"/>
  <c r="AT13" i="6"/>
  <c r="AC13" i="6"/>
  <c r="AT12" i="6"/>
  <c r="AC12" i="6"/>
  <c r="AT32" i="6"/>
  <c r="AC32" i="6"/>
  <c r="AT24" i="6"/>
  <c r="AC24" i="6"/>
  <c r="AR40" i="15"/>
  <c r="AA40" i="15"/>
  <c r="AT21" i="6"/>
  <c r="AC21" i="6"/>
  <c r="AT37" i="6"/>
  <c r="AC37" i="6"/>
  <c r="AT10" i="6"/>
  <c r="AC10" i="6"/>
  <c r="AT26" i="6"/>
  <c r="AC26" i="6"/>
  <c r="AT9" i="6"/>
  <c r="AC9" i="6"/>
  <c r="AT35" i="6"/>
  <c r="AC35" i="6"/>
  <c r="AT36" i="6"/>
  <c r="AC36" i="6"/>
  <c r="AT27" i="6"/>
  <c r="AC27" i="6"/>
  <c r="BF7" i="6" s="1"/>
  <c r="BF8" i="6" s="1"/>
  <c r="BF9" i="6" s="1"/>
  <c r="BF10" i="6" s="1"/>
  <c r="BF11" i="6" s="1"/>
  <c r="BF12" i="6" s="1"/>
  <c r="BF13" i="6" s="1"/>
  <c r="BF14" i="6" s="1"/>
  <c r="BF15" i="6" s="1"/>
  <c r="BF16" i="6" s="1"/>
  <c r="AT25" i="6"/>
  <c r="AC25" i="6"/>
  <c r="AT31" i="6"/>
  <c r="AC31" i="6"/>
  <c r="AT22" i="6"/>
  <c r="AC22" i="6"/>
  <c r="AT38" i="6"/>
  <c r="AC38" i="6"/>
  <c r="AT19" i="6"/>
  <c r="AC19" i="6"/>
  <c r="AT28" i="6"/>
  <c r="AC28" i="6"/>
  <c r="AT16" i="6"/>
  <c r="AC16" i="6"/>
  <c r="AT8" i="6"/>
  <c r="AC8" i="6"/>
  <c r="N61" i="15"/>
  <c r="Q61" i="6"/>
  <c r="P61" i="6"/>
  <c r="AB40" i="15"/>
  <c r="AJ40" i="15" s="1"/>
  <c r="AC40" i="15"/>
  <c r="AK40" i="15" s="1"/>
  <c r="N41" i="15"/>
  <c r="AS41" i="15" s="1"/>
  <c r="M41" i="15"/>
  <c r="O41" i="15"/>
  <c r="AT41" i="15" s="1"/>
  <c r="S61" i="5"/>
  <c r="T61" i="5" s="1"/>
  <c r="O62" i="5"/>
  <c r="H39" i="6"/>
  <c r="H41" i="15"/>
  <c r="T41" i="15" s="1"/>
  <c r="AI41" i="15" s="1"/>
  <c r="Y39" i="5"/>
  <c r="F40" i="6"/>
  <c r="P41" i="15"/>
  <c r="AD41" i="15" s="1"/>
  <c r="AL41" i="15" s="1"/>
  <c r="E42" i="15"/>
  <c r="F42" i="15" s="1"/>
  <c r="D42" i="15"/>
  <c r="R41" i="6"/>
  <c r="AF41" i="6" s="1"/>
  <c r="AN41" i="6" s="1"/>
  <c r="W40" i="5"/>
  <c r="X40" i="5" s="1"/>
  <c r="S36" i="2"/>
  <c r="H39" i="2"/>
  <c r="J38" i="2"/>
  <c r="AZ41" i="6" l="1"/>
  <c r="J41" i="5"/>
  <c r="I68" i="13"/>
  <c r="G68" i="14"/>
  <c r="D117" i="13"/>
  <c r="D116" i="14"/>
  <c r="C58" i="7"/>
  <c r="C59" i="7" s="1"/>
  <c r="V39" i="6"/>
  <c r="AK39" i="6" s="1"/>
  <c r="Q64" i="14"/>
  <c r="N48" i="5" s="1"/>
  <c r="P35" i="5" s="1"/>
  <c r="Q65" i="13"/>
  <c r="O66" i="13"/>
  <c r="O66" i="14" s="1"/>
  <c r="I68" i="14"/>
  <c r="I42" i="5" s="1"/>
  <c r="G69" i="13"/>
  <c r="AX42" i="15"/>
  <c r="AZ42" i="6"/>
  <c r="L66" i="13"/>
  <c r="L66" i="14" s="1"/>
  <c r="Q65" i="14"/>
  <c r="BG17" i="6"/>
  <c r="BG18" i="6" s="1"/>
  <c r="BG19" i="6" s="1"/>
  <c r="BG20" i="6" s="1"/>
  <c r="BG21" i="6" s="1"/>
  <c r="BG22" i="6" s="1"/>
  <c r="BG23" i="6" s="1"/>
  <c r="BG24" i="6" s="1"/>
  <c r="BG25" i="6" s="1"/>
  <c r="BG26" i="6" s="1"/>
  <c r="BG27" i="6" s="1"/>
  <c r="BG28" i="6" s="1"/>
  <c r="BG29" i="6" s="1"/>
  <c r="BG30" i="6" s="1"/>
  <c r="BG31" i="6" s="1"/>
  <c r="BG32" i="6" s="1"/>
  <c r="BG33" i="6" s="1"/>
  <c r="BG34" i="6" s="1"/>
  <c r="BG35" i="6" s="1"/>
  <c r="BG36" i="6" s="1"/>
  <c r="BG37" i="6" s="1"/>
  <c r="BG38" i="6" s="1"/>
  <c r="BG39" i="6" s="1"/>
  <c r="BG40" i="6" s="1"/>
  <c r="BG41" i="6" s="1"/>
  <c r="BG42" i="6" s="1"/>
  <c r="BG43" i="6" s="1"/>
  <c r="BG44" i="6" s="1"/>
  <c r="BG45" i="6" s="1"/>
  <c r="BG46" i="6" s="1"/>
  <c r="BG47" i="6" s="1"/>
  <c r="BG48" i="6" s="1"/>
  <c r="BG49" i="6" s="1"/>
  <c r="BG50" i="6" s="1"/>
  <c r="BG51" i="6" s="1"/>
  <c r="BG52" i="6" s="1"/>
  <c r="BG53" i="6" s="1"/>
  <c r="BG54" i="6" s="1"/>
  <c r="BG55" i="6" s="1"/>
  <c r="BG56" i="6" s="1"/>
  <c r="BG57" i="6" s="1"/>
  <c r="BG58" i="6" s="1"/>
  <c r="BG59" i="6" s="1"/>
  <c r="BG60" i="6" s="1"/>
  <c r="BG61" i="6" s="1"/>
  <c r="BG62" i="6" s="1"/>
  <c r="BG63" i="6" s="1"/>
  <c r="BG64" i="6" s="1"/>
  <c r="BG65" i="6" s="1"/>
  <c r="BG66" i="6" s="1"/>
  <c r="BG67" i="6" s="1"/>
  <c r="BG68" i="6" s="1"/>
  <c r="BG69" i="6" s="1"/>
  <c r="BG70" i="6" s="1"/>
  <c r="BG71" i="6" s="1"/>
  <c r="BG72" i="6" s="1"/>
  <c r="BG73" i="6" s="1"/>
  <c r="BG74" i="6" s="1"/>
  <c r="BG75" i="6" s="1"/>
  <c r="BG76" i="6" s="1"/>
  <c r="BG77" i="6" s="1"/>
  <c r="BG78" i="6" s="1"/>
  <c r="BG79" i="6" s="1"/>
  <c r="BG80" i="6" s="1"/>
  <c r="BG81" i="6" s="1"/>
  <c r="BG82" i="6" s="1"/>
  <c r="O43" i="6"/>
  <c r="AD43" i="6" s="1"/>
  <c r="P43" i="6"/>
  <c r="AU43" i="6" s="1"/>
  <c r="Q43" i="6"/>
  <c r="AV43" i="6" s="1"/>
  <c r="AL42" i="6"/>
  <c r="AE42" i="6"/>
  <c r="AM42" i="6" s="1"/>
  <c r="AR41" i="15"/>
  <c r="AA41" i="15"/>
  <c r="N62" i="15"/>
  <c r="Q62" i="6"/>
  <c r="P62" i="6"/>
  <c r="AC41" i="15"/>
  <c r="AK41" i="15" s="1"/>
  <c r="AB41" i="15"/>
  <c r="AJ41" i="15" s="1"/>
  <c r="N42" i="15"/>
  <c r="AS42" i="15" s="1"/>
  <c r="O42" i="15"/>
  <c r="AT42" i="15" s="1"/>
  <c r="M42" i="15"/>
  <c r="S62" i="5"/>
  <c r="T62" i="5" s="1"/>
  <c r="O63" i="5"/>
  <c r="H42" i="15"/>
  <c r="T42" i="15" s="1"/>
  <c r="AI42" i="15" s="1"/>
  <c r="H40" i="6"/>
  <c r="V40" i="6" s="1"/>
  <c r="AK40" i="6" s="1"/>
  <c r="H40" i="2"/>
  <c r="J39" i="2"/>
  <c r="P42" i="15"/>
  <c r="AD42" i="15" s="1"/>
  <c r="AL42" i="15" s="1"/>
  <c r="D43" i="15"/>
  <c r="E43" i="15"/>
  <c r="F43" i="15" s="1"/>
  <c r="F41" i="6"/>
  <c r="Y40" i="5"/>
  <c r="R42" i="6"/>
  <c r="AF42" i="6" s="1"/>
  <c r="AN42" i="6" s="1"/>
  <c r="S37" i="2"/>
  <c r="W41" i="5"/>
  <c r="J42" i="5" l="1"/>
  <c r="I69" i="13"/>
  <c r="G69" i="14"/>
  <c r="I69" i="14" s="1"/>
  <c r="I43" i="5" s="1"/>
  <c r="D118" i="13"/>
  <c r="D117" i="14"/>
  <c r="AC39" i="6"/>
  <c r="AT39" i="6"/>
  <c r="N49" i="5"/>
  <c r="P36" i="5" s="1"/>
  <c r="Q66" i="13"/>
  <c r="L67" i="13"/>
  <c r="L67" i="14" s="1"/>
  <c r="AZ43" i="6"/>
  <c r="AX43" i="15"/>
  <c r="O67" i="13"/>
  <c r="O67" i="14" s="1"/>
  <c r="G70" i="13"/>
  <c r="AL43" i="6"/>
  <c r="AE43" i="6"/>
  <c r="AM43" i="6" s="1"/>
  <c r="O44" i="6"/>
  <c r="AD44" i="6" s="1"/>
  <c r="P44" i="6"/>
  <c r="AU44" i="6" s="1"/>
  <c r="Q44" i="6"/>
  <c r="AV44" i="6" s="1"/>
  <c r="AT40" i="6"/>
  <c r="AC40" i="6"/>
  <c r="AR42" i="15"/>
  <c r="AA42" i="15"/>
  <c r="N63" i="15"/>
  <c r="Q63" i="6"/>
  <c r="P63" i="6"/>
  <c r="AC42" i="15"/>
  <c r="AK42" i="15" s="1"/>
  <c r="AB42" i="15"/>
  <c r="AJ42" i="15" s="1"/>
  <c r="N43" i="15"/>
  <c r="AS43" i="15" s="1"/>
  <c r="M43" i="15"/>
  <c r="O43" i="15"/>
  <c r="AT43" i="15" s="1"/>
  <c r="S63" i="5"/>
  <c r="T63" i="5" s="1"/>
  <c r="O64" i="5"/>
  <c r="H41" i="6"/>
  <c r="V41" i="6" s="1"/>
  <c r="AK41" i="6" s="1"/>
  <c r="H43" i="15"/>
  <c r="T43" i="15" s="1"/>
  <c r="AI43" i="15" s="1"/>
  <c r="Y41" i="5"/>
  <c r="F42" i="6"/>
  <c r="H42" i="6" s="1"/>
  <c r="P43" i="15"/>
  <c r="AD43" i="15" s="1"/>
  <c r="AL43" i="15" s="1"/>
  <c r="E44" i="15"/>
  <c r="F44" i="15" s="1"/>
  <c r="D44" i="15"/>
  <c r="K2" i="8"/>
  <c r="X41" i="5"/>
  <c r="R43" i="6"/>
  <c r="AF43" i="6" s="1"/>
  <c r="AN43" i="6" s="1"/>
  <c r="S38" i="2"/>
  <c r="W42" i="5"/>
  <c r="X42" i="5" s="1"/>
  <c r="H41" i="2"/>
  <c r="J40" i="2"/>
  <c r="J43" i="5" l="1"/>
  <c r="AZ44" i="6" s="1"/>
  <c r="D119" i="13"/>
  <c r="D118" i="14"/>
  <c r="I70" i="13"/>
  <c r="G70" i="14"/>
  <c r="I70" i="14" s="1"/>
  <c r="I44" i="5" s="1"/>
  <c r="Q66" i="14"/>
  <c r="N50" i="5" s="1"/>
  <c r="P37" i="5" s="1"/>
  <c r="AX44" i="15"/>
  <c r="G71" i="13"/>
  <c r="Q67" i="13"/>
  <c r="O68" i="13"/>
  <c r="O68" i="14" s="1"/>
  <c r="Q67" i="14"/>
  <c r="L68" i="13"/>
  <c r="L68" i="14" s="1"/>
  <c r="O45" i="6"/>
  <c r="AD45" i="6" s="1"/>
  <c r="P45" i="6"/>
  <c r="AU45" i="6" s="1"/>
  <c r="Q45" i="6"/>
  <c r="AV45" i="6" s="1"/>
  <c r="AE44" i="6"/>
  <c r="AM44" i="6" s="1"/>
  <c r="AL44" i="6"/>
  <c r="AT41" i="6"/>
  <c r="AC41" i="6"/>
  <c r="AR43" i="15"/>
  <c r="AA43" i="15"/>
  <c r="K3" i="8"/>
  <c r="N64" i="15"/>
  <c r="Q64" i="6"/>
  <c r="P64" i="6"/>
  <c r="AB43" i="15"/>
  <c r="AJ43" i="15" s="1"/>
  <c r="AC43" i="15"/>
  <c r="AK43" i="15" s="1"/>
  <c r="N44" i="15"/>
  <c r="AS44" i="15" s="1"/>
  <c r="O44" i="15"/>
  <c r="AT44" i="15" s="1"/>
  <c r="M44" i="15"/>
  <c r="S64" i="5"/>
  <c r="T64" i="5" s="1"/>
  <c r="O65" i="5"/>
  <c r="H44" i="15"/>
  <c r="T44" i="15" s="1"/>
  <c r="AI44" i="15" s="1"/>
  <c r="Y42" i="5"/>
  <c r="F43" i="6"/>
  <c r="V42" i="6"/>
  <c r="AK42" i="6" s="1"/>
  <c r="H42" i="2"/>
  <c r="J41" i="2"/>
  <c r="D45" i="15"/>
  <c r="E45" i="15"/>
  <c r="F45" i="15" s="1"/>
  <c r="P44" i="15"/>
  <c r="AD44" i="15" s="1"/>
  <c r="AL44" i="15" s="1"/>
  <c r="R44" i="6"/>
  <c r="AF44" i="6" s="1"/>
  <c r="AN44" i="6" s="1"/>
  <c r="W43" i="5"/>
  <c r="X43" i="5" s="1"/>
  <c r="S39" i="2"/>
  <c r="I71" i="13" l="1"/>
  <c r="G71" i="14"/>
  <c r="I71" i="14" s="1"/>
  <c r="I45" i="5" s="1"/>
  <c r="D120" i="13"/>
  <c r="D119" i="14"/>
  <c r="J44" i="5"/>
  <c r="AX45" i="15" s="1"/>
  <c r="N51" i="5"/>
  <c r="P38" i="5" s="1"/>
  <c r="G72" i="13"/>
  <c r="L69" i="13"/>
  <c r="L69" i="14" s="1"/>
  <c r="Q68" i="13"/>
  <c r="O69" i="13"/>
  <c r="O69" i="14" s="1"/>
  <c r="AL45" i="6"/>
  <c r="AE45" i="6"/>
  <c r="AM45" i="6" s="1"/>
  <c r="O46" i="6"/>
  <c r="AD46" i="6" s="1"/>
  <c r="P46" i="6"/>
  <c r="AU46" i="6" s="1"/>
  <c r="Q46" i="6"/>
  <c r="AV46" i="6" s="1"/>
  <c r="AT42" i="6"/>
  <c r="AC42" i="6"/>
  <c r="AR44" i="15"/>
  <c r="AA44" i="15"/>
  <c r="N65" i="15"/>
  <c r="Q65" i="6"/>
  <c r="P65" i="6"/>
  <c r="AC44" i="15"/>
  <c r="AK44" i="15" s="1"/>
  <c r="AB44" i="15"/>
  <c r="AJ44" i="15" s="1"/>
  <c r="N45" i="15"/>
  <c r="AS45" i="15" s="1"/>
  <c r="M45" i="15"/>
  <c r="O45" i="15"/>
  <c r="AT45" i="15" s="1"/>
  <c r="S65" i="5"/>
  <c r="T65" i="5" s="1"/>
  <c r="O66" i="5"/>
  <c r="H43" i="6"/>
  <c r="V43" i="6" s="1"/>
  <c r="AK43" i="6" s="1"/>
  <c r="H45" i="15"/>
  <c r="T45" i="15" s="1"/>
  <c r="AI45" i="15" s="1"/>
  <c r="P45" i="15"/>
  <c r="AD45" i="15" s="1"/>
  <c r="AL45" i="15" s="1"/>
  <c r="D46" i="15"/>
  <c r="E46" i="15"/>
  <c r="F46" i="15" s="1"/>
  <c r="Y43" i="5"/>
  <c r="F44" i="6"/>
  <c r="S40" i="2"/>
  <c r="R45" i="6"/>
  <c r="AF45" i="6" s="1"/>
  <c r="AN45" i="6" s="1"/>
  <c r="W44" i="5"/>
  <c r="X44" i="5" s="1"/>
  <c r="H43" i="2"/>
  <c r="J42" i="2"/>
  <c r="AZ45" i="6" l="1"/>
  <c r="J45" i="5"/>
  <c r="I72" i="13"/>
  <c r="G72" i="14"/>
  <c r="I72" i="14" s="1"/>
  <c r="I46" i="5" s="1"/>
  <c r="D121" i="13"/>
  <c r="D120" i="14"/>
  <c r="Q68" i="14"/>
  <c r="N52" i="5" s="1"/>
  <c r="P39" i="5" s="1"/>
  <c r="G73" i="13"/>
  <c r="Q69" i="13"/>
  <c r="O70" i="13"/>
  <c r="O70" i="14" s="1"/>
  <c r="L70" i="13"/>
  <c r="L70" i="14" s="1"/>
  <c r="AX46" i="15"/>
  <c r="AZ46" i="6"/>
  <c r="O47" i="6"/>
  <c r="AD47" i="6" s="1"/>
  <c r="P47" i="6"/>
  <c r="AU47" i="6" s="1"/>
  <c r="Q47" i="6"/>
  <c r="AV47" i="6" s="1"/>
  <c r="AL46" i="6"/>
  <c r="AE46" i="6"/>
  <c r="AM46" i="6" s="1"/>
  <c r="AT43" i="6"/>
  <c r="AC43" i="6"/>
  <c r="AR45" i="15"/>
  <c r="AA45" i="15"/>
  <c r="N66" i="15"/>
  <c r="Q66" i="6"/>
  <c r="P66" i="6"/>
  <c r="AC45" i="15"/>
  <c r="AK45" i="15" s="1"/>
  <c r="AB45" i="15"/>
  <c r="AJ45" i="15" s="1"/>
  <c r="N46" i="15"/>
  <c r="AS46" i="15" s="1"/>
  <c r="O46" i="15"/>
  <c r="AT46" i="15" s="1"/>
  <c r="M46" i="15"/>
  <c r="S66" i="5"/>
  <c r="T66" i="5" s="1"/>
  <c r="O67" i="5"/>
  <c r="H44" i="6"/>
  <c r="V44" i="6" s="1"/>
  <c r="AK44" i="6" s="1"/>
  <c r="H46" i="15"/>
  <c r="T46" i="15" s="1"/>
  <c r="AI46" i="15" s="1"/>
  <c r="P46" i="15"/>
  <c r="AD46" i="15" s="1"/>
  <c r="AL46" i="15" s="1"/>
  <c r="H44" i="2"/>
  <c r="J44" i="2" s="1"/>
  <c r="J43" i="2"/>
  <c r="E47" i="15"/>
  <c r="F47" i="15" s="1"/>
  <c r="D47" i="15"/>
  <c r="F45" i="6"/>
  <c r="H45" i="6" s="1"/>
  <c r="Y44" i="5"/>
  <c r="S41" i="2"/>
  <c r="R46" i="6"/>
  <c r="AF46" i="6" s="1"/>
  <c r="AN46" i="6" s="1"/>
  <c r="W45" i="5"/>
  <c r="X45" i="5" s="1"/>
  <c r="J46" i="5" l="1"/>
  <c r="AX47" i="15" s="1"/>
  <c r="I73" i="13"/>
  <c r="G73" i="14"/>
  <c r="I73" i="14" s="1"/>
  <c r="I47" i="5" s="1"/>
  <c r="D122" i="13"/>
  <c r="D121" i="14"/>
  <c r="L71" i="13"/>
  <c r="L71" i="14" s="1"/>
  <c r="Q70" i="13"/>
  <c r="O71" i="13"/>
  <c r="O71" i="14" s="1"/>
  <c r="G74" i="13"/>
  <c r="Q69" i="14"/>
  <c r="N53" i="5" s="1"/>
  <c r="P40" i="5" s="1"/>
  <c r="AZ47" i="6"/>
  <c r="O49" i="6"/>
  <c r="AD49" i="6" s="1"/>
  <c r="D24" i="7" s="1"/>
  <c r="P49" i="6"/>
  <c r="AU49" i="6" s="1"/>
  <c r="Q49" i="6"/>
  <c r="AV49" i="6" s="1"/>
  <c r="AL47" i="6"/>
  <c r="AE47" i="6"/>
  <c r="AM47" i="6" s="1"/>
  <c r="O48" i="6"/>
  <c r="AD48" i="6" s="1"/>
  <c r="P48" i="6"/>
  <c r="AU48" i="6" s="1"/>
  <c r="Q48" i="6"/>
  <c r="AV48" i="6" s="1"/>
  <c r="AR46" i="15"/>
  <c r="AA46" i="15"/>
  <c r="AT44" i="6"/>
  <c r="AC44" i="6"/>
  <c r="N67" i="15"/>
  <c r="Q67" i="6"/>
  <c r="P67" i="6"/>
  <c r="AB46" i="15"/>
  <c r="AJ46" i="15" s="1"/>
  <c r="AC46" i="15"/>
  <c r="AK46" i="15" s="1"/>
  <c r="N47" i="15"/>
  <c r="AS47" i="15" s="1"/>
  <c r="M47" i="15"/>
  <c r="O47" i="15"/>
  <c r="AT47" i="15" s="1"/>
  <c r="S67" i="5"/>
  <c r="T67" i="5" s="1"/>
  <c r="O68" i="5"/>
  <c r="H47" i="15"/>
  <c r="T47" i="15" s="1"/>
  <c r="AI47" i="15" s="1"/>
  <c r="F46" i="6"/>
  <c r="Y45" i="5"/>
  <c r="R47" i="6"/>
  <c r="AF47" i="6" s="1"/>
  <c r="AN47" i="6" s="1"/>
  <c r="S42" i="2"/>
  <c r="H43" i="7" s="1"/>
  <c r="W46" i="5"/>
  <c r="X46" i="5" s="1"/>
  <c r="V45" i="6"/>
  <c r="AK45" i="6" s="1"/>
  <c r="P47" i="15"/>
  <c r="AD47" i="15" s="1"/>
  <c r="AL47" i="15" s="1"/>
  <c r="D48" i="15"/>
  <c r="E48" i="15"/>
  <c r="F48" i="15" s="1"/>
  <c r="E49" i="15"/>
  <c r="F49" i="15" s="1"/>
  <c r="D49" i="15"/>
  <c r="J47" i="5" l="1"/>
  <c r="D123" i="13"/>
  <c r="D122" i="14"/>
  <c r="I74" i="13"/>
  <c r="G74" i="14"/>
  <c r="I74" i="14" s="1"/>
  <c r="I48" i="5" s="1"/>
  <c r="D25" i="7"/>
  <c r="D55" i="7"/>
  <c r="E25" i="7"/>
  <c r="E55" i="7"/>
  <c r="G75" i="13"/>
  <c r="Q70" i="14"/>
  <c r="N54" i="5" s="1"/>
  <c r="P41" i="5" s="1"/>
  <c r="L72" i="13"/>
  <c r="L72" i="14" s="1"/>
  <c r="AZ48" i="6"/>
  <c r="AX48" i="15"/>
  <c r="Q71" i="13"/>
  <c r="O72" i="13"/>
  <c r="O72" i="14" s="1"/>
  <c r="AL48" i="6"/>
  <c r="AE48" i="6"/>
  <c r="AM48" i="6" s="1"/>
  <c r="AE49" i="6"/>
  <c r="AR47" i="15"/>
  <c r="AA47" i="15"/>
  <c r="AT45" i="6"/>
  <c r="AC45" i="6"/>
  <c r="N68" i="15"/>
  <c r="Q68" i="6"/>
  <c r="P68" i="6"/>
  <c r="AC47" i="15"/>
  <c r="AK47" i="15" s="1"/>
  <c r="AB47" i="15"/>
  <c r="AJ47" i="15" s="1"/>
  <c r="N49" i="15"/>
  <c r="AS49" i="15" s="1"/>
  <c r="M49" i="15"/>
  <c r="O49" i="15"/>
  <c r="AT49" i="15" s="1"/>
  <c r="N48" i="15"/>
  <c r="AS48" i="15" s="1"/>
  <c r="O48" i="15"/>
  <c r="AT48" i="15" s="1"/>
  <c r="M48" i="15"/>
  <c r="S68" i="5"/>
  <c r="T68" i="5" s="1"/>
  <c r="O69" i="5"/>
  <c r="H49" i="15"/>
  <c r="T49" i="15" s="1"/>
  <c r="AI49" i="15" s="1"/>
  <c r="H48" i="15"/>
  <c r="T48" i="15" s="1"/>
  <c r="AI48" i="15" s="1"/>
  <c r="H46" i="6"/>
  <c r="V46" i="6" s="1"/>
  <c r="AK46" i="6" s="1"/>
  <c r="S44" i="2"/>
  <c r="H35" i="7" s="1"/>
  <c r="H71" i="7" s="1"/>
  <c r="R49" i="6"/>
  <c r="AF49" i="6" s="1"/>
  <c r="W48" i="5"/>
  <c r="X48" i="5" s="1"/>
  <c r="F47" i="6"/>
  <c r="Y46" i="5"/>
  <c r="P49" i="15"/>
  <c r="AD49" i="15" s="1"/>
  <c r="AL49" i="15" s="1"/>
  <c r="R48" i="6"/>
  <c r="AF48" i="6" s="1"/>
  <c r="AN48" i="6" s="1"/>
  <c r="S43" i="2"/>
  <c r="W47" i="5"/>
  <c r="X47" i="5" s="1"/>
  <c r="P48" i="15"/>
  <c r="AD48" i="15" s="1"/>
  <c r="AL48" i="15" s="1"/>
  <c r="I75" i="13" l="1"/>
  <c r="G75" i="14"/>
  <c r="I75" i="14" s="1"/>
  <c r="I49" i="5" s="1"/>
  <c r="J49" i="5" s="1"/>
  <c r="D124" i="13"/>
  <c r="D123" i="14"/>
  <c r="D54" i="7"/>
  <c r="F24" i="7"/>
  <c r="F54" i="7"/>
  <c r="E24" i="7"/>
  <c r="E54" i="7"/>
  <c r="AM49" i="6"/>
  <c r="AN49" i="6"/>
  <c r="AL49" i="6"/>
  <c r="Q71" i="14"/>
  <c r="N55" i="5" s="1"/>
  <c r="P42" i="5" s="1"/>
  <c r="L73" i="13"/>
  <c r="L73" i="14" s="1"/>
  <c r="Q72" i="13"/>
  <c r="J48" i="5"/>
  <c r="O73" i="13"/>
  <c r="O73" i="14" s="1"/>
  <c r="G76" i="13"/>
  <c r="AR48" i="15"/>
  <c r="AA48" i="15"/>
  <c r="AT46" i="6"/>
  <c r="AC46" i="6"/>
  <c r="AR49" i="15"/>
  <c r="AA49" i="15"/>
  <c r="N69" i="15"/>
  <c r="Q69" i="6"/>
  <c r="P69" i="6"/>
  <c r="AC48" i="15"/>
  <c r="AK48" i="15" s="1"/>
  <c r="AB48" i="15"/>
  <c r="AJ48" i="15" s="1"/>
  <c r="AB49" i="15"/>
  <c r="AJ49" i="15" s="1"/>
  <c r="AC49" i="15"/>
  <c r="AK49" i="15" s="1"/>
  <c r="S69" i="5"/>
  <c r="T69" i="5" s="1"/>
  <c r="O70" i="5"/>
  <c r="T50" i="15" a="1"/>
  <c r="T50" i="15" s="1"/>
  <c r="H47" i="6"/>
  <c r="V47" i="6" s="1"/>
  <c r="AK47" i="6" s="1"/>
  <c r="F48" i="6"/>
  <c r="Y47" i="5"/>
  <c r="Y48" i="5"/>
  <c r="F49" i="6"/>
  <c r="I76" i="13" l="1"/>
  <c r="G76" i="14"/>
  <c r="I76" i="14" s="1"/>
  <c r="I50" i="5" s="1"/>
  <c r="J50" i="5" s="1"/>
  <c r="D125" i="13"/>
  <c r="D124" i="14"/>
  <c r="AR7" i="5"/>
  <c r="Q72" i="14"/>
  <c r="N56" i="5" s="1"/>
  <c r="AZ50" i="6"/>
  <c r="AX50" i="15"/>
  <c r="P43" i="5"/>
  <c r="AX49" i="15"/>
  <c r="AZ49" i="6"/>
  <c r="G77" i="13"/>
  <c r="Q73" i="13"/>
  <c r="O74" i="13"/>
  <c r="O74" i="14" s="1"/>
  <c r="L74" i="13"/>
  <c r="L74" i="14" s="1"/>
  <c r="AA50" i="15"/>
  <c r="AI50" i="15"/>
  <c r="AT47" i="6"/>
  <c r="AC47" i="6"/>
  <c r="N70" i="15"/>
  <c r="Q70" i="6"/>
  <c r="P70" i="6"/>
  <c r="AR50" i="15"/>
  <c r="S70" i="5"/>
  <c r="T70" i="5" s="1"/>
  <c r="O71" i="5"/>
  <c r="T51" i="15" a="1"/>
  <c r="T51" i="15" s="1"/>
  <c r="AR46" i="5"/>
  <c r="AR40" i="5"/>
  <c r="AR41" i="5"/>
  <c r="AR10" i="5"/>
  <c r="AR13" i="5"/>
  <c r="AR33" i="5"/>
  <c r="AR6" i="5"/>
  <c r="AR35" i="5"/>
  <c r="AR31" i="5"/>
  <c r="AR28" i="5"/>
  <c r="AR23" i="5"/>
  <c r="AR30" i="5"/>
  <c r="AR19" i="5"/>
  <c r="AR11" i="5"/>
  <c r="AR24" i="5"/>
  <c r="AR17" i="5"/>
  <c r="AR29" i="5"/>
  <c r="AR21" i="5"/>
  <c r="AR22" i="5"/>
  <c r="H49" i="6"/>
  <c r="V49" i="6" s="1"/>
  <c r="AK49" i="6" s="1"/>
  <c r="AR15" i="5"/>
  <c r="AR34" i="5"/>
  <c r="AR36" i="5"/>
  <c r="AR9" i="5"/>
  <c r="AR18" i="5"/>
  <c r="AR26" i="5"/>
  <c r="AR25" i="5"/>
  <c r="AR14" i="5"/>
  <c r="AR38" i="5"/>
  <c r="AR37" i="5"/>
  <c r="AR32" i="5"/>
  <c r="AR12" i="5"/>
  <c r="AR27" i="5"/>
  <c r="AR16" i="5"/>
  <c r="AR8" i="5"/>
  <c r="AR20" i="5"/>
  <c r="H48" i="6"/>
  <c r="V48" i="6" s="1"/>
  <c r="AK48" i="6" s="1"/>
  <c r="AR43" i="5"/>
  <c r="AR42" i="5"/>
  <c r="AR45" i="5"/>
  <c r="AR39" i="5"/>
  <c r="AR44" i="5"/>
  <c r="AR48" i="5"/>
  <c r="AR47" i="5"/>
  <c r="D126" i="13" l="1"/>
  <c r="D125" i="14"/>
  <c r="I77" i="13"/>
  <c r="G77" i="14"/>
  <c r="I77" i="14" s="1"/>
  <c r="I51" i="5" s="1"/>
  <c r="J51" i="5" s="1"/>
  <c r="Q73" i="14"/>
  <c r="N57" i="5" s="1"/>
  <c r="P44" i="5" s="1"/>
  <c r="Q74" i="13"/>
  <c r="O75" i="13"/>
  <c r="O75" i="14" s="1"/>
  <c r="AX51" i="15"/>
  <c r="AZ51" i="6"/>
  <c r="L75" i="13"/>
  <c r="L75" i="14" s="1"/>
  <c r="G78" i="13"/>
  <c r="AA51" i="15"/>
  <c r="AI51" i="15"/>
  <c r="AT48" i="6"/>
  <c r="AC48" i="6"/>
  <c r="AT49" i="6"/>
  <c r="AC49" i="6"/>
  <c r="T52" i="15" a="1"/>
  <c r="T52" i="15" s="1"/>
  <c r="AI52" i="15" s="1"/>
  <c r="AR51" i="15"/>
  <c r="N71" i="15"/>
  <c r="Q71" i="6"/>
  <c r="P71" i="6"/>
  <c r="S71" i="5"/>
  <c r="T71" i="5" s="1"/>
  <c r="O72" i="5"/>
  <c r="V50" i="6" a="1"/>
  <c r="V50" i="6" s="1"/>
  <c r="AK50" i="6" s="1"/>
  <c r="D127" i="13" l="1"/>
  <c r="D127" i="14" s="1"/>
  <c r="D126" i="14"/>
  <c r="I78" i="13"/>
  <c r="G78" i="14"/>
  <c r="I78" i="14" s="1"/>
  <c r="I52" i="5" s="1"/>
  <c r="J52" i="5" s="1"/>
  <c r="C24" i="7"/>
  <c r="C54" i="7"/>
  <c r="C25" i="7"/>
  <c r="C55" i="7"/>
  <c r="AX52" i="15"/>
  <c r="AZ52" i="6"/>
  <c r="Q75" i="13"/>
  <c r="L76" i="13"/>
  <c r="L76" i="14" s="1"/>
  <c r="Q74" i="14"/>
  <c r="N58" i="5" s="1"/>
  <c r="P45" i="5" s="1"/>
  <c r="G79" i="13"/>
  <c r="O76" i="13"/>
  <c r="O76" i="14" s="1"/>
  <c r="T53" i="15" a="1"/>
  <c r="T53" i="15" s="1"/>
  <c r="AI53" i="15" s="1"/>
  <c r="AT50" i="6"/>
  <c r="AC50" i="6"/>
  <c r="AR52" i="15"/>
  <c r="AA52" i="15"/>
  <c r="N72" i="15"/>
  <c r="Q72" i="6"/>
  <c r="P72" i="6"/>
  <c r="S72" i="5"/>
  <c r="T72" i="5" s="1"/>
  <c r="O73" i="5"/>
  <c r="V51" i="6" a="1"/>
  <c r="V51" i="6" s="1"/>
  <c r="AK51" i="6" s="1"/>
  <c r="I79" i="13" l="1"/>
  <c r="G79" i="14"/>
  <c r="C28" i="7"/>
  <c r="C62" i="7"/>
  <c r="Q75" i="14"/>
  <c r="N59" i="5" s="1"/>
  <c r="Q76" i="13"/>
  <c r="O77" i="13"/>
  <c r="O77" i="14" s="1"/>
  <c r="AX53" i="15"/>
  <c r="AZ53" i="6"/>
  <c r="P46" i="5"/>
  <c r="G80" i="13"/>
  <c r="I79" i="14"/>
  <c r="I53" i="5" s="1"/>
  <c r="J53" i="5" s="1"/>
  <c r="L77" i="13"/>
  <c r="L77" i="14" s="1"/>
  <c r="T54" i="15" a="1"/>
  <c r="T54" i="15" s="1"/>
  <c r="AI54" i="15" s="1"/>
  <c r="AA53" i="15"/>
  <c r="AR53" i="15"/>
  <c r="AT51" i="6"/>
  <c r="AC51" i="6"/>
  <c r="N73" i="15"/>
  <c r="Q73" i="6"/>
  <c r="P73" i="6"/>
  <c r="S73" i="5"/>
  <c r="T73" i="5" s="1"/>
  <c r="O74" i="5"/>
  <c r="V52" i="6" a="1"/>
  <c r="V52" i="6" s="1"/>
  <c r="AK52" i="6" s="1"/>
  <c r="I80" i="13" l="1"/>
  <c r="G80" i="14"/>
  <c r="I80" i="14" s="1"/>
  <c r="I54" i="5" s="1"/>
  <c r="J54" i="5" s="1"/>
  <c r="Q76" i="14"/>
  <c r="N60" i="5" s="1"/>
  <c r="P47" i="5" s="1"/>
  <c r="G81" i="13"/>
  <c r="L78" i="13"/>
  <c r="L78" i="14" s="1"/>
  <c r="AZ54" i="6"/>
  <c r="AX54" i="15"/>
  <c r="Q77" i="13"/>
  <c r="O78" i="13"/>
  <c r="O78" i="14" s="1"/>
  <c r="T55" i="15" a="1"/>
  <c r="T55" i="15" s="1"/>
  <c r="AI55" i="15" s="1"/>
  <c r="AA54" i="15"/>
  <c r="AR54" i="15"/>
  <c r="AT52" i="6"/>
  <c r="AC52" i="6"/>
  <c r="N74" i="15"/>
  <c r="Q74" i="6"/>
  <c r="P74" i="6"/>
  <c r="S74" i="5"/>
  <c r="T74" i="5" s="1"/>
  <c r="O75" i="5"/>
  <c r="V53" i="6" a="1"/>
  <c r="V53" i="6" s="1"/>
  <c r="AK53" i="6" s="1"/>
  <c r="I81" i="13" l="1"/>
  <c r="G81" i="14"/>
  <c r="Q77" i="14"/>
  <c r="N61" i="5" s="1"/>
  <c r="P48" i="5" s="1"/>
  <c r="I81" i="14"/>
  <c r="I55" i="5" s="1"/>
  <c r="J55" i="5" s="1"/>
  <c r="G82" i="13"/>
  <c r="O79" i="13"/>
  <c r="O79" i="14" s="1"/>
  <c r="L79" i="13"/>
  <c r="L79" i="14" s="1"/>
  <c r="Q78" i="14"/>
  <c r="Q78" i="13"/>
  <c r="AX55" i="15"/>
  <c r="AZ55" i="6"/>
  <c r="AA55" i="15"/>
  <c r="T56" i="15" a="1"/>
  <c r="T56" i="15" s="1"/>
  <c r="AI56" i="15" s="1"/>
  <c r="AR55" i="15"/>
  <c r="AT53" i="6"/>
  <c r="AC53" i="6"/>
  <c r="N75" i="15"/>
  <c r="Q75" i="6"/>
  <c r="P75" i="6"/>
  <c r="S75" i="5"/>
  <c r="T75" i="5" s="1"/>
  <c r="O76" i="5"/>
  <c r="V54" i="6" a="1"/>
  <c r="V54" i="6" s="1"/>
  <c r="AK54" i="6" s="1"/>
  <c r="I82" i="13" l="1"/>
  <c r="G82" i="14"/>
  <c r="I82" i="14" s="1"/>
  <c r="I56" i="5" s="1"/>
  <c r="J56" i="5" s="1"/>
  <c r="N62" i="5"/>
  <c r="P49" i="5" s="1"/>
  <c r="G83" i="13"/>
  <c r="L80" i="13"/>
  <c r="L80" i="14" s="1"/>
  <c r="Q79" i="13"/>
  <c r="O80" i="13"/>
  <c r="O80" i="14" s="1"/>
  <c r="AX56" i="15"/>
  <c r="AZ56" i="6"/>
  <c r="T57" i="15" a="1"/>
  <c r="T57" i="15" s="1"/>
  <c r="AI57" i="15" s="1"/>
  <c r="AA56" i="15"/>
  <c r="AR56" i="15"/>
  <c r="AT54" i="6"/>
  <c r="AC54" i="6"/>
  <c r="N76" i="15"/>
  <c r="Q76" i="6"/>
  <c r="P76" i="6"/>
  <c r="S76" i="5"/>
  <c r="T76" i="5" s="1"/>
  <c r="O77" i="5"/>
  <c r="V55" i="6" a="1"/>
  <c r="V55" i="6" s="1"/>
  <c r="AK55" i="6" s="1"/>
  <c r="I83" i="13" l="1"/>
  <c r="G83" i="14"/>
  <c r="AA57" i="15"/>
  <c r="T58" i="15" a="1"/>
  <c r="T58" i="15" s="1"/>
  <c r="AI58" i="15" s="1"/>
  <c r="AR57" i="15"/>
  <c r="Q79" i="14"/>
  <c r="N63" i="5" s="1"/>
  <c r="P50" i="5" s="1"/>
  <c r="AX57" i="15"/>
  <c r="AZ57" i="6"/>
  <c r="Q80" i="13"/>
  <c r="O81" i="13"/>
  <c r="O81" i="14" s="1"/>
  <c r="L81" i="13"/>
  <c r="L81" i="14" s="1"/>
  <c r="I83" i="14"/>
  <c r="I57" i="5" s="1"/>
  <c r="J57" i="5" s="1"/>
  <c r="G84" i="13"/>
  <c r="AT55" i="6"/>
  <c r="AC55" i="6"/>
  <c r="N77" i="15"/>
  <c r="Q77" i="6"/>
  <c r="P77" i="6"/>
  <c r="S77" i="5"/>
  <c r="T77" i="5" s="1"/>
  <c r="O78" i="5"/>
  <c r="V56" i="6" a="1"/>
  <c r="V56" i="6" s="1"/>
  <c r="AK56" i="6" s="1"/>
  <c r="I84" i="13" l="1"/>
  <c r="G84" i="14"/>
  <c r="I84" i="14" s="1"/>
  <c r="I58" i="5" s="1"/>
  <c r="AR58" i="15"/>
  <c r="T59" i="15" a="1"/>
  <c r="T59" i="15" s="1"/>
  <c r="AI59" i="15" s="1"/>
  <c r="AA58" i="15"/>
  <c r="AZ58" i="6"/>
  <c r="AX58" i="15"/>
  <c r="Q81" i="13"/>
  <c r="O82" i="13"/>
  <c r="O82" i="14" s="1"/>
  <c r="G85" i="13"/>
  <c r="L82" i="13"/>
  <c r="L82" i="14" s="1"/>
  <c r="Q80" i="14"/>
  <c r="N64" i="5" s="1"/>
  <c r="P51" i="5" s="1"/>
  <c r="AT56" i="6"/>
  <c r="AC56" i="6"/>
  <c r="N78" i="15"/>
  <c r="Q78" i="6"/>
  <c r="P78" i="6"/>
  <c r="S78" i="5"/>
  <c r="T78" i="5" s="1"/>
  <c r="O79" i="5"/>
  <c r="V57" i="6" a="1"/>
  <c r="V57" i="6" s="1"/>
  <c r="AK57" i="6" s="1"/>
  <c r="I85" i="13" l="1"/>
  <c r="G85" i="14"/>
  <c r="AA59" i="15"/>
  <c r="T60" i="15" a="1"/>
  <c r="T60" i="15" s="1"/>
  <c r="AI60" i="15" s="1"/>
  <c r="AR59" i="15"/>
  <c r="Q81" i="14"/>
  <c r="N65" i="5" s="1"/>
  <c r="P52" i="5" s="1"/>
  <c r="L83" i="13"/>
  <c r="L83" i="14" s="1"/>
  <c r="I85" i="14"/>
  <c r="I59" i="5" s="1"/>
  <c r="J59" i="5" s="1"/>
  <c r="G86" i="13"/>
  <c r="J58" i="5"/>
  <c r="Q82" i="13"/>
  <c r="O83" i="13"/>
  <c r="O83" i="14" s="1"/>
  <c r="AT57" i="6"/>
  <c r="AC57" i="6"/>
  <c r="N79" i="15"/>
  <c r="Q79" i="6"/>
  <c r="P79" i="6"/>
  <c r="S79" i="5"/>
  <c r="T79" i="5" s="1"/>
  <c r="O80" i="5"/>
  <c r="V58" i="6" a="1"/>
  <c r="V58" i="6" s="1"/>
  <c r="AK58" i="6" s="1"/>
  <c r="I86" i="13" l="1"/>
  <c r="G86" i="14"/>
  <c r="I86" i="14" s="1"/>
  <c r="I60" i="5" s="1"/>
  <c r="J60" i="5" s="1"/>
  <c r="T61" i="15" a="1"/>
  <c r="T61" i="15" s="1"/>
  <c r="AI61" i="15" s="1"/>
  <c r="AA60" i="15"/>
  <c r="AR60" i="15"/>
  <c r="Q82" i="14"/>
  <c r="N66" i="5" s="1"/>
  <c r="P53" i="5" s="1"/>
  <c r="AZ60" i="6"/>
  <c r="AX60" i="15"/>
  <c r="G87" i="13"/>
  <c r="O84" i="13"/>
  <c r="O84" i="14" s="1"/>
  <c r="AX59" i="15"/>
  <c r="AZ59" i="6"/>
  <c r="L84" i="13"/>
  <c r="L84" i="14" s="1"/>
  <c r="Q83" i="13"/>
  <c r="AT58" i="6"/>
  <c r="AC58" i="6"/>
  <c r="N80" i="15"/>
  <c r="Q80" i="6"/>
  <c r="P80" i="6"/>
  <c r="S80" i="5"/>
  <c r="T80" i="5" s="1"/>
  <c r="O81" i="5"/>
  <c r="V59" i="6" a="1"/>
  <c r="V59" i="6" s="1"/>
  <c r="AK59" i="6" s="1"/>
  <c r="I87" i="13" l="1"/>
  <c r="G87" i="14"/>
  <c r="AR61" i="15"/>
  <c r="T62" i="15" a="1"/>
  <c r="T62" i="15" s="1"/>
  <c r="AI62" i="15" s="1"/>
  <c r="AA61" i="15"/>
  <c r="Q83" i="14"/>
  <c r="N67" i="5" s="1"/>
  <c r="P54" i="5" s="1"/>
  <c r="L85" i="13"/>
  <c r="L85" i="14" s="1"/>
  <c r="Q84" i="13"/>
  <c r="O85" i="13"/>
  <c r="O85" i="14" s="1"/>
  <c r="I87" i="14"/>
  <c r="I61" i="5" s="1"/>
  <c r="J61" i="5" s="1"/>
  <c r="G88" i="13"/>
  <c r="AX61" i="15"/>
  <c r="AZ61" i="6"/>
  <c r="AT59" i="6"/>
  <c r="AC59" i="6"/>
  <c r="N81" i="15"/>
  <c r="Q81" i="6"/>
  <c r="P81" i="6"/>
  <c r="S81" i="5"/>
  <c r="T81" i="5" s="1"/>
  <c r="O82" i="5"/>
  <c r="V60" i="6" a="1"/>
  <c r="V60" i="6" s="1"/>
  <c r="AK60" i="6" s="1"/>
  <c r="AR62" i="15" l="1"/>
  <c r="I88" i="13"/>
  <c r="G88" i="14"/>
  <c r="I88" i="14" s="1"/>
  <c r="I62" i="5" s="1"/>
  <c r="T63" i="15" a="1"/>
  <c r="T63" i="15" s="1"/>
  <c r="AI63" i="15" s="1"/>
  <c r="AA62" i="15"/>
  <c r="Q84" i="14"/>
  <c r="N68" i="5" s="1"/>
  <c r="P55" i="5" s="1"/>
  <c r="AX62" i="15"/>
  <c r="AZ62" i="6"/>
  <c r="O86" i="13"/>
  <c r="O86" i="14" s="1"/>
  <c r="G89" i="13"/>
  <c r="Q85" i="13"/>
  <c r="L86" i="13"/>
  <c r="L86" i="14" s="1"/>
  <c r="AT60" i="6"/>
  <c r="AC60" i="6"/>
  <c r="N82" i="15"/>
  <c r="Q82" i="6"/>
  <c r="P82" i="6"/>
  <c r="S82" i="5"/>
  <c r="T82" i="5" s="1"/>
  <c r="O83" i="5"/>
  <c r="V61" i="6" a="1"/>
  <c r="V61" i="6" s="1"/>
  <c r="AK61" i="6" s="1"/>
  <c r="AR63" i="15" l="1"/>
  <c r="I89" i="13"/>
  <c r="G89" i="14"/>
  <c r="I89" i="14" s="1"/>
  <c r="I63" i="5" s="1"/>
  <c r="J63" i="5" s="1"/>
  <c r="T64" i="15" a="1"/>
  <c r="T64" i="15" s="1"/>
  <c r="AI64" i="15" s="1"/>
  <c r="AA63" i="15"/>
  <c r="Q85" i="14"/>
  <c r="N69" i="5" s="1"/>
  <c r="P56" i="5" s="1"/>
  <c r="L87" i="13"/>
  <c r="L87" i="14" s="1"/>
  <c r="G90" i="13"/>
  <c r="J62" i="5"/>
  <c r="Q86" i="13"/>
  <c r="O87" i="13"/>
  <c r="O87" i="14" s="1"/>
  <c r="AT61" i="6"/>
  <c r="AC61" i="6"/>
  <c r="S83" i="5"/>
  <c r="T83" i="5" s="1"/>
  <c r="O84" i="5"/>
  <c r="V62" i="6" a="1"/>
  <c r="V62" i="6" s="1"/>
  <c r="AK62" i="6" s="1"/>
  <c r="I90" i="13" l="1"/>
  <c r="G90" i="14"/>
  <c r="T65" i="15" a="1"/>
  <c r="T65" i="15" s="1"/>
  <c r="AI65" i="15" s="1"/>
  <c r="AA64" i="15"/>
  <c r="AR64" i="15"/>
  <c r="Q86" i="14"/>
  <c r="N70" i="5" s="1"/>
  <c r="P57" i="5" s="1"/>
  <c r="O88" i="13"/>
  <c r="O88" i="14" s="1"/>
  <c r="AZ64" i="6"/>
  <c r="AX64" i="15"/>
  <c r="Q87" i="13"/>
  <c r="L88" i="13"/>
  <c r="L88" i="14" s="1"/>
  <c r="AZ63" i="6"/>
  <c r="AX63" i="15"/>
  <c r="I90" i="14"/>
  <c r="I64" i="5" s="1"/>
  <c r="J64" i="5" s="1"/>
  <c r="G91" i="13"/>
  <c r="AT62" i="6"/>
  <c r="AC62" i="6"/>
  <c r="S84" i="5"/>
  <c r="T84" i="5" s="1"/>
  <c r="O85" i="5"/>
  <c r="V63" i="6" a="1"/>
  <c r="V63" i="6" s="1"/>
  <c r="AK63" i="6" s="1"/>
  <c r="I91" i="13" l="1"/>
  <c r="G91" i="14"/>
  <c r="I91" i="14" s="1"/>
  <c r="I65" i="5" s="1"/>
  <c r="J65" i="5" s="1"/>
  <c r="AA65" i="15"/>
  <c r="T66" i="15" a="1"/>
  <c r="T66" i="15" s="1"/>
  <c r="AI66" i="15" s="1"/>
  <c r="AR65" i="15"/>
  <c r="Q87" i="14"/>
  <c r="N71" i="5" s="1"/>
  <c r="P58" i="5" s="1"/>
  <c r="AZ65" i="6"/>
  <c r="AX65" i="15"/>
  <c r="G92" i="13"/>
  <c r="Q88" i="13"/>
  <c r="L89" i="13"/>
  <c r="L89" i="14" s="1"/>
  <c r="O89" i="13"/>
  <c r="O89" i="14" s="1"/>
  <c r="AT63" i="6"/>
  <c r="AC63" i="6"/>
  <c r="S85" i="5"/>
  <c r="T85" i="5" s="1"/>
  <c r="O86" i="5"/>
  <c r="V64" i="6" a="1"/>
  <c r="V64" i="6" s="1"/>
  <c r="AK64" i="6" s="1"/>
  <c r="AR66" i="15" l="1"/>
  <c r="I92" i="13"/>
  <c r="G92" i="14"/>
  <c r="I92" i="14" s="1"/>
  <c r="I66" i="5" s="1"/>
  <c r="J66" i="5" s="1"/>
  <c r="T67" i="15" a="1"/>
  <c r="T67" i="15" s="1"/>
  <c r="AI67" i="15" s="1"/>
  <c r="AA66" i="15"/>
  <c r="Q88" i="14"/>
  <c r="N72" i="5" s="1"/>
  <c r="P59" i="5" s="1"/>
  <c r="O90" i="13"/>
  <c r="O90" i="14" s="1"/>
  <c r="G93" i="13"/>
  <c r="Q89" i="13"/>
  <c r="L90" i="13"/>
  <c r="L90" i="14" s="1"/>
  <c r="AZ66" i="6"/>
  <c r="AX66" i="15"/>
  <c r="AT64" i="6"/>
  <c r="AC64" i="6"/>
  <c r="S86" i="5"/>
  <c r="T86" i="5" s="1"/>
  <c r="O87" i="5"/>
  <c r="V65" i="6" a="1"/>
  <c r="V65" i="6" s="1"/>
  <c r="AK65" i="6" s="1"/>
  <c r="AR67" i="15" l="1"/>
  <c r="I93" i="13"/>
  <c r="G93" i="14"/>
  <c r="T68" i="15" a="1"/>
  <c r="T68" i="15" s="1"/>
  <c r="AI68" i="15" s="1"/>
  <c r="AA67" i="15"/>
  <c r="AX67" i="15"/>
  <c r="AZ67" i="6"/>
  <c r="Q90" i="13"/>
  <c r="O91" i="13"/>
  <c r="O91" i="14" s="1"/>
  <c r="L91" i="13"/>
  <c r="L91" i="14" s="1"/>
  <c r="I93" i="14"/>
  <c r="I67" i="5" s="1"/>
  <c r="J67" i="5" s="1"/>
  <c r="G94" i="13"/>
  <c r="Q89" i="14"/>
  <c r="N73" i="5" s="1"/>
  <c r="P60" i="5" s="1"/>
  <c r="AT65" i="6"/>
  <c r="AC65" i="6"/>
  <c r="AR68" i="15"/>
  <c r="S87" i="5"/>
  <c r="T87" i="5" s="1"/>
  <c r="O88" i="5"/>
  <c r="V66" i="6" a="1"/>
  <c r="V66" i="6" s="1"/>
  <c r="AK66" i="6" s="1"/>
  <c r="I94" i="13" l="1"/>
  <c r="G94" i="14"/>
  <c r="T69" i="15" a="1"/>
  <c r="T69" i="15" s="1"/>
  <c r="AI69" i="15" s="1"/>
  <c r="AA68" i="15"/>
  <c r="Q90" i="14"/>
  <c r="N74" i="5" s="1"/>
  <c r="P61" i="5" s="1"/>
  <c r="AZ68" i="6"/>
  <c r="AX68" i="15"/>
  <c r="Q91" i="13"/>
  <c r="O92" i="13"/>
  <c r="O92" i="14" s="1"/>
  <c r="I94" i="14"/>
  <c r="I68" i="5" s="1"/>
  <c r="J68" i="5" s="1"/>
  <c r="G95" i="13"/>
  <c r="L92" i="13"/>
  <c r="L92" i="14" s="1"/>
  <c r="AT66" i="6"/>
  <c r="AC66" i="6"/>
  <c r="S88" i="5"/>
  <c r="T88" i="5" s="1"/>
  <c r="O89" i="5"/>
  <c r="V67" i="6" a="1"/>
  <c r="V67" i="6" s="1"/>
  <c r="AK67" i="6" s="1"/>
  <c r="AR69" i="15" l="1"/>
  <c r="I95" i="13"/>
  <c r="G95" i="14"/>
  <c r="I95" i="14" s="1"/>
  <c r="I69" i="5" s="1"/>
  <c r="J69" i="5" s="1"/>
  <c r="T70" i="15" a="1"/>
  <c r="T70" i="15" s="1"/>
  <c r="AI70" i="15" s="1"/>
  <c r="AA69" i="15"/>
  <c r="AX69" i="15"/>
  <c r="AZ69" i="6"/>
  <c r="Q91" i="14"/>
  <c r="N75" i="5" s="1"/>
  <c r="P62" i="5" s="1"/>
  <c r="L93" i="13"/>
  <c r="L93" i="14" s="1"/>
  <c r="G96" i="13"/>
  <c r="Q92" i="13"/>
  <c r="O93" i="13"/>
  <c r="O93" i="14" s="1"/>
  <c r="AT67" i="6"/>
  <c r="AC67" i="6"/>
  <c r="S89" i="5"/>
  <c r="T89" i="5" s="1"/>
  <c r="O90" i="5"/>
  <c r="V68" i="6" a="1"/>
  <c r="V68" i="6" s="1"/>
  <c r="AK68" i="6" s="1"/>
  <c r="AR70" i="15" l="1"/>
  <c r="I96" i="13"/>
  <c r="G96" i="14"/>
  <c r="I96" i="14" s="1"/>
  <c r="I70" i="5" s="1"/>
  <c r="J70" i="5" s="1"/>
  <c r="T71" i="15" a="1"/>
  <c r="T71" i="15" s="1"/>
  <c r="AI71" i="15" s="1"/>
  <c r="AA70" i="15"/>
  <c r="Q92" i="14"/>
  <c r="N76" i="5" s="1"/>
  <c r="Q93" i="13"/>
  <c r="O94" i="13"/>
  <c r="O94" i="14" s="1"/>
  <c r="AZ70" i="6"/>
  <c r="AX70" i="15"/>
  <c r="L94" i="13"/>
  <c r="L94" i="14" s="1"/>
  <c r="G97" i="13"/>
  <c r="AT68" i="6"/>
  <c r="AC68" i="6"/>
  <c r="S90" i="5"/>
  <c r="T90" i="5" s="1"/>
  <c r="O91" i="5"/>
  <c r="V69" i="6" a="1"/>
  <c r="V69" i="6" s="1"/>
  <c r="AK69" i="6" s="1"/>
  <c r="T72" i="15" l="1" a="1"/>
  <c r="T72" i="15" s="1"/>
  <c r="AI72" i="15" s="1"/>
  <c r="AR71" i="15"/>
  <c r="I97" i="13"/>
  <c r="G97" i="14"/>
  <c r="I97" i="14" s="1"/>
  <c r="I71" i="5" s="1"/>
  <c r="J71" i="5" s="1"/>
  <c r="AA71" i="15"/>
  <c r="AZ71" i="6"/>
  <c r="AX71" i="15"/>
  <c r="Q94" i="13"/>
  <c r="O95" i="13"/>
  <c r="O95" i="14" s="1"/>
  <c r="G98" i="13"/>
  <c r="L95" i="13"/>
  <c r="L95" i="14" s="1"/>
  <c r="Q93" i="14"/>
  <c r="N77" i="5" s="1"/>
  <c r="AT69" i="6"/>
  <c r="AC69" i="6"/>
  <c r="AR72" i="15"/>
  <c r="AA72" i="15"/>
  <c r="S91" i="5"/>
  <c r="T91" i="5" s="1"/>
  <c r="O92" i="5"/>
  <c r="V70" i="6" a="1"/>
  <c r="V70" i="6" s="1"/>
  <c r="AK70" i="6" s="1"/>
  <c r="T73" i="15" a="1"/>
  <c r="T73" i="15" s="1"/>
  <c r="AI73" i="15" s="1"/>
  <c r="I98" i="13" l="1"/>
  <c r="G98" i="14"/>
  <c r="I98" i="14" s="1"/>
  <c r="I72" i="5" s="1"/>
  <c r="J72" i="5" s="1"/>
  <c r="Q94" i="14"/>
  <c r="N78" i="5" s="1"/>
  <c r="G99" i="13"/>
  <c r="Q95" i="13"/>
  <c r="O96" i="13"/>
  <c r="O96" i="14" s="1"/>
  <c r="L96" i="13"/>
  <c r="L96" i="14" s="1"/>
  <c r="AZ72" i="6"/>
  <c r="AX72" i="15"/>
  <c r="AR73" i="15"/>
  <c r="AA73" i="15"/>
  <c r="AT70" i="6"/>
  <c r="AC70" i="6"/>
  <c r="S92" i="5"/>
  <c r="T92" i="5" s="1"/>
  <c r="O93" i="5"/>
  <c r="T74" i="15" a="1"/>
  <c r="T74" i="15" s="1"/>
  <c r="AI74" i="15" s="1"/>
  <c r="V71" i="6" a="1"/>
  <c r="V71" i="6" s="1"/>
  <c r="AK71" i="6" s="1"/>
  <c r="I99" i="13" l="1"/>
  <c r="G99" i="14"/>
  <c r="Q95" i="14"/>
  <c r="N79" i="5" s="1"/>
  <c r="O97" i="13"/>
  <c r="O97" i="14" s="1"/>
  <c r="Q96" i="13"/>
  <c r="L97" i="13"/>
  <c r="L97" i="14" s="1"/>
  <c r="G100" i="13"/>
  <c r="G100" i="14" s="1"/>
  <c r="AT71" i="6"/>
  <c r="AC71" i="6"/>
  <c r="AR74" i="15"/>
  <c r="AA74" i="15"/>
  <c r="S93" i="5"/>
  <c r="T93" i="5" s="1"/>
  <c r="O94" i="5"/>
  <c r="T75" i="15" a="1"/>
  <c r="T75" i="15" s="1"/>
  <c r="AI75" i="15" s="1"/>
  <c r="V72" i="6" a="1"/>
  <c r="V72" i="6" s="1"/>
  <c r="AK72" i="6" s="1"/>
  <c r="Q96" i="14" l="1"/>
  <c r="N80" i="5" s="1"/>
  <c r="Q97" i="13"/>
  <c r="O98" i="13"/>
  <c r="O98" i="14" s="1"/>
  <c r="G101" i="13"/>
  <c r="G101" i="14" s="1"/>
  <c r="L98" i="13"/>
  <c r="L98" i="14" s="1"/>
  <c r="AT72" i="6"/>
  <c r="AC72" i="6"/>
  <c r="AR75" i="15"/>
  <c r="AA75" i="15"/>
  <c r="S94" i="5"/>
  <c r="T94" i="5" s="1"/>
  <c r="O95" i="5"/>
  <c r="V73" i="6" a="1"/>
  <c r="V73" i="6" s="1"/>
  <c r="AK73" i="6" s="1"/>
  <c r="T76" i="15" a="1"/>
  <c r="T76" i="15" s="1"/>
  <c r="AI76" i="15" s="1"/>
  <c r="Q97" i="14" l="1"/>
  <c r="N81" i="5" s="1"/>
  <c r="G102" i="13"/>
  <c r="G102" i="14" s="1"/>
  <c r="L99" i="13"/>
  <c r="L99" i="14" s="1"/>
  <c r="Q98" i="13"/>
  <c r="O99" i="13"/>
  <c r="O99" i="14" s="1"/>
  <c r="AT73" i="6"/>
  <c r="AC73" i="6"/>
  <c r="AR76" i="15"/>
  <c r="AA76" i="15"/>
  <c r="S95" i="5"/>
  <c r="T95" i="5" s="1"/>
  <c r="O96" i="5"/>
  <c r="T77" i="15" a="1"/>
  <c r="T77" i="15" s="1"/>
  <c r="AI77" i="15" s="1"/>
  <c r="V74" i="6" a="1"/>
  <c r="V74" i="6" s="1"/>
  <c r="AK74" i="6" s="1"/>
  <c r="Q98" i="14" l="1"/>
  <c r="N82" i="5" s="1"/>
  <c r="G103" i="13"/>
  <c r="G103" i="14" s="1"/>
  <c r="O100" i="13"/>
  <c r="O100" i="14" s="1"/>
  <c r="L100" i="13"/>
  <c r="L100" i="14" s="1"/>
  <c r="Q99" i="13"/>
  <c r="AT74" i="6"/>
  <c r="AC74" i="6"/>
  <c r="AR77" i="15"/>
  <c r="AA77" i="15"/>
  <c r="S96" i="5"/>
  <c r="T96" i="5" s="1"/>
  <c r="O97" i="5"/>
  <c r="V75" i="6" a="1"/>
  <c r="V75" i="6" s="1"/>
  <c r="AK75" i="6" s="1"/>
  <c r="T78" i="15" a="1"/>
  <c r="T78" i="15" s="1"/>
  <c r="AI78" i="15" s="1"/>
  <c r="L101" i="13" l="1"/>
  <c r="L101" i="14" s="1"/>
  <c r="Q99" i="14"/>
  <c r="N83" i="5" s="1"/>
  <c r="G104" i="13"/>
  <c r="G104" i="14" s="1"/>
  <c r="Q100" i="13"/>
  <c r="O101" i="13"/>
  <c r="O101" i="14" s="1"/>
  <c r="AT75" i="6"/>
  <c r="AC75" i="6"/>
  <c r="AR78" i="15"/>
  <c r="AA78" i="15"/>
  <c r="S97" i="5"/>
  <c r="T97" i="5" s="1"/>
  <c r="O98" i="5"/>
  <c r="V76" i="6" a="1"/>
  <c r="V76" i="6" s="1"/>
  <c r="AK76" i="6" s="1"/>
  <c r="T79" i="15" a="1"/>
  <c r="T79" i="15" s="1"/>
  <c r="AI79" i="15" s="1"/>
  <c r="O102" i="13" l="1"/>
  <c r="O102" i="14" s="1"/>
  <c r="G105" i="13"/>
  <c r="G105" i="14" s="1"/>
  <c r="Q101" i="13"/>
  <c r="L102" i="13"/>
  <c r="L102" i="14" s="1"/>
  <c r="Q100" i="14"/>
  <c r="N84" i="5" s="1"/>
  <c r="AT76" i="6"/>
  <c r="AC76" i="6"/>
  <c r="AR79" i="15"/>
  <c r="AA79" i="15"/>
  <c r="S98" i="5"/>
  <c r="T98" i="5" s="1"/>
  <c r="O99" i="5"/>
  <c r="T80" i="15" a="1"/>
  <c r="T80" i="15" s="1"/>
  <c r="AI80" i="15" s="1"/>
  <c r="V77" i="6" a="1"/>
  <c r="V77" i="6" s="1"/>
  <c r="AK77" i="6" s="1"/>
  <c r="Q101" i="14" l="1"/>
  <c r="N85" i="5" s="1"/>
  <c r="L103" i="13"/>
  <c r="L103" i="14" s="1"/>
  <c r="G106" i="13"/>
  <c r="G106" i="14" s="1"/>
  <c r="Q102" i="13"/>
  <c r="O103" i="13"/>
  <c r="O103" i="14" s="1"/>
  <c r="AT77" i="6"/>
  <c r="AC77" i="6"/>
  <c r="AR80" i="15"/>
  <c r="AA80" i="15"/>
  <c r="S99" i="5"/>
  <c r="T99" i="5" s="1"/>
  <c r="O100" i="5"/>
  <c r="V78" i="6" a="1"/>
  <c r="V78" i="6" s="1"/>
  <c r="AK78" i="6" s="1"/>
  <c r="T81" i="15" a="1"/>
  <c r="T81" i="15" s="1"/>
  <c r="AI81" i="15" s="1"/>
  <c r="Q102" i="14" l="1"/>
  <c r="N86" i="5" s="1"/>
  <c r="Q103" i="13"/>
  <c r="L104" i="13"/>
  <c r="L104" i="14" s="1"/>
  <c r="O104" i="13"/>
  <c r="O104" i="14" s="1"/>
  <c r="G107" i="13"/>
  <c r="G107" i="14" s="1"/>
  <c r="AT78" i="6"/>
  <c r="AC78" i="6"/>
  <c r="AR81" i="15"/>
  <c r="AA81" i="15"/>
  <c r="S100" i="5"/>
  <c r="T100" i="5" s="1"/>
  <c r="O101" i="5"/>
  <c r="O102" i="5" s="1"/>
  <c r="O103" i="5" s="1"/>
  <c r="T82" i="15" a="1"/>
  <c r="T82" i="15" s="1"/>
  <c r="AI82" i="15" s="1"/>
  <c r="V79" i="6" a="1"/>
  <c r="V79" i="6" s="1"/>
  <c r="AK79" i="6" s="1"/>
  <c r="Q103" i="14" l="1"/>
  <c r="N87" i="5" s="1"/>
  <c r="G108" i="13"/>
  <c r="G108" i="14" s="1"/>
  <c r="Q104" i="13"/>
  <c r="O105" i="13"/>
  <c r="O105" i="14" s="1"/>
  <c r="L105" i="13"/>
  <c r="L105" i="14" s="1"/>
  <c r="AT79" i="6"/>
  <c r="AC79" i="6"/>
  <c r="AR82" i="15"/>
  <c r="AA82" i="15"/>
  <c r="V80" i="6" a="1"/>
  <c r="V80" i="6" s="1"/>
  <c r="AK80" i="6" s="1"/>
  <c r="O104" i="5"/>
  <c r="Q104" i="14" l="1"/>
  <c r="N88" i="5" s="1"/>
  <c r="L106" i="13"/>
  <c r="L106" i="14" s="1"/>
  <c r="Q105" i="13"/>
  <c r="O106" i="13"/>
  <c r="O106" i="14" s="1"/>
  <c r="G109" i="13"/>
  <c r="G109" i="14" s="1"/>
  <c r="AT80" i="6"/>
  <c r="AC80" i="6"/>
  <c r="V81" i="6" a="1"/>
  <c r="V81" i="6" s="1"/>
  <c r="AK81" i="6" s="1"/>
  <c r="O105" i="5"/>
  <c r="G110" i="13" l="1"/>
  <c r="G110" i="14" s="1"/>
  <c r="Q105" i="14"/>
  <c r="N89" i="5" s="1"/>
  <c r="L107" i="13"/>
  <c r="L107" i="14" s="1"/>
  <c r="Q106" i="13"/>
  <c r="O107" i="13"/>
  <c r="O107" i="14" s="1"/>
  <c r="AT81" i="6"/>
  <c r="AC81" i="6"/>
  <c r="V82" i="6" a="1"/>
  <c r="V82" i="6" s="1"/>
  <c r="AK82" i="6" s="1"/>
  <c r="O106" i="5"/>
  <c r="Q106" i="14" l="1"/>
  <c r="N90" i="5" s="1"/>
  <c r="L108" i="13"/>
  <c r="L108" i="14" s="1"/>
  <c r="G111" i="13"/>
  <c r="G111" i="14" s="1"/>
  <c r="Q107" i="13"/>
  <c r="O108" i="13"/>
  <c r="O108" i="14" s="1"/>
  <c r="AT82" i="6"/>
  <c r="AC82" i="6"/>
  <c r="O107" i="5"/>
  <c r="Q108" i="13" l="1"/>
  <c r="O109" i="13"/>
  <c r="O109" i="14" s="1"/>
  <c r="G112" i="13"/>
  <c r="G112" i="14" s="1"/>
  <c r="L109" i="13"/>
  <c r="L109" i="14" s="1"/>
  <c r="O108" i="5"/>
  <c r="Q109" i="13" l="1"/>
  <c r="O110" i="13"/>
  <c r="O110" i="14" s="1"/>
  <c r="L110" i="13"/>
  <c r="L110" i="14" s="1"/>
  <c r="G113" i="13"/>
  <c r="G113" i="14" s="1"/>
  <c r="O109" i="5"/>
  <c r="L111" i="13" l="1"/>
  <c r="L111" i="14" s="1"/>
  <c r="Q110" i="13"/>
  <c r="O111" i="13"/>
  <c r="O111" i="14" s="1"/>
  <c r="G114" i="13"/>
  <c r="G114" i="14" s="1"/>
  <c r="O110" i="5"/>
  <c r="G115" i="13" l="1"/>
  <c r="G115" i="14" s="1"/>
  <c r="Q111" i="13"/>
  <c r="O112" i="13"/>
  <c r="O112" i="14" s="1"/>
  <c r="L112" i="13"/>
  <c r="L112" i="14" s="1"/>
  <c r="O111" i="5"/>
  <c r="I104" i="4"/>
  <c r="L113" i="13" l="1"/>
  <c r="L113" i="14" s="1"/>
  <c r="Q112" i="13"/>
  <c r="O113" i="13"/>
  <c r="O113" i="14" s="1"/>
  <c r="G116" i="13"/>
  <c r="G116" i="14" s="1"/>
  <c r="I100" i="13"/>
  <c r="G117" i="13" l="1"/>
  <c r="G117" i="14" s="1"/>
  <c r="Q113" i="13"/>
  <c r="O114" i="13"/>
  <c r="O114" i="14" s="1"/>
  <c r="L114" i="13"/>
  <c r="L114" i="14" s="1"/>
  <c r="I101" i="13"/>
  <c r="L115" i="13" l="1"/>
  <c r="L115" i="14" s="1"/>
  <c r="Q114" i="13"/>
  <c r="O115" i="13"/>
  <c r="O115" i="14" s="1"/>
  <c r="G118" i="13"/>
  <c r="G118" i="14" s="1"/>
  <c r="I102" i="13"/>
  <c r="G119" i="13" l="1"/>
  <c r="G119" i="14" s="1"/>
  <c r="O116" i="13"/>
  <c r="O116" i="14" s="1"/>
  <c r="Q115" i="13"/>
  <c r="L116" i="13"/>
  <c r="L116" i="14" s="1"/>
  <c r="I103" i="13"/>
  <c r="Q116" i="13" l="1"/>
  <c r="O117" i="13"/>
  <c r="O117" i="14" s="1"/>
  <c r="L117" i="13"/>
  <c r="L117" i="14" s="1"/>
  <c r="G120" i="13"/>
  <c r="G120" i="14" s="1"/>
  <c r="I104" i="13"/>
  <c r="L118" i="13" l="1"/>
  <c r="L118" i="14" s="1"/>
  <c r="G121" i="13"/>
  <c r="G121" i="14" s="1"/>
  <c r="Q117" i="13"/>
  <c r="O118" i="13"/>
  <c r="O118" i="14" s="1"/>
  <c r="I105" i="13"/>
  <c r="G122" i="13" l="1"/>
  <c r="G122" i="14" s="1"/>
  <c r="Q118" i="13"/>
  <c r="O119" i="13"/>
  <c r="O119" i="14" s="1"/>
  <c r="L119" i="13"/>
  <c r="L119" i="14" s="1"/>
  <c r="I106" i="13"/>
  <c r="I117" i="13"/>
  <c r="I119" i="13"/>
  <c r="I109" i="13"/>
  <c r="I110" i="13"/>
  <c r="I108" i="13"/>
  <c r="I122" i="13"/>
  <c r="I120" i="13"/>
  <c r="I118" i="13"/>
  <c r="I121" i="13"/>
  <c r="I115" i="13"/>
  <c r="I113" i="13"/>
  <c r="I111" i="13"/>
  <c r="I114" i="13"/>
  <c r="I116" i="13"/>
  <c r="I112" i="13"/>
  <c r="I107" i="13"/>
  <c r="I106" i="14"/>
  <c r="I101" i="14"/>
  <c r="I105" i="14"/>
  <c r="I100" i="14"/>
  <c r="I103" i="14"/>
  <c r="I102" i="14"/>
  <c r="I104" i="14"/>
  <c r="I99" i="14"/>
  <c r="Q119" i="13" l="1"/>
  <c r="L120" i="13"/>
  <c r="L120" i="14" s="1"/>
  <c r="G123" i="13"/>
  <c r="O120" i="13"/>
  <c r="O120" i="14" s="1"/>
  <c r="I73" i="5"/>
  <c r="P66" i="5"/>
  <c r="I76" i="5"/>
  <c r="I74" i="5"/>
  <c r="I75" i="5"/>
  <c r="I78" i="5"/>
  <c r="I77" i="5"/>
  <c r="I79" i="5"/>
  <c r="I80" i="5"/>
  <c r="J76" i="5" l="1"/>
  <c r="I123" i="13"/>
  <c r="G123" i="14"/>
  <c r="G124" i="13"/>
  <c r="Q120" i="13"/>
  <c r="O121" i="13"/>
  <c r="O121" i="14" s="1"/>
  <c r="L121" i="13"/>
  <c r="L121" i="14" s="1"/>
  <c r="J80" i="5"/>
  <c r="J75" i="5"/>
  <c r="J79" i="5"/>
  <c r="J78" i="5"/>
  <c r="J77" i="5"/>
  <c r="J74" i="5"/>
  <c r="J73" i="5"/>
  <c r="AA6" i="5"/>
  <c r="AZ78" i="6"/>
  <c r="AZ76" i="6"/>
  <c r="P67" i="5"/>
  <c r="P65" i="5"/>
  <c r="P64" i="5"/>
  <c r="P63" i="5"/>
  <c r="I124" i="13" l="1"/>
  <c r="G124" i="14"/>
  <c r="Q121" i="13"/>
  <c r="L122" i="13"/>
  <c r="L122" i="14" s="1"/>
  <c r="G125" i="13"/>
  <c r="O122" i="13"/>
  <c r="O122" i="14" s="1"/>
  <c r="AX78" i="15"/>
  <c r="AX76" i="15"/>
  <c r="AZ77" i="6"/>
  <c r="AX77" i="15"/>
  <c r="AZ74" i="6"/>
  <c r="AX74" i="15"/>
  <c r="AZ75" i="6"/>
  <c r="AX75" i="15"/>
  <c r="AZ80" i="6"/>
  <c r="AX80" i="15"/>
  <c r="AZ73" i="6"/>
  <c r="AX73" i="15"/>
  <c r="AZ79" i="6"/>
  <c r="AX79" i="15"/>
  <c r="I125" i="13" l="1"/>
  <c r="G125" i="14"/>
  <c r="G126" i="13"/>
  <c r="Q122" i="13"/>
  <c r="O123" i="13"/>
  <c r="O123" i="14" s="1"/>
  <c r="L123" i="13"/>
  <c r="L123" i="14" s="1"/>
  <c r="D107" i="4"/>
  <c r="I126" i="13" l="1"/>
  <c r="G126" i="14"/>
  <c r="O124" i="13"/>
  <c r="O124" i="14" s="1"/>
  <c r="Q123" i="13"/>
  <c r="L124" i="13"/>
  <c r="L124" i="14" s="1"/>
  <c r="G127" i="13"/>
  <c r="G127" i="14" s="1"/>
  <c r="D108" i="4"/>
  <c r="I127" i="13" l="1"/>
  <c r="Q124" i="13"/>
  <c r="O125" i="13"/>
  <c r="O125" i="14" s="1"/>
  <c r="L125" i="13"/>
  <c r="L125" i="14" s="1"/>
  <c r="D109" i="4"/>
  <c r="O126" i="13" l="1"/>
  <c r="O126" i="14" s="1"/>
  <c r="Q125" i="13"/>
  <c r="L126" i="13"/>
  <c r="L126" i="14" s="1"/>
  <c r="D110" i="4"/>
  <c r="Q126" i="13" l="1"/>
  <c r="O127" i="13"/>
  <c r="O127" i="14" s="1"/>
  <c r="L127" i="13"/>
  <c r="L127" i="14" s="1"/>
  <c r="D111" i="4"/>
  <c r="Q127" i="13" l="1"/>
  <c r="D112" i="4"/>
  <c r="D113" i="4" l="1"/>
  <c r="D114" i="4" l="1"/>
  <c r="D115" i="4" l="1"/>
  <c r="D116" i="4" l="1"/>
  <c r="D117" i="4" l="1"/>
  <c r="D118" i="4" l="1"/>
  <c r="D119" i="4" l="1"/>
  <c r="D120" i="4" l="1"/>
  <c r="D121" i="4" l="1"/>
  <c r="D122" i="4" l="1"/>
  <c r="D123" i="4" l="1"/>
  <c r="D124" i="4" l="1"/>
  <c r="D125" i="4" l="1"/>
  <c r="D126" i="4" l="1"/>
  <c r="D127" i="4" l="1"/>
  <c r="G107" i="4"/>
  <c r="I107" i="14" s="1"/>
  <c r="L107" i="4"/>
  <c r="I81" i="5" l="1"/>
  <c r="G108" i="4"/>
  <c r="I108" i="14" s="1"/>
  <c r="I107" i="4"/>
  <c r="L108" i="4"/>
  <c r="AA7" i="5" l="1"/>
  <c r="J81" i="5"/>
  <c r="I82" i="5"/>
  <c r="G109" i="4"/>
  <c r="I109" i="14" s="1"/>
  <c r="I108" i="4"/>
  <c r="L109" i="4"/>
  <c r="AA8" i="5" l="1"/>
  <c r="J82" i="5"/>
  <c r="AX82" i="15"/>
  <c r="AX81" i="15"/>
  <c r="AZ81" i="6"/>
  <c r="I83" i="5"/>
  <c r="G110" i="4"/>
  <c r="I110" i="14" s="1"/>
  <c r="I109" i="4"/>
  <c r="L110" i="4"/>
  <c r="AA9" i="5" l="1"/>
  <c r="J83" i="5"/>
  <c r="AZ82" i="6"/>
  <c r="I84" i="5"/>
  <c r="J84" i="5" s="1"/>
  <c r="G111" i="4"/>
  <c r="I111" i="14" s="1"/>
  <c r="I110" i="4"/>
  <c r="L111" i="4"/>
  <c r="AA10" i="5" l="1"/>
  <c r="I85" i="5"/>
  <c r="AA11" i="5" s="1"/>
  <c r="G112" i="4"/>
  <c r="I112" i="14" s="1"/>
  <c r="I111" i="4"/>
  <c r="L112" i="4"/>
  <c r="J85" i="5" l="1"/>
  <c r="I86" i="5"/>
  <c r="G113" i="4"/>
  <c r="I113" i="14" s="1"/>
  <c r="I112" i="4"/>
  <c r="L113" i="4"/>
  <c r="AA12" i="5" l="1"/>
  <c r="J86" i="5"/>
  <c r="I87" i="5"/>
  <c r="G114" i="4"/>
  <c r="I114" i="14" s="1"/>
  <c r="I113" i="4"/>
  <c r="L114" i="4"/>
  <c r="AA13" i="5" l="1"/>
  <c r="J87" i="5"/>
  <c r="I88" i="5"/>
  <c r="G115" i="4"/>
  <c r="I115" i="14" s="1"/>
  <c r="I114" i="4"/>
  <c r="L115" i="4"/>
  <c r="AA14" i="5" l="1"/>
  <c r="J88" i="5"/>
  <c r="I89" i="5"/>
  <c r="G116" i="4"/>
  <c r="I116" i="14" s="1"/>
  <c r="I115" i="4"/>
  <c r="L116" i="4"/>
  <c r="AA15" i="5" l="1"/>
  <c r="J89" i="5"/>
  <c r="I90" i="5"/>
  <c r="G117" i="4"/>
  <c r="I117" i="14" s="1"/>
  <c r="I116" i="4"/>
  <c r="L117" i="4"/>
  <c r="AA16" i="5" l="1"/>
  <c r="J90" i="5"/>
  <c r="I91" i="5"/>
  <c r="G118" i="4"/>
  <c r="I118" i="14" s="1"/>
  <c r="I117" i="4"/>
  <c r="L118" i="4"/>
  <c r="AA17" i="5" l="1"/>
  <c r="J91" i="5"/>
  <c r="I92" i="5"/>
  <c r="G119" i="4"/>
  <c r="I119" i="14" s="1"/>
  <c r="I118" i="4"/>
  <c r="L119" i="4"/>
  <c r="AA18" i="5" l="1"/>
  <c r="J92" i="5"/>
  <c r="I93" i="5"/>
  <c r="G120" i="4"/>
  <c r="I120" i="14" s="1"/>
  <c r="I119" i="4"/>
  <c r="L120" i="4"/>
  <c r="AA19" i="5" l="1"/>
  <c r="J93" i="5"/>
  <c r="I94" i="5"/>
  <c r="G121" i="4"/>
  <c r="I121" i="14" s="1"/>
  <c r="I120" i="4"/>
  <c r="L121" i="4"/>
  <c r="AA20" i="5" l="1"/>
  <c r="J94" i="5"/>
  <c r="I95" i="5"/>
  <c r="G122" i="4"/>
  <c r="I122" i="14" s="1"/>
  <c r="I121" i="4"/>
  <c r="L122" i="4"/>
  <c r="AA21" i="5" l="1"/>
  <c r="J95" i="5"/>
  <c r="I96" i="5"/>
  <c r="G123" i="4"/>
  <c r="I123" i="14" s="1"/>
  <c r="I122" i="4"/>
  <c r="L123" i="4"/>
  <c r="AA22" i="5" l="1"/>
  <c r="J96" i="5"/>
  <c r="P107" i="5"/>
  <c r="I97" i="5"/>
  <c r="J97" i="5" s="1"/>
  <c r="G124" i="4"/>
  <c r="I124" i="14" s="1"/>
  <c r="I123" i="4"/>
  <c r="L124" i="4"/>
  <c r="AA23" i="5" l="1"/>
  <c r="I98" i="5"/>
  <c r="G125" i="4"/>
  <c r="I125" i="14" s="1"/>
  <c r="I124" i="4"/>
  <c r="L125" i="4"/>
  <c r="AA24" i="5" l="1"/>
  <c r="J98" i="5"/>
  <c r="P108" i="5"/>
  <c r="I99" i="5"/>
  <c r="J99" i="5" s="1"/>
  <c r="P109" i="5"/>
  <c r="G126" i="4"/>
  <c r="I126" i="14" s="1"/>
  <c r="I125" i="4"/>
  <c r="L126" i="4"/>
  <c r="AA25" i="5" l="1"/>
  <c r="I100" i="5"/>
  <c r="J100" i="5" s="1"/>
  <c r="P110" i="5"/>
  <c r="G127" i="4"/>
  <c r="I126" i="4"/>
  <c r="L127" i="4"/>
  <c r="O107" i="4"/>
  <c r="Q107" i="14" s="1"/>
  <c r="N91" i="5" s="1"/>
  <c r="P68" i="5" s="1"/>
  <c r="K100" i="5" l="1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40" i="5"/>
  <c r="AA39" i="5"/>
  <c r="AA41" i="5"/>
  <c r="AA43" i="5"/>
  <c r="AA42" i="5"/>
  <c r="AA45" i="5"/>
  <c r="AA44" i="5"/>
  <c r="AA47" i="5"/>
  <c r="AA46" i="5"/>
  <c r="AA48" i="5"/>
  <c r="K9" i="5"/>
  <c r="P105" i="5"/>
  <c r="I127" i="4"/>
  <c r="I127" i="14"/>
  <c r="O108" i="4"/>
  <c r="Q108" i="14" s="1"/>
  <c r="N92" i="5" s="1"/>
  <c r="P69" i="5" s="1"/>
  <c r="Q107" i="4"/>
  <c r="AB8" i="5" l="1" a="1"/>
  <c r="AB8" i="5" s="1"/>
  <c r="K84" i="5"/>
  <c r="K95" i="5"/>
  <c r="K63" i="5"/>
  <c r="K35" i="5"/>
  <c r="K87" i="5"/>
  <c r="K71" i="5"/>
  <c r="K53" i="5"/>
  <c r="K11" i="5"/>
  <c r="K96" i="5"/>
  <c r="K89" i="5"/>
  <c r="K73" i="5"/>
  <c r="K10" i="5"/>
  <c r="K65" i="5"/>
  <c r="K61" i="5"/>
  <c r="K44" i="5"/>
  <c r="K27" i="5"/>
  <c r="K20" i="5"/>
  <c r="K97" i="5"/>
  <c r="K98" i="5"/>
  <c r="K85" i="5"/>
  <c r="K88" i="5"/>
  <c r="K82" i="5"/>
  <c r="K75" i="5"/>
  <c r="K72" i="5"/>
  <c r="K69" i="5"/>
  <c r="K67" i="5"/>
  <c r="K60" i="5"/>
  <c r="K57" i="5"/>
  <c r="K48" i="5"/>
  <c r="K38" i="5"/>
  <c r="K32" i="5"/>
  <c r="K26" i="5"/>
  <c r="K7" i="5"/>
  <c r="K6" i="5"/>
  <c r="K93" i="5"/>
  <c r="K91" i="5"/>
  <c r="K92" i="5"/>
  <c r="K94" i="5"/>
  <c r="K99" i="5"/>
  <c r="K90" i="5"/>
  <c r="K86" i="5"/>
  <c r="K83" i="5"/>
  <c r="K81" i="5"/>
  <c r="K74" i="5"/>
  <c r="K79" i="5"/>
  <c r="K77" i="5"/>
  <c r="K80" i="5"/>
  <c r="K78" i="5"/>
  <c r="K76" i="5"/>
  <c r="K70" i="5"/>
  <c r="K68" i="5"/>
  <c r="K66" i="5"/>
  <c r="K64" i="5"/>
  <c r="K62" i="5"/>
  <c r="K59" i="5"/>
  <c r="K56" i="5"/>
  <c r="K54" i="5"/>
  <c r="K50" i="5"/>
  <c r="K45" i="5"/>
  <c r="K42" i="5"/>
  <c r="K40" i="5"/>
  <c r="K34" i="5"/>
  <c r="K29" i="5"/>
  <c r="K28" i="5"/>
  <c r="K25" i="5"/>
  <c r="K14" i="5"/>
  <c r="K18" i="5"/>
  <c r="K17" i="5"/>
  <c r="K58" i="5"/>
  <c r="K55" i="5"/>
  <c r="K52" i="5"/>
  <c r="K51" i="5"/>
  <c r="K49" i="5"/>
  <c r="K47" i="5"/>
  <c r="K46" i="5"/>
  <c r="K43" i="5"/>
  <c r="K41" i="5"/>
  <c r="K39" i="5"/>
  <c r="K37" i="5"/>
  <c r="K36" i="5"/>
  <c r="K33" i="5"/>
  <c r="K31" i="5"/>
  <c r="K30" i="5"/>
  <c r="K23" i="5"/>
  <c r="K22" i="5"/>
  <c r="K21" i="5"/>
  <c r="K12" i="5"/>
  <c r="K24" i="5"/>
  <c r="K15" i="5"/>
  <c r="K8" i="5"/>
  <c r="K13" i="5"/>
  <c r="K16" i="5"/>
  <c r="K19" i="5"/>
  <c r="AB14" i="5" a="1"/>
  <c r="AB14" i="5" s="1"/>
  <c r="AB30" i="5" a="1"/>
  <c r="AB30" i="5" s="1"/>
  <c r="AB12" i="5" a="1"/>
  <c r="AB12" i="5" s="1"/>
  <c r="AB41" i="5" a="1"/>
  <c r="AB41" i="5" s="1"/>
  <c r="AB48" i="5" a="1"/>
  <c r="AB48" i="5" s="1"/>
  <c r="AB38" i="5" a="1"/>
  <c r="AB38" i="5" s="1"/>
  <c r="AB45" i="5" a="1"/>
  <c r="AB45" i="5" s="1"/>
  <c r="AB33" i="5" a="1"/>
  <c r="AB33" i="5" s="1"/>
  <c r="AB40" i="5" a="1"/>
  <c r="AB40" i="5" s="1"/>
  <c r="AB7" i="5" a="1"/>
  <c r="AB7" i="5" s="1"/>
  <c r="AB35" i="5" a="1"/>
  <c r="AB35" i="5" s="1"/>
  <c r="AB11" i="5" a="1"/>
  <c r="AB11" i="5" s="1"/>
  <c r="AB31" i="5" a="1"/>
  <c r="AB31" i="5" s="1"/>
  <c r="AB29" i="5" a="1"/>
  <c r="AB29" i="5" s="1"/>
  <c r="AB42" i="5" a="1"/>
  <c r="AB42" i="5" s="1"/>
  <c r="AB43" i="5" a="1"/>
  <c r="AB43" i="5" s="1"/>
  <c r="AB32" i="5" a="1"/>
  <c r="AB32" i="5" s="1"/>
  <c r="AB39" i="5" a="1"/>
  <c r="AB39" i="5" s="1"/>
  <c r="AB9" i="5" a="1"/>
  <c r="AB9" i="5" s="1"/>
  <c r="AB36" i="5" a="1"/>
  <c r="AB36" i="5" s="1"/>
  <c r="AB6" i="5" a="1"/>
  <c r="AB6" i="5" s="1"/>
  <c r="AC6" i="5" s="1"/>
  <c r="AB46" i="5" a="1"/>
  <c r="AB46" i="5" s="1"/>
  <c r="AB37" i="5" a="1"/>
  <c r="AB37" i="5" s="1"/>
  <c r="AB44" i="5" a="1"/>
  <c r="AB44" i="5" s="1"/>
  <c r="AB34" i="5" a="1"/>
  <c r="AB34" i="5" s="1"/>
  <c r="AB47" i="5" a="1"/>
  <c r="AB47" i="5" s="1"/>
  <c r="AB21" i="5" a="1"/>
  <c r="AB21" i="5" s="1"/>
  <c r="AB17" i="5" a="1"/>
  <c r="AB17" i="5" s="1"/>
  <c r="AB28" i="5" a="1"/>
  <c r="AB28" i="5" s="1"/>
  <c r="AB16" i="5" a="1"/>
  <c r="AB16" i="5" s="1"/>
  <c r="AB15" i="5" a="1"/>
  <c r="AB15" i="5" s="1"/>
  <c r="AB20" i="5" a="1"/>
  <c r="AB20" i="5" s="1"/>
  <c r="AB25" i="5" a="1"/>
  <c r="AB25" i="5" s="1"/>
  <c r="AB13" i="5" a="1"/>
  <c r="AB13" i="5" s="1"/>
  <c r="AB24" i="5" a="1"/>
  <c r="AB24" i="5" s="1"/>
  <c r="AB27" i="5" a="1"/>
  <c r="AB27" i="5" s="1"/>
  <c r="AB19" i="5" a="1"/>
  <c r="AB19" i="5" s="1"/>
  <c r="AB26" i="5" a="1"/>
  <c r="AB26" i="5" s="1"/>
  <c r="AB10" i="5" a="1"/>
  <c r="AB10" i="5" s="1"/>
  <c r="AB22" i="5" a="1"/>
  <c r="AB22" i="5" s="1"/>
  <c r="AB23" i="5" a="1"/>
  <c r="AB23" i="5" s="1"/>
  <c r="AB18" i="5" a="1"/>
  <c r="AB18" i="5" s="1"/>
  <c r="P111" i="5"/>
  <c r="P106" i="5"/>
  <c r="O109" i="4"/>
  <c r="Q109" i="14" s="1"/>
  <c r="N93" i="5" s="1"/>
  <c r="P70" i="5" s="1"/>
  <c r="Q108" i="4"/>
  <c r="AD6" i="5" l="1"/>
  <c r="AC7" i="5"/>
  <c r="AG28" i="5" a="1"/>
  <c r="AG28" i="5" s="1"/>
  <c r="AG34" i="5" a="1"/>
  <c r="AG34" i="5" s="1"/>
  <c r="AG37" i="5" a="1"/>
  <c r="AG37" i="5" s="1"/>
  <c r="AG32" i="5" a="1"/>
  <c r="AG32" i="5" s="1"/>
  <c r="AG42" i="5" a="1"/>
  <c r="AG42" i="5" s="1"/>
  <c r="AG31" i="5" a="1"/>
  <c r="AG31" i="5" s="1"/>
  <c r="AG35" i="5" a="1"/>
  <c r="AG35" i="5" s="1"/>
  <c r="AG40" i="5" a="1"/>
  <c r="AG40" i="5" s="1"/>
  <c r="AG45" i="5" a="1"/>
  <c r="AG45" i="5" s="1"/>
  <c r="AG48" i="5" a="1"/>
  <c r="AG48" i="5" s="1"/>
  <c r="AF26" i="5" a="1"/>
  <c r="AF26" i="5" s="1"/>
  <c r="AG27" i="5" a="1"/>
  <c r="AG27" i="5" s="1"/>
  <c r="AF47" i="5" a="1"/>
  <c r="AF47" i="5" s="1"/>
  <c r="AF44" i="5" a="1"/>
  <c r="AF44" i="5" s="1"/>
  <c r="AF46" i="5" a="1"/>
  <c r="AF46" i="5" s="1"/>
  <c r="AG36" i="5" a="1"/>
  <c r="AG36" i="5" s="1"/>
  <c r="AG39" i="5" a="1"/>
  <c r="AG39" i="5" s="1"/>
  <c r="AG43" i="5" a="1"/>
  <c r="AG43" i="5" s="1"/>
  <c r="AG29" i="5" a="1"/>
  <c r="AG29" i="5" s="1"/>
  <c r="AF33" i="5" a="1"/>
  <c r="AF33" i="5" s="1"/>
  <c r="AG38" i="5" a="1"/>
  <c r="AG38" i="5" s="1"/>
  <c r="AG41" i="5" a="1"/>
  <c r="AG41" i="5" s="1"/>
  <c r="AF30" i="5" a="1"/>
  <c r="AF30" i="5" s="1"/>
  <c r="AF45" i="5" a="1"/>
  <c r="AF45" i="5" s="1"/>
  <c r="AF37" i="5" a="1"/>
  <c r="AF37" i="5" s="1"/>
  <c r="AF43" i="5" a="1"/>
  <c r="AF43" i="5" s="1"/>
  <c r="AG47" i="5" a="1"/>
  <c r="AG47" i="5" s="1"/>
  <c r="AG30" i="5" a="1"/>
  <c r="AG30" i="5" s="1"/>
  <c r="AF27" i="5" a="1"/>
  <c r="AF27" i="5" s="1"/>
  <c r="AG46" i="5" a="1"/>
  <c r="AG46" i="5" s="1"/>
  <c r="AF38" i="5" a="1"/>
  <c r="AF38" i="5" s="1"/>
  <c r="AF31" i="5" a="1"/>
  <c r="AF31" i="5" s="1"/>
  <c r="AF42" i="5" a="1"/>
  <c r="AF42" i="5" s="1"/>
  <c r="AF29" i="5" a="1"/>
  <c r="AF29" i="5" s="1"/>
  <c r="AG33" i="5" a="1"/>
  <c r="AG33" i="5" s="1"/>
  <c r="AF41" i="5" a="1"/>
  <c r="AF41" i="5" s="1"/>
  <c r="AG44" i="5" a="1"/>
  <c r="AG44" i="5" s="1"/>
  <c r="AG26" i="5" a="1"/>
  <c r="AG26" i="5" s="1"/>
  <c r="AF36" i="5" a="1"/>
  <c r="AF36" i="5" s="1"/>
  <c r="AF39" i="5" a="1"/>
  <c r="AF39" i="5" s="1"/>
  <c r="AF32" i="5" a="1"/>
  <c r="AF32" i="5" s="1"/>
  <c r="AF35" i="5" a="1"/>
  <c r="AF35" i="5" s="1"/>
  <c r="AF40" i="5" a="1"/>
  <c r="AF40" i="5" s="1"/>
  <c r="AF28" i="5" a="1"/>
  <c r="AF28" i="5" s="1"/>
  <c r="AF34" i="5" a="1"/>
  <c r="AF34" i="5" s="1"/>
  <c r="AF48" i="5" a="1"/>
  <c r="AF48" i="5" s="1"/>
  <c r="AG18" i="5" a="1"/>
  <c r="AG18" i="5" s="1"/>
  <c r="AF18" i="5" a="1"/>
  <c r="AF18" i="5" s="1"/>
  <c r="AG22" i="5" a="1"/>
  <c r="AG22" i="5" s="1"/>
  <c r="AF22" i="5" a="1"/>
  <c r="AF22" i="5" s="1"/>
  <c r="AF8" i="5" a="1"/>
  <c r="AF8" i="5" s="1"/>
  <c r="AG8" i="5" a="1"/>
  <c r="AG8" i="5" s="1"/>
  <c r="AG19" i="5" a="1"/>
  <c r="AG19" i="5" s="1"/>
  <c r="AF19" i="5" a="1"/>
  <c r="AF19" i="5" s="1"/>
  <c r="AG24" i="5" a="1"/>
  <c r="AG24" i="5" s="1"/>
  <c r="AF24" i="5" a="1"/>
  <c r="AF24" i="5" s="1"/>
  <c r="AG25" i="5" a="1"/>
  <c r="AG25" i="5" s="1"/>
  <c r="AF25" i="5" a="1"/>
  <c r="AF25" i="5" s="1"/>
  <c r="AG15" i="5" a="1"/>
  <c r="AG15" i="5" s="1"/>
  <c r="AF15" i="5" a="1"/>
  <c r="AF15" i="5" s="1"/>
  <c r="AG21" i="5" a="1"/>
  <c r="AG21" i="5" s="1"/>
  <c r="AF21" i="5" a="1"/>
  <c r="AF21" i="5" s="1"/>
  <c r="AF6" i="5" a="1"/>
  <c r="AF6" i="5" s="1"/>
  <c r="AG6" i="5" a="1"/>
  <c r="AG6" i="5" s="1"/>
  <c r="AG9" i="5" a="1"/>
  <c r="AG9" i="5" s="1"/>
  <c r="AF9" i="5" a="1"/>
  <c r="AF9" i="5" s="1"/>
  <c r="AG12" i="5" a="1"/>
  <c r="AG12" i="5" s="1"/>
  <c r="AF12" i="5" a="1"/>
  <c r="AF12" i="5" s="1"/>
  <c r="AG14" i="5" a="1"/>
  <c r="AG14" i="5" s="1"/>
  <c r="AF14" i="5" a="1"/>
  <c r="AF14" i="5" s="1"/>
  <c r="AG23" i="5" a="1"/>
  <c r="AG23" i="5" s="1"/>
  <c r="AF23" i="5" a="1"/>
  <c r="AF23" i="5" s="1"/>
  <c r="AG10" i="5" a="1"/>
  <c r="AG10" i="5" s="1"/>
  <c r="AF10" i="5" a="1"/>
  <c r="AF10" i="5" s="1"/>
  <c r="AG13" i="5" a="1"/>
  <c r="AG13" i="5" s="1"/>
  <c r="AF13" i="5" a="1"/>
  <c r="AF13" i="5" s="1"/>
  <c r="AG20" i="5" a="1"/>
  <c r="AG20" i="5" s="1"/>
  <c r="AF20" i="5" a="1"/>
  <c r="AF20" i="5" s="1"/>
  <c r="AG16" i="5" a="1"/>
  <c r="AG16" i="5" s="1"/>
  <c r="AF16" i="5" a="1"/>
  <c r="AF16" i="5" s="1"/>
  <c r="AG17" i="5" a="1"/>
  <c r="AG17" i="5" s="1"/>
  <c r="AF17" i="5" a="1"/>
  <c r="AF17" i="5" s="1"/>
  <c r="AF11" i="5" a="1"/>
  <c r="AF11" i="5" s="1"/>
  <c r="AG11" i="5" a="1"/>
  <c r="AG11" i="5" s="1"/>
  <c r="AG7" i="5" a="1"/>
  <c r="AG7" i="5" s="1"/>
  <c r="AF7" i="5" a="1"/>
  <c r="AF7" i="5" s="1"/>
  <c r="O110" i="4"/>
  <c r="Q110" i="14" s="1"/>
  <c r="N94" i="5" s="1"/>
  <c r="P71" i="5" s="1"/>
  <c r="Q109" i="4"/>
  <c r="AD7" i="5" l="1"/>
  <c r="AC8" i="5"/>
  <c r="AE7" i="5"/>
  <c r="O111" i="4"/>
  <c r="Q111" i="14" s="1"/>
  <c r="N95" i="5" s="1"/>
  <c r="P72" i="5" s="1"/>
  <c r="Q110" i="4"/>
  <c r="AC9" i="5" l="1"/>
  <c r="AD8" i="5"/>
  <c r="AE8" i="5"/>
  <c r="O112" i="4"/>
  <c r="Q112" i="14" s="1"/>
  <c r="N96" i="5" s="1"/>
  <c r="P73" i="5" s="1"/>
  <c r="Q111" i="4"/>
  <c r="AC10" i="5" l="1"/>
  <c r="AD9" i="5"/>
  <c r="AE9" i="5"/>
  <c r="O113" i="4"/>
  <c r="Q113" i="14" s="1"/>
  <c r="N97" i="5" s="1"/>
  <c r="P74" i="5" s="1"/>
  <c r="Q112" i="4"/>
  <c r="AC11" i="5" l="1"/>
  <c r="AD10" i="5"/>
  <c r="AE10" i="5"/>
  <c r="O114" i="4"/>
  <c r="Q114" i="14" s="1"/>
  <c r="N98" i="5" s="1"/>
  <c r="P75" i="5" s="1"/>
  <c r="Q113" i="4"/>
  <c r="AC12" i="5" l="1"/>
  <c r="AD11" i="5"/>
  <c r="AE11" i="5"/>
  <c r="O115" i="4"/>
  <c r="Q115" i="14" s="1"/>
  <c r="N99" i="5" s="1"/>
  <c r="P76" i="5" s="1"/>
  <c r="Q114" i="4"/>
  <c r="AC13" i="5" l="1"/>
  <c r="AD12" i="5"/>
  <c r="AE12" i="5"/>
  <c r="O116" i="4"/>
  <c r="Q116" i="14" s="1"/>
  <c r="N100" i="5" s="1"/>
  <c r="P77" i="5" s="1"/>
  <c r="Q115" i="4"/>
  <c r="AC14" i="5" l="1"/>
  <c r="AD13" i="5"/>
  <c r="AE13" i="5"/>
  <c r="O117" i="4"/>
  <c r="Q117" i="14" s="1"/>
  <c r="N101" i="5" s="1"/>
  <c r="P78" i="5" s="1"/>
  <c r="Q116" i="4"/>
  <c r="AC15" i="5" l="1"/>
  <c r="AD14" i="5"/>
  <c r="AE14" i="5"/>
  <c r="O118" i="4"/>
  <c r="Q118" i="14" s="1"/>
  <c r="N102" i="5" s="1"/>
  <c r="P79" i="5" s="1"/>
  <c r="Q117" i="4"/>
  <c r="AC16" i="5" l="1"/>
  <c r="AD15" i="5"/>
  <c r="AE15" i="5"/>
  <c r="O119" i="4"/>
  <c r="Q119" i="14" s="1"/>
  <c r="N103" i="5" s="1"/>
  <c r="P80" i="5" s="1"/>
  <c r="Q118" i="4"/>
  <c r="AC17" i="5" l="1"/>
  <c r="AD16" i="5"/>
  <c r="AE16" i="5"/>
  <c r="O120" i="4"/>
  <c r="Q120" i="14" s="1"/>
  <c r="N104" i="5" s="1"/>
  <c r="P81" i="5" s="1"/>
  <c r="Q119" i="4"/>
  <c r="BV6" i="5" l="1"/>
  <c r="CD6" i="5"/>
  <c r="BM6" i="5" a="1"/>
  <c r="BM6" i="5" s="1"/>
  <c r="BN6" i="5" s="1"/>
  <c r="CV6" i="5" s="1"/>
  <c r="BG6" i="5"/>
  <c r="BC6" i="5" a="1"/>
  <c r="BC6" i="5" s="1"/>
  <c r="BD6" i="5" s="1"/>
  <c r="CQ6" i="5" s="1"/>
  <c r="AC18" i="5"/>
  <c r="AD17" i="5"/>
  <c r="AE17" i="5"/>
  <c r="AX6" i="5" a="1"/>
  <c r="AX6" i="5" s="1"/>
  <c r="AY6" i="5" s="1"/>
  <c r="AI6" i="5"/>
  <c r="O121" i="4"/>
  <c r="Q121" i="14" s="1"/>
  <c r="N105" i="5" s="1"/>
  <c r="Q120" i="4"/>
  <c r="AT6" i="5" l="1"/>
  <c r="CK6" i="5" s="1"/>
  <c r="AC19" i="5"/>
  <c r="AD18" i="5"/>
  <c r="AE18" i="5"/>
  <c r="P92" i="5"/>
  <c r="P82" i="5"/>
  <c r="BJ6" i="5"/>
  <c r="CT6" i="5" s="1"/>
  <c r="BI6" i="5"/>
  <c r="CS6" i="5" s="1"/>
  <c r="BH6" i="5"/>
  <c r="CR6" i="5" s="1"/>
  <c r="CL6" i="5"/>
  <c r="CO6" i="5"/>
  <c r="O122" i="4"/>
  <c r="Q122" i="14" s="1"/>
  <c r="N106" i="5" s="1"/>
  <c r="Q121" i="4"/>
  <c r="BV7" i="5" l="1"/>
  <c r="BG7" i="5"/>
  <c r="CD7" i="5"/>
  <c r="BC7" i="5" a="1"/>
  <c r="BC7" i="5" s="1"/>
  <c r="BD7" i="5" s="1"/>
  <c r="CQ7" i="5" s="1"/>
  <c r="BM7" i="5" a="1"/>
  <c r="BM7" i="5" s="1"/>
  <c r="BN7" i="5" s="1"/>
  <c r="CV7" i="5" s="1"/>
  <c r="AC20" i="5"/>
  <c r="AD19" i="5"/>
  <c r="AE19" i="5"/>
  <c r="AX7" i="5" a="1"/>
  <c r="AX7" i="5" s="1"/>
  <c r="AY7" i="5" s="1"/>
  <c r="AI7" i="5"/>
  <c r="P93" i="5"/>
  <c r="P83" i="5"/>
  <c r="O123" i="4"/>
  <c r="Q123" i="14" s="1"/>
  <c r="N107" i="5" s="1"/>
  <c r="Q122" i="4"/>
  <c r="AT7" i="5" l="1"/>
  <c r="CK7" i="5" s="1"/>
  <c r="CD8" i="5"/>
  <c r="BG8" i="5"/>
  <c r="BH8" i="5" s="1"/>
  <c r="CR8" i="5" s="1"/>
  <c r="BV8" i="5"/>
  <c r="BM8" i="5" a="1"/>
  <c r="BM8" i="5" s="1"/>
  <c r="BN8" i="5" s="1"/>
  <c r="CV8" i="5" s="1"/>
  <c r="BC8" i="5" a="1"/>
  <c r="BC8" i="5" s="1"/>
  <c r="BD8" i="5" s="1"/>
  <c r="CQ8" i="5" s="1"/>
  <c r="AC21" i="5"/>
  <c r="AD20" i="5"/>
  <c r="AE20" i="5"/>
  <c r="AI8" i="5"/>
  <c r="AX8" i="5" a="1"/>
  <c r="AX8" i="5" s="1"/>
  <c r="AY8" i="5" s="1"/>
  <c r="CO8" i="5" s="1"/>
  <c r="P94" i="5"/>
  <c r="P84" i="5"/>
  <c r="AI9" i="5" s="1"/>
  <c r="BJ7" i="5"/>
  <c r="CT7" i="5" s="1"/>
  <c r="BH7" i="5"/>
  <c r="CR7" i="5" s="1"/>
  <c r="BI7" i="5"/>
  <c r="CS7" i="5" s="1"/>
  <c r="CO7" i="5"/>
  <c r="CL7" i="5"/>
  <c r="O124" i="4"/>
  <c r="Q124" i="14" s="1"/>
  <c r="N108" i="5" s="1"/>
  <c r="Q123" i="4"/>
  <c r="AT8" i="5" l="1"/>
  <c r="CK8" i="5" s="1"/>
  <c r="BV9" i="5"/>
  <c r="BG9" i="5"/>
  <c r="CD9" i="5"/>
  <c r="BM9" i="5" a="1"/>
  <c r="BM9" i="5" s="1"/>
  <c r="BN9" i="5" s="1"/>
  <c r="CV9" i="5" s="1"/>
  <c r="BC9" i="5" a="1"/>
  <c r="BC9" i="5" s="1"/>
  <c r="BD9" i="5" s="1"/>
  <c r="CQ9" i="5" s="1"/>
  <c r="AC22" i="5"/>
  <c r="AD21" i="5"/>
  <c r="AE21" i="5"/>
  <c r="AT9" i="5"/>
  <c r="CK9" i="5" s="1"/>
  <c r="AX9" i="5" a="1"/>
  <c r="AX9" i="5" s="1"/>
  <c r="AY9" i="5" s="1"/>
  <c r="CL8" i="5"/>
  <c r="BI8" i="5"/>
  <c r="CS8" i="5" s="1"/>
  <c r="BJ8" i="5"/>
  <c r="CT8" i="5" s="1"/>
  <c r="P95" i="5"/>
  <c r="P85" i="5"/>
  <c r="O125" i="4"/>
  <c r="Q125" i="14" s="1"/>
  <c r="N109" i="5" s="1"/>
  <c r="Q124" i="4"/>
  <c r="CD10" i="5" l="1"/>
  <c r="BG10" i="5"/>
  <c r="BJ10" i="5" s="1"/>
  <c r="CT10" i="5" s="1"/>
  <c r="BV10" i="5"/>
  <c r="BM10" i="5" a="1"/>
  <c r="BM10" i="5" s="1"/>
  <c r="BN10" i="5" s="1"/>
  <c r="CV10" i="5" s="1"/>
  <c r="BC10" i="5" a="1"/>
  <c r="BC10" i="5" s="1"/>
  <c r="BD10" i="5" s="1"/>
  <c r="CQ10" i="5" s="1"/>
  <c r="AC23" i="5"/>
  <c r="AD22" i="5"/>
  <c r="AE22" i="5"/>
  <c r="AX10" i="5" a="1"/>
  <c r="AX10" i="5" s="1"/>
  <c r="AY10" i="5" s="1"/>
  <c r="AI10" i="5"/>
  <c r="P96" i="5"/>
  <c r="P86" i="5"/>
  <c r="BH9" i="5"/>
  <c r="CR9" i="5" s="1"/>
  <c r="BI9" i="5"/>
  <c r="CS9" i="5" s="1"/>
  <c r="BJ9" i="5"/>
  <c r="CT9" i="5" s="1"/>
  <c r="CO9" i="5"/>
  <c r="CL9" i="5"/>
  <c r="P99" i="5"/>
  <c r="P89" i="5"/>
  <c r="O126" i="4"/>
  <c r="Q126" i="14" s="1"/>
  <c r="N110" i="5" s="1"/>
  <c r="Q125" i="4"/>
  <c r="AT10" i="5" l="1"/>
  <c r="CK10" i="5" s="1"/>
  <c r="CD11" i="5"/>
  <c r="BC11" i="5" a="1"/>
  <c r="BC11" i="5" s="1"/>
  <c r="BD11" i="5" s="1"/>
  <c r="CQ11" i="5" s="1"/>
  <c r="BG11" i="5"/>
  <c r="BJ11" i="5" s="1"/>
  <c r="CT11" i="5" s="1"/>
  <c r="BV11" i="5"/>
  <c r="BM11" i="5" a="1"/>
  <c r="BM11" i="5" s="1"/>
  <c r="BN11" i="5" s="1"/>
  <c r="CV11" i="5" s="1"/>
  <c r="AC24" i="5"/>
  <c r="AD23" i="5"/>
  <c r="AE23" i="5"/>
  <c r="P102" i="5"/>
  <c r="AX11" i="5" a="1"/>
  <c r="AX11" i="5" s="1"/>
  <c r="AY11" i="5" s="1"/>
  <c r="CO11" i="5" s="1"/>
  <c r="AI11" i="5"/>
  <c r="BI10" i="5"/>
  <c r="CS10" i="5" s="1"/>
  <c r="BH10" i="5"/>
  <c r="CR10" i="5" s="1"/>
  <c r="P97" i="5"/>
  <c r="P87" i="5"/>
  <c r="CO10" i="5"/>
  <c r="CL10" i="5"/>
  <c r="P100" i="5"/>
  <c r="P90" i="5"/>
  <c r="O127" i="4"/>
  <c r="Q126" i="4"/>
  <c r="AT11" i="5" l="1"/>
  <c r="CK11" i="5" s="1"/>
  <c r="BC12" i="5" a="1"/>
  <c r="BC12" i="5" s="1"/>
  <c r="BD12" i="5" s="1"/>
  <c r="CQ12" i="5" s="1"/>
  <c r="BV12" i="5"/>
  <c r="CD12" i="5"/>
  <c r="BG12" i="5"/>
  <c r="BM12" i="5" a="1"/>
  <c r="BM12" i="5" s="1"/>
  <c r="BN12" i="5" s="1"/>
  <c r="CV12" i="5" s="1"/>
  <c r="AC25" i="5"/>
  <c r="AD24" i="5"/>
  <c r="AE24" i="5"/>
  <c r="BH11" i="5"/>
  <c r="CR11" i="5" s="1"/>
  <c r="AI12" i="5"/>
  <c r="AX12" i="5" a="1"/>
  <c r="AX12" i="5" s="1"/>
  <c r="AY12" i="5" s="1"/>
  <c r="BI11" i="5"/>
  <c r="CS11" i="5" s="1"/>
  <c r="CL11" i="5"/>
  <c r="Q127" i="4"/>
  <c r="Q127" i="14"/>
  <c r="N111" i="5" s="1"/>
  <c r="AT12" i="5" l="1"/>
  <c r="CK12" i="5" s="1"/>
  <c r="AC26" i="5"/>
  <c r="AD25" i="5"/>
  <c r="AE25" i="5"/>
  <c r="P104" i="5"/>
  <c r="P103" i="5"/>
  <c r="P98" i="5"/>
  <c r="P88" i="5"/>
  <c r="BI12" i="5"/>
  <c r="CS12" i="5" s="1"/>
  <c r="BH12" i="5"/>
  <c r="CR12" i="5" s="1"/>
  <c r="BJ12" i="5"/>
  <c r="CT12" i="5" s="1"/>
  <c r="CO12" i="5"/>
  <c r="CL12" i="5"/>
  <c r="P101" i="5"/>
  <c r="P91" i="5"/>
  <c r="AI44" i="5" l="1"/>
  <c r="AI61" i="5"/>
  <c r="CD91" i="5"/>
  <c r="BV91" i="5"/>
  <c r="BM16" i="5" a="1"/>
  <c r="BM16" i="5" s="1"/>
  <c r="BV16" i="5"/>
  <c r="BG16" i="5"/>
  <c r="CD16" i="5"/>
  <c r="BC16" i="5" a="1"/>
  <c r="BC16" i="5" s="1"/>
  <c r="BD16" i="5" s="1"/>
  <c r="CQ16" i="5" s="1"/>
  <c r="BC17" i="5" a="1"/>
  <c r="BC17" i="5" s="1"/>
  <c r="BD17" i="5" s="1"/>
  <c r="CQ17" i="5" s="1"/>
  <c r="BG17" i="5"/>
  <c r="BM17" i="5" a="1"/>
  <c r="BM17" i="5" s="1"/>
  <c r="CD17" i="5"/>
  <c r="BV17" i="5"/>
  <c r="BV90" i="5"/>
  <c r="BV18" i="5"/>
  <c r="BG18" i="5"/>
  <c r="BC18" i="5" a="1"/>
  <c r="BC18" i="5" s="1"/>
  <c r="BD18" i="5" s="1"/>
  <c r="CQ18" i="5" s="1"/>
  <c r="CD18" i="5"/>
  <c r="BM18" i="5" a="1"/>
  <c r="BM18" i="5" s="1"/>
  <c r="CD90" i="5"/>
  <c r="CD89" i="5"/>
  <c r="BV89" i="5"/>
  <c r="CD98" i="5"/>
  <c r="BV98" i="5"/>
  <c r="BM23" i="5" a="1"/>
  <c r="BM23" i="5" s="1"/>
  <c r="BN23" i="5" s="1"/>
  <c r="CV23" i="5" s="1"/>
  <c r="CD23" i="5"/>
  <c r="BV23" i="5"/>
  <c r="BG23" i="5"/>
  <c r="BC23" i="5" a="1"/>
  <c r="BC23" i="5" s="1"/>
  <c r="BD23" i="5" s="1"/>
  <c r="CQ23" i="5" s="1"/>
  <c r="CD97" i="5"/>
  <c r="CD95" i="5"/>
  <c r="BV95" i="5"/>
  <c r="BV96" i="5"/>
  <c r="CD96" i="5"/>
  <c r="BV97" i="5"/>
  <c r="BV94" i="5"/>
  <c r="CD94" i="5"/>
  <c r="BG42" i="5"/>
  <c r="BJ42" i="5" s="1"/>
  <c r="CT42" i="5" s="1"/>
  <c r="BC33" i="5" a="1"/>
  <c r="BC33" i="5" s="1"/>
  <c r="BD33" i="5" s="1"/>
  <c r="CQ33" i="5" s="1"/>
  <c r="CD32" i="5"/>
  <c r="BG45" i="5"/>
  <c r="BC43" i="5" a="1"/>
  <c r="BC43" i="5" s="1"/>
  <c r="BD43" i="5" s="1"/>
  <c r="CQ43" i="5" s="1"/>
  <c r="BV67" i="5"/>
  <c r="BV46" i="5"/>
  <c r="BM45" i="5" a="1"/>
  <c r="BM45" i="5" s="1"/>
  <c r="BN45" i="5" s="1"/>
  <c r="CV45" i="5" s="1"/>
  <c r="BG46" i="5"/>
  <c r="BJ46" i="5" s="1"/>
  <c r="CT46" i="5" s="1"/>
  <c r="BG38" i="5"/>
  <c r="BJ38" i="5" s="1"/>
  <c r="CT38" i="5" s="1"/>
  <c r="CD46" i="5"/>
  <c r="BM31" i="5" a="1"/>
  <c r="BM31" i="5" s="1"/>
  <c r="BN31" i="5" s="1"/>
  <c r="CV31" i="5" s="1"/>
  <c r="BV31" i="5"/>
  <c r="BM35" i="5" a="1"/>
  <c r="BM35" i="5" s="1"/>
  <c r="BN35" i="5" s="1"/>
  <c r="CV35" i="5" s="1"/>
  <c r="CD67" i="5"/>
  <c r="CD58" i="5"/>
  <c r="BV65" i="5"/>
  <c r="CD33" i="5"/>
  <c r="BV39" i="5"/>
  <c r="CD38" i="5"/>
  <c r="BM47" i="5" a="1"/>
  <c r="BM47" i="5" s="1"/>
  <c r="BN47" i="5" s="1"/>
  <c r="CV47" i="5" s="1"/>
  <c r="CD68" i="5"/>
  <c r="BM30" i="5" a="1"/>
  <c r="BM30" i="5" s="1"/>
  <c r="BN30" i="5" s="1"/>
  <c r="CV30" i="5" s="1"/>
  <c r="BC39" i="5" a="1"/>
  <c r="BC39" i="5" s="1"/>
  <c r="BD39" i="5" s="1"/>
  <c r="CQ39" i="5" s="1"/>
  <c r="BM38" i="5" a="1"/>
  <c r="BM38" i="5" s="1"/>
  <c r="BN38" i="5" s="1"/>
  <c r="CV38" i="5" s="1"/>
  <c r="CD55" i="5"/>
  <c r="CD30" i="5"/>
  <c r="CD65" i="5"/>
  <c r="BV68" i="5"/>
  <c r="CD62" i="5"/>
  <c r="CD69" i="5"/>
  <c r="BV62" i="5"/>
  <c r="BC29" i="5" a="1"/>
  <c r="BC29" i="5" s="1"/>
  <c r="BD29" i="5" s="1"/>
  <c r="CQ29" i="5" s="1"/>
  <c r="BV63" i="5"/>
  <c r="BV55" i="5"/>
  <c r="BV50" i="5"/>
  <c r="BC41" i="5" a="1"/>
  <c r="BC41" i="5" s="1"/>
  <c r="BD41" i="5" s="1"/>
  <c r="CQ41" i="5" s="1"/>
  <c r="BV60" i="5"/>
  <c r="BV66" i="5"/>
  <c r="BV70" i="5"/>
  <c r="BM40" i="5" a="1"/>
  <c r="BM40" i="5" s="1"/>
  <c r="BN40" i="5" s="1"/>
  <c r="CV40" i="5" s="1"/>
  <c r="BC36" i="5" a="1"/>
  <c r="BC36" i="5" s="1"/>
  <c r="BD36" i="5" s="1"/>
  <c r="CQ36" i="5" s="1"/>
  <c r="BV45" i="5"/>
  <c r="CD39" i="5"/>
  <c r="BV38" i="5"/>
  <c r="BM43" i="5" a="1"/>
  <c r="BM43" i="5" s="1"/>
  <c r="BN43" i="5" s="1"/>
  <c r="CV43" i="5" s="1"/>
  <c r="BV64" i="5"/>
  <c r="CD51" i="5"/>
  <c r="BG30" i="5"/>
  <c r="BJ30" i="5" s="1"/>
  <c r="CT30" i="5" s="1"/>
  <c r="BV32" i="5"/>
  <c r="CD34" i="5"/>
  <c r="CD53" i="5"/>
  <c r="BV34" i="5"/>
  <c r="BV61" i="5"/>
  <c r="CD63" i="5"/>
  <c r="BV71" i="5"/>
  <c r="CD52" i="5"/>
  <c r="CD41" i="5"/>
  <c r="BG31" i="5"/>
  <c r="BH31" i="5" s="1"/>
  <c r="CR31" i="5" s="1"/>
  <c r="BC44" i="5" a="1"/>
  <c r="BC44" i="5" s="1"/>
  <c r="BD44" i="5" s="1"/>
  <c r="CQ44" i="5" s="1"/>
  <c r="BV51" i="5"/>
  <c r="BC42" i="5" a="1"/>
  <c r="BC42" i="5" s="1"/>
  <c r="BD42" i="5" s="1"/>
  <c r="CQ42" i="5" s="1"/>
  <c r="BG37" i="5"/>
  <c r="BI37" i="5" s="1"/>
  <c r="CS37" i="5" s="1"/>
  <c r="BM48" i="5" a="1"/>
  <c r="BM48" i="5" s="1"/>
  <c r="BN48" i="5" s="1"/>
  <c r="CV48" i="5" s="1"/>
  <c r="BV56" i="5"/>
  <c r="CD66" i="5"/>
  <c r="BV40" i="5"/>
  <c r="BV53" i="5"/>
  <c r="BV72" i="5"/>
  <c r="BV58" i="5"/>
  <c r="CD64" i="5"/>
  <c r="CD37" i="5"/>
  <c r="BM44" i="5" a="1"/>
  <c r="BM44" i="5" s="1"/>
  <c r="BN44" i="5" s="1"/>
  <c r="CV44" i="5" s="1"/>
  <c r="BV52" i="5"/>
  <c r="BC38" i="5" a="1"/>
  <c r="BC38" i="5" s="1"/>
  <c r="BD38" i="5" s="1"/>
  <c r="CQ38" i="5" s="1"/>
  <c r="BG35" i="5"/>
  <c r="BI35" i="5" s="1"/>
  <c r="CS35" i="5" s="1"/>
  <c r="CD49" i="5"/>
  <c r="BV54" i="5"/>
  <c r="BM41" i="5" a="1"/>
  <c r="BM41" i="5" s="1"/>
  <c r="BN41" i="5" s="1"/>
  <c r="CV41" i="5" s="1"/>
  <c r="CD70" i="5"/>
  <c r="BV42" i="5"/>
  <c r="BM39" i="5" a="1"/>
  <c r="BM39" i="5" s="1"/>
  <c r="BN39" i="5" s="1"/>
  <c r="CV39" i="5" s="1"/>
  <c r="BC40" i="5" a="1"/>
  <c r="BC40" i="5" s="1"/>
  <c r="BD40" i="5" s="1"/>
  <c r="CQ40" i="5" s="1"/>
  <c r="CD50" i="5"/>
  <c r="CD44" i="5"/>
  <c r="BG32" i="5"/>
  <c r="BJ32" i="5" s="1"/>
  <c r="CT32" i="5" s="1"/>
  <c r="CD60" i="5"/>
  <c r="CD36" i="5"/>
  <c r="BC32" i="5" a="1"/>
  <c r="BC32" i="5" s="1"/>
  <c r="BD32" i="5" s="1"/>
  <c r="CQ32" i="5" s="1"/>
  <c r="BC48" i="5" a="1"/>
  <c r="BC48" i="5" s="1"/>
  <c r="BD48" i="5" s="1"/>
  <c r="CQ48" i="5" s="1"/>
  <c r="BV29" i="5"/>
  <c r="BM32" i="5" a="1"/>
  <c r="BM32" i="5" s="1"/>
  <c r="BN32" i="5" s="1"/>
  <c r="CV32" i="5" s="1"/>
  <c r="BM42" i="5" a="1"/>
  <c r="BM42" i="5" s="1"/>
  <c r="BN42" i="5" s="1"/>
  <c r="CV42" i="5" s="1"/>
  <c r="BV48" i="5"/>
  <c r="BV37" i="5"/>
  <c r="BC34" i="5" a="1"/>
  <c r="BC34" i="5" s="1"/>
  <c r="BD34" i="5" s="1"/>
  <c r="CQ34" i="5" s="1"/>
  <c r="CD61" i="5"/>
  <c r="BC47" i="5" a="1"/>
  <c r="BC47" i="5" s="1"/>
  <c r="BD47" i="5" s="1"/>
  <c r="CQ47" i="5" s="1"/>
  <c r="BM46" i="5" a="1"/>
  <c r="BM46" i="5" s="1"/>
  <c r="BN46" i="5" s="1"/>
  <c r="CV46" i="5" s="1"/>
  <c r="BC35" i="5" a="1"/>
  <c r="BC35" i="5" s="1"/>
  <c r="BD35" i="5" s="1"/>
  <c r="CQ35" i="5" s="1"/>
  <c r="BC30" i="5" a="1"/>
  <c r="BC30" i="5" s="1"/>
  <c r="BD30" i="5" s="1"/>
  <c r="CQ30" i="5" s="1"/>
  <c r="CD57" i="5"/>
  <c r="BV43" i="5"/>
  <c r="BM33" i="5" a="1"/>
  <c r="BM33" i="5" s="1"/>
  <c r="BN33" i="5" s="1"/>
  <c r="CV33" i="5" s="1"/>
  <c r="BV57" i="5"/>
  <c r="BV47" i="5"/>
  <c r="BG39" i="5"/>
  <c r="BJ39" i="5" s="1"/>
  <c r="CT39" i="5" s="1"/>
  <c r="CD54" i="5"/>
  <c r="BV41" i="5"/>
  <c r="BV35" i="5"/>
  <c r="BG48" i="5"/>
  <c r="BH48" i="5" s="1"/>
  <c r="CR48" i="5" s="1"/>
  <c r="CD40" i="5"/>
  <c r="CD74" i="5"/>
  <c r="CD48" i="5"/>
  <c r="BV30" i="5"/>
  <c r="BG47" i="5"/>
  <c r="BJ47" i="5" s="1"/>
  <c r="CT47" i="5" s="1"/>
  <c r="BV59" i="5"/>
  <c r="CD43" i="5"/>
  <c r="BM36" i="5" a="1"/>
  <c r="BM36" i="5" s="1"/>
  <c r="BN36" i="5" s="1"/>
  <c r="CV36" i="5" s="1"/>
  <c r="CD72" i="5"/>
  <c r="BV44" i="5"/>
  <c r="BV36" i="5"/>
  <c r="CD45" i="5"/>
  <c r="CD31" i="5"/>
  <c r="BC45" i="5" a="1"/>
  <c r="BC45" i="5" s="1"/>
  <c r="BD45" i="5" s="1"/>
  <c r="CQ45" i="5" s="1"/>
  <c r="CD35" i="5"/>
  <c r="BV49" i="5"/>
  <c r="CD71" i="5"/>
  <c r="BC46" i="5" a="1"/>
  <c r="BC46" i="5" s="1"/>
  <c r="BD46" i="5" s="1"/>
  <c r="CQ46" i="5" s="1"/>
  <c r="BG34" i="5"/>
  <c r="BJ34" i="5" s="1"/>
  <c r="CT34" i="5" s="1"/>
  <c r="BV69" i="5"/>
  <c r="BG33" i="5"/>
  <c r="BI33" i="5" s="1"/>
  <c r="CS33" i="5" s="1"/>
  <c r="CD42" i="5"/>
  <c r="BG29" i="5"/>
  <c r="BI29" i="5" s="1"/>
  <c r="CS29" i="5" s="1"/>
  <c r="BC37" i="5" a="1"/>
  <c r="BC37" i="5" s="1"/>
  <c r="BD37" i="5" s="1"/>
  <c r="CQ37" i="5" s="1"/>
  <c r="BV73" i="5"/>
  <c r="BV33" i="5"/>
  <c r="BM29" i="5" a="1"/>
  <c r="BM29" i="5" s="1"/>
  <c r="BN29" i="5" s="1"/>
  <c r="CV29" i="5" s="1"/>
  <c r="CD56" i="5"/>
  <c r="CD59" i="5"/>
  <c r="BG44" i="5"/>
  <c r="BI44" i="5" s="1"/>
  <c r="CS44" i="5" s="1"/>
  <c r="BM34" i="5" a="1"/>
  <c r="BM34" i="5" s="1"/>
  <c r="BN34" i="5" s="1"/>
  <c r="CV34" i="5" s="1"/>
  <c r="CD47" i="5"/>
  <c r="BG40" i="5"/>
  <c r="BJ40" i="5" s="1"/>
  <c r="CT40" i="5" s="1"/>
  <c r="BG43" i="5"/>
  <c r="BI43" i="5" s="1"/>
  <c r="CS43" i="5" s="1"/>
  <c r="BC31" i="5" a="1"/>
  <c r="BC31" i="5" s="1"/>
  <c r="BD31" i="5" s="1"/>
  <c r="CQ31" i="5" s="1"/>
  <c r="BG36" i="5"/>
  <c r="BJ36" i="5" s="1"/>
  <c r="CT36" i="5" s="1"/>
  <c r="BG41" i="5"/>
  <c r="BJ41" i="5" s="1"/>
  <c r="CT41" i="5" s="1"/>
  <c r="M6" i="8" s="1"/>
  <c r="CD29" i="5"/>
  <c r="BM37" i="5" a="1"/>
  <c r="BM37" i="5" s="1"/>
  <c r="BN37" i="5" s="1"/>
  <c r="CV37" i="5" s="1"/>
  <c r="CD73" i="5"/>
  <c r="CD75" i="5"/>
  <c r="BV74" i="5"/>
  <c r="BV75" i="5"/>
  <c r="CD76" i="5"/>
  <c r="BV77" i="5"/>
  <c r="BV76" i="5"/>
  <c r="CD77" i="5"/>
  <c r="CD79" i="5"/>
  <c r="CD78" i="5"/>
  <c r="BV78" i="5"/>
  <c r="BV79" i="5"/>
  <c r="BV80" i="5"/>
  <c r="CD80" i="5"/>
  <c r="CD92" i="5"/>
  <c r="BV81" i="5"/>
  <c r="CD81" i="5"/>
  <c r="CD83" i="5"/>
  <c r="BV82" i="5"/>
  <c r="BV92" i="5"/>
  <c r="BV93" i="5"/>
  <c r="CD82" i="5"/>
  <c r="BV83" i="5"/>
  <c r="CD93" i="5"/>
  <c r="BG26" i="5"/>
  <c r="BH26" i="5" s="1"/>
  <c r="CR26" i="5" s="1"/>
  <c r="BM26" i="5" a="1"/>
  <c r="BM26" i="5" s="1"/>
  <c r="BN26" i="5" s="1"/>
  <c r="CV26" i="5" s="1"/>
  <c r="BV26" i="5"/>
  <c r="BC26" i="5" a="1"/>
  <c r="BC26" i="5" s="1"/>
  <c r="BD26" i="5" s="1"/>
  <c r="CQ26" i="5" s="1"/>
  <c r="CD26" i="5"/>
  <c r="BV100" i="5"/>
  <c r="CD100" i="5"/>
  <c r="CD99" i="5"/>
  <c r="BV99" i="5"/>
  <c r="CD88" i="5"/>
  <c r="BV88" i="5"/>
  <c r="BV13" i="5"/>
  <c r="BG13" i="5"/>
  <c r="BC13" i="5" a="1"/>
  <c r="BC13" i="5" s="1"/>
  <c r="BD13" i="5" s="1"/>
  <c r="CQ13" i="5" s="1"/>
  <c r="CD13" i="5"/>
  <c r="BM13" i="5" a="1"/>
  <c r="BM13" i="5" s="1"/>
  <c r="BN13" i="5" s="1"/>
  <c r="CV13" i="5" s="1"/>
  <c r="CD14" i="5"/>
  <c r="BC15" i="5" a="1"/>
  <c r="BC15" i="5" s="1"/>
  <c r="BD15" i="5" s="1"/>
  <c r="CQ15" i="5" s="1"/>
  <c r="CD15" i="5"/>
  <c r="BV25" i="5"/>
  <c r="BM25" i="5" a="1"/>
  <c r="BM25" i="5" s="1"/>
  <c r="BN25" i="5" s="1"/>
  <c r="CV25" i="5" s="1"/>
  <c r="BM22" i="5" a="1"/>
  <c r="BM22" i="5" s="1"/>
  <c r="BN22" i="5" s="1"/>
  <c r="CV22" i="5" s="1"/>
  <c r="BC22" i="5" a="1"/>
  <c r="BC22" i="5" s="1"/>
  <c r="BD22" i="5" s="1"/>
  <c r="CQ22" i="5" s="1"/>
  <c r="BG22" i="5"/>
  <c r="BM27" i="5" a="1"/>
  <c r="BM27" i="5" s="1"/>
  <c r="BN27" i="5" s="1"/>
  <c r="CV27" i="5" s="1"/>
  <c r="CD27" i="5"/>
  <c r="CD19" i="5"/>
  <c r="CD86" i="5"/>
  <c r="BG24" i="5"/>
  <c r="CD84" i="5"/>
  <c r="CD21" i="5"/>
  <c r="BG14" i="5"/>
  <c r="CD87" i="5"/>
  <c r="BM19" i="5" a="1"/>
  <c r="BM19" i="5" s="1"/>
  <c r="BN19" i="5" s="1"/>
  <c r="CV19" i="5" s="1"/>
  <c r="BC24" i="5" a="1"/>
  <c r="BC24" i="5" s="1"/>
  <c r="BD24" i="5" s="1"/>
  <c r="CQ24" i="5" s="1"/>
  <c r="BV24" i="5"/>
  <c r="BG20" i="5"/>
  <c r="BM21" i="5" a="1"/>
  <c r="BM21" i="5" s="1"/>
  <c r="BN21" i="5" s="1"/>
  <c r="CV21" i="5" s="1"/>
  <c r="BV14" i="5"/>
  <c r="BM20" i="5" a="1"/>
  <c r="BM20" i="5" s="1"/>
  <c r="BN20" i="5" s="1"/>
  <c r="CV20" i="5" s="1"/>
  <c r="BG15" i="5"/>
  <c r="BM15" i="5" a="1"/>
  <c r="BM15" i="5" s="1"/>
  <c r="BN15" i="5" s="1"/>
  <c r="CV15" i="5" s="1"/>
  <c r="BV15" i="5"/>
  <c r="BC25" i="5" a="1"/>
  <c r="BC25" i="5" s="1"/>
  <c r="BD25" i="5" s="1"/>
  <c r="CQ25" i="5" s="1"/>
  <c r="CD25" i="5"/>
  <c r="BG25" i="5"/>
  <c r="CD22" i="5"/>
  <c r="BV22" i="5"/>
  <c r="BG27" i="5"/>
  <c r="BH27" i="5" s="1"/>
  <c r="CR27" i="5" s="1"/>
  <c r="BV27" i="5"/>
  <c r="BC27" i="5" a="1"/>
  <c r="BC27" i="5" s="1"/>
  <c r="BD27" i="5" s="1"/>
  <c r="CQ27" i="5" s="1"/>
  <c r="BV20" i="5"/>
  <c r="BV85" i="5"/>
  <c r="BG19" i="5"/>
  <c r="BM24" i="5" a="1"/>
  <c r="BM24" i="5" s="1"/>
  <c r="BN24" i="5" s="1"/>
  <c r="CV24" i="5" s="1"/>
  <c r="BC20" i="5" a="1"/>
  <c r="BC20" i="5" s="1"/>
  <c r="BD20" i="5" s="1"/>
  <c r="CQ20" i="5" s="1"/>
  <c r="BV21" i="5"/>
  <c r="BC14" i="5" a="1"/>
  <c r="BC14" i="5" s="1"/>
  <c r="BD14" i="5" s="1"/>
  <c r="CQ14" i="5" s="1"/>
  <c r="BV87" i="5"/>
  <c r="CD20" i="5"/>
  <c r="BV84" i="5"/>
  <c r="BV86" i="5"/>
  <c r="CD24" i="5"/>
  <c r="BC19" i="5" a="1"/>
  <c r="BC19" i="5" s="1"/>
  <c r="BD19" i="5" s="1"/>
  <c r="CQ19" i="5" s="1"/>
  <c r="CD85" i="5"/>
  <c r="BV19" i="5"/>
  <c r="BG21" i="5"/>
  <c r="BC21" i="5" a="1"/>
  <c r="BC21" i="5" s="1"/>
  <c r="BD21" i="5" s="1"/>
  <c r="CQ21" i="5" s="1"/>
  <c r="BM14" i="5" a="1"/>
  <c r="BM14" i="5" s="1"/>
  <c r="BN14" i="5" s="1"/>
  <c r="CV14" i="5" s="1"/>
  <c r="BG28" i="5"/>
  <c r="BH28" i="5" s="1"/>
  <c r="CR28" i="5" s="1"/>
  <c r="BM28" i="5" a="1"/>
  <c r="BM28" i="5" s="1"/>
  <c r="BN28" i="5" s="1"/>
  <c r="CV28" i="5" s="1"/>
  <c r="CD28" i="5"/>
  <c r="BC28" i="5" a="1"/>
  <c r="BC28" i="5" s="1"/>
  <c r="BD28" i="5" s="1"/>
  <c r="CQ28" i="5" s="1"/>
  <c r="BV28" i="5"/>
  <c r="AC27" i="5"/>
  <c r="AD26" i="5"/>
  <c r="AE26" i="5"/>
  <c r="AI58" i="5"/>
  <c r="AI95" i="5"/>
  <c r="AI91" i="5"/>
  <c r="BN16" i="5"/>
  <c r="CV16" i="5" s="1"/>
  <c r="AX16" i="5" a="1"/>
  <c r="AX16" i="5" s="1"/>
  <c r="AY16" i="5" s="1"/>
  <c r="AI16" i="5"/>
  <c r="BN17" i="5"/>
  <c r="CV17" i="5" s="1"/>
  <c r="AI17" i="5"/>
  <c r="AX17" i="5" a="1"/>
  <c r="AX17" i="5" s="1"/>
  <c r="AY17" i="5" s="1"/>
  <c r="AI89" i="5"/>
  <c r="BN18" i="5"/>
  <c r="CV18" i="5" s="1"/>
  <c r="AI90" i="5"/>
  <c r="AX18" i="5" a="1"/>
  <c r="AX18" i="5" s="1"/>
  <c r="AY18" i="5" s="1"/>
  <c r="AI18" i="5"/>
  <c r="AI76" i="5"/>
  <c r="AI73" i="5"/>
  <c r="AI31" i="5"/>
  <c r="AI40" i="5"/>
  <c r="AI70" i="5"/>
  <c r="AI65" i="5"/>
  <c r="AX35" i="5" a="1"/>
  <c r="AX35" i="5" s="1"/>
  <c r="AY35" i="5" s="1"/>
  <c r="CO35" i="5" s="1"/>
  <c r="BH45" i="5"/>
  <c r="CR45" i="5" s="1"/>
  <c r="AX44" i="5" a="1"/>
  <c r="AX44" i="5" s="1"/>
  <c r="AY44" i="5" s="1"/>
  <c r="CO44" i="5" s="1"/>
  <c r="AI34" i="5"/>
  <c r="AX40" i="5" a="1"/>
  <c r="AX40" i="5" s="1"/>
  <c r="AY40" i="5" s="1"/>
  <c r="CO40" i="5" s="1"/>
  <c r="AI47" i="5"/>
  <c r="AI57" i="5"/>
  <c r="AI63" i="5"/>
  <c r="AI42" i="5"/>
  <c r="AX38" i="5" a="1"/>
  <c r="AX38" i="5" s="1"/>
  <c r="AY38" i="5" s="1"/>
  <c r="CL38" i="5" s="1"/>
  <c r="AI69" i="5"/>
  <c r="AI49" i="5"/>
  <c r="AI39" i="5"/>
  <c r="AI29" i="5"/>
  <c r="AX30" i="5" a="1"/>
  <c r="AX30" i="5" s="1"/>
  <c r="AY30" i="5" s="1"/>
  <c r="CL30" i="5" s="1"/>
  <c r="AX39" i="5" a="1"/>
  <c r="AX39" i="5" s="1"/>
  <c r="AY39" i="5" s="1"/>
  <c r="CL39" i="5" s="1"/>
  <c r="AX29" i="5" a="1"/>
  <c r="AX29" i="5" s="1"/>
  <c r="AY29" i="5" s="1"/>
  <c r="CO29" i="5" s="1"/>
  <c r="AI71" i="5"/>
  <c r="AI68" i="5"/>
  <c r="AX31" i="5" a="1"/>
  <c r="AX31" i="5" s="1"/>
  <c r="AY31" i="5" s="1"/>
  <c r="CO31" i="5" s="1"/>
  <c r="AX34" i="5" a="1"/>
  <c r="AX34" i="5" s="1"/>
  <c r="AY34" i="5" s="1"/>
  <c r="CL34" i="5" s="1"/>
  <c r="AX45" i="5" a="1"/>
  <c r="AX45" i="5" s="1"/>
  <c r="AY45" i="5" s="1"/>
  <c r="CL45" i="5" s="1"/>
  <c r="AI45" i="5"/>
  <c r="AX47" i="5" a="1"/>
  <c r="AX47" i="5" s="1"/>
  <c r="AY47" i="5" s="1"/>
  <c r="CO47" i="5" s="1"/>
  <c r="AI50" i="5"/>
  <c r="AX41" i="5" a="1"/>
  <c r="AX41" i="5" s="1"/>
  <c r="AY41" i="5" s="1"/>
  <c r="CL41" i="5" s="1"/>
  <c r="E6" i="8" s="1"/>
  <c r="AX32" i="5" a="1"/>
  <c r="AX32" i="5" s="1"/>
  <c r="AY32" i="5" s="1"/>
  <c r="CO32" i="5" s="1"/>
  <c r="AI51" i="5"/>
  <c r="AI67" i="5"/>
  <c r="AI98" i="5"/>
  <c r="AI23" i="5"/>
  <c r="AX23" i="5" a="1"/>
  <c r="AX23" i="5" s="1"/>
  <c r="AY23" i="5" s="1"/>
  <c r="AI96" i="5"/>
  <c r="AI97" i="5"/>
  <c r="AI92" i="5"/>
  <c r="AI79" i="5"/>
  <c r="AI78" i="5"/>
  <c r="AI74" i="5"/>
  <c r="AI72" i="5"/>
  <c r="AX26" i="5" a="1"/>
  <c r="AX26" i="5" s="1"/>
  <c r="AY26" i="5" s="1"/>
  <c r="CL26" i="5" s="1"/>
  <c r="AI26" i="5"/>
  <c r="AI100" i="5"/>
  <c r="AI99" i="5"/>
  <c r="AI88" i="5"/>
  <c r="AI13" i="5"/>
  <c r="AX13" i="5" a="1"/>
  <c r="AX13" i="5" s="1"/>
  <c r="AY13" i="5" s="1"/>
  <c r="AI25" i="5"/>
  <c r="AX15" i="5" a="1"/>
  <c r="AX15" i="5" s="1"/>
  <c r="AY15" i="5" s="1"/>
  <c r="AX27" i="5" a="1"/>
  <c r="AX27" i="5" s="1"/>
  <c r="AY27" i="5" s="1"/>
  <c r="CL27" i="5" s="1"/>
  <c r="AI21" i="5"/>
  <c r="AI24" i="5"/>
  <c r="AI22" i="5"/>
  <c r="AX19" i="5" a="1"/>
  <c r="AX19" i="5" s="1"/>
  <c r="AY19" i="5" s="1"/>
  <c r="AX21" i="5" a="1"/>
  <c r="AX21" i="5" s="1"/>
  <c r="AY21" i="5" s="1"/>
  <c r="AI28" i="5"/>
  <c r="AX25" i="5" a="1"/>
  <c r="AX25" i="5" s="1"/>
  <c r="AY25" i="5" s="1"/>
  <c r="AI15" i="5"/>
  <c r="AI87" i="5"/>
  <c r="AI27" i="5"/>
  <c r="AI85" i="5"/>
  <c r="AI19" i="5"/>
  <c r="AX24" i="5" a="1"/>
  <c r="AX24" i="5" s="1"/>
  <c r="AY24" i="5" s="1"/>
  <c r="AI14" i="5"/>
  <c r="AX22" i="5" a="1"/>
  <c r="AX22" i="5" s="1"/>
  <c r="AY22" i="5" s="1"/>
  <c r="AX20" i="5" a="1"/>
  <c r="AX20" i="5" s="1"/>
  <c r="AY20" i="5" s="1"/>
  <c r="AI20" i="5"/>
  <c r="AI86" i="5"/>
  <c r="AX28" i="5" a="1"/>
  <c r="AX28" i="5" s="1"/>
  <c r="AY28" i="5" s="1"/>
  <c r="CL28" i="5" s="1"/>
  <c r="AX14" i="5" a="1"/>
  <c r="AX14" i="5" s="1"/>
  <c r="AY14" i="5" s="1"/>
  <c r="AI84" i="5"/>
  <c r="AI83" i="5"/>
  <c r="AI93" i="5"/>
  <c r="AI82" i="5"/>
  <c r="AI81" i="5"/>
  <c r="AI80" i="5"/>
  <c r="AI77" i="5"/>
  <c r="AI75" i="5"/>
  <c r="AI62" i="5"/>
  <c r="AX43" i="5" a="1"/>
  <c r="AX43" i="5" s="1"/>
  <c r="AY43" i="5" s="1"/>
  <c r="CL43" i="5" s="1"/>
  <c r="AI56" i="5"/>
  <c r="AI36" i="5"/>
  <c r="AI38" i="5"/>
  <c r="AX46" i="5" a="1"/>
  <c r="AX46" i="5" s="1"/>
  <c r="AY46" i="5" s="1"/>
  <c r="CO46" i="5" s="1"/>
  <c r="AI66" i="5"/>
  <c r="AI33" i="5"/>
  <c r="AI37" i="5"/>
  <c r="AI35" i="5"/>
  <c r="AI59" i="5"/>
  <c r="AI32" i="5"/>
  <c r="AI48" i="5"/>
  <c r="AX33" i="5" a="1"/>
  <c r="AX33" i="5" s="1"/>
  <c r="AY33" i="5" s="1"/>
  <c r="CL33" i="5" s="1"/>
  <c r="AI41" i="5"/>
  <c r="AI64" i="5"/>
  <c r="AI46" i="5"/>
  <c r="AI60" i="5"/>
  <c r="AI43" i="5"/>
  <c r="AX48" i="5" a="1"/>
  <c r="AX48" i="5" s="1"/>
  <c r="AY48" i="5" s="1"/>
  <c r="CL48" i="5" s="1"/>
  <c r="AI52" i="5"/>
  <c r="AX36" i="5" a="1"/>
  <c r="AX36" i="5" s="1"/>
  <c r="AY36" i="5" s="1"/>
  <c r="CO36" i="5" s="1"/>
  <c r="AI53" i="5"/>
  <c r="AX37" i="5" a="1"/>
  <c r="AX37" i="5" s="1"/>
  <c r="AY37" i="5" s="1"/>
  <c r="CO37" i="5" s="1"/>
  <c r="AI55" i="5"/>
  <c r="AI30" i="5"/>
  <c r="AX42" i="5" a="1"/>
  <c r="AX42" i="5" s="1"/>
  <c r="AY42" i="5" s="1"/>
  <c r="CL42" i="5" s="1"/>
  <c r="AI54" i="5"/>
  <c r="AI94" i="5"/>
  <c r="BW28" i="5" l="1"/>
  <c r="CE28" i="5"/>
  <c r="CF28" i="5" s="1"/>
  <c r="AJ43" i="5"/>
  <c r="AJ46" i="5"/>
  <c r="AT41" i="5"/>
  <c r="CK41" i="5" s="1"/>
  <c r="D6" i="8" s="1"/>
  <c r="AJ41" i="5"/>
  <c r="AJ48" i="5"/>
  <c r="AJ37" i="5"/>
  <c r="AK37" i="5" s="1"/>
  <c r="AJ38" i="5"/>
  <c r="AJ7" i="5"/>
  <c r="AK7" i="5" s="1"/>
  <c r="AJ20" i="5"/>
  <c r="AJ22" i="5"/>
  <c r="AK22" i="5" s="1"/>
  <c r="AJ21" i="5"/>
  <c r="AJ29" i="5"/>
  <c r="AK29" i="5" s="1"/>
  <c r="AJ47" i="5"/>
  <c r="AJ34" i="5"/>
  <c r="AK34" i="5" s="1"/>
  <c r="AJ31" i="5"/>
  <c r="BW19" i="5"/>
  <c r="BX19" i="5" s="1"/>
  <c r="CE20" i="5"/>
  <c r="BW20" i="5"/>
  <c r="BX20" i="5" s="1"/>
  <c r="BW27" i="5"/>
  <c r="BW22" i="5"/>
  <c r="BX22" i="5" s="1"/>
  <c r="BW24" i="5"/>
  <c r="BX24" i="5" s="1"/>
  <c r="CE27" i="5"/>
  <c r="CF27" i="5" s="1"/>
  <c r="BW25" i="5"/>
  <c r="BW13" i="5"/>
  <c r="BX13" i="5" s="1"/>
  <c r="BW12" i="5"/>
  <c r="BW10" i="5"/>
  <c r="BX10" i="5" s="1"/>
  <c r="BW11" i="5"/>
  <c r="CE8" i="5"/>
  <c r="CF8" i="5" s="1"/>
  <c r="CE9" i="5"/>
  <c r="CF9" i="5" s="1"/>
  <c r="BW7" i="5"/>
  <c r="BX7" i="5" s="1"/>
  <c r="CE6" i="5"/>
  <c r="CE35" i="5"/>
  <c r="CF35" i="5" s="1"/>
  <c r="CE31" i="5"/>
  <c r="BW36" i="5"/>
  <c r="BX36" i="5" s="1"/>
  <c r="CE43" i="5"/>
  <c r="CE48" i="5"/>
  <c r="CF48" i="5" s="1"/>
  <c r="CE40" i="5"/>
  <c r="CF40" i="5" s="1"/>
  <c r="BW35" i="5"/>
  <c r="BX35" i="5" s="1"/>
  <c r="BW47" i="5"/>
  <c r="BW48" i="5"/>
  <c r="BX48" i="5" s="1"/>
  <c r="CE36" i="5"/>
  <c r="CE37" i="5"/>
  <c r="CF37" i="5" s="1"/>
  <c r="CE41" i="5"/>
  <c r="BW32" i="5"/>
  <c r="BX32" i="5" s="1"/>
  <c r="CE39" i="5"/>
  <c r="CF39" i="5" s="1"/>
  <c r="CE38" i="5"/>
  <c r="CF38" i="5" s="1"/>
  <c r="CE33" i="5"/>
  <c r="BW23" i="5"/>
  <c r="BX23" i="5" s="1"/>
  <c r="BW18" i="5"/>
  <c r="BW17" i="5"/>
  <c r="BX17" i="5" s="1"/>
  <c r="CE16" i="5"/>
  <c r="BW16" i="5"/>
  <c r="BX16" i="5" s="1"/>
  <c r="AJ30" i="5"/>
  <c r="AK30" i="5" s="1"/>
  <c r="AJ32" i="5"/>
  <c r="AK32" i="5" s="1"/>
  <c r="AJ35" i="5"/>
  <c r="AT33" i="5"/>
  <c r="CK33" i="5" s="1"/>
  <c r="AJ33" i="5"/>
  <c r="AK33" i="5" s="1"/>
  <c r="AJ36" i="5"/>
  <c r="AK36" i="5" s="1"/>
  <c r="AJ6" i="5"/>
  <c r="AK6" i="5" s="1"/>
  <c r="AJ8" i="5"/>
  <c r="AK8" i="5" s="1"/>
  <c r="AJ9" i="5"/>
  <c r="AK9" i="5" s="1"/>
  <c r="AJ14" i="5"/>
  <c r="AK14" i="5" s="1"/>
  <c r="AJ19" i="5"/>
  <c r="AK19" i="5" s="1"/>
  <c r="AJ27" i="5"/>
  <c r="AK27" i="5" s="1"/>
  <c r="AJ15" i="5"/>
  <c r="AJ28" i="5"/>
  <c r="AK28" i="5" s="1"/>
  <c r="AJ24" i="5"/>
  <c r="AK24" i="5" s="1"/>
  <c r="AJ25" i="5"/>
  <c r="AK25" i="5" s="1"/>
  <c r="AJ13" i="5"/>
  <c r="AK13" i="5" s="1"/>
  <c r="AJ12" i="5"/>
  <c r="AK12" i="5" s="1"/>
  <c r="AJ10" i="5"/>
  <c r="AJ11" i="5"/>
  <c r="AJ26" i="5"/>
  <c r="AJ23" i="5"/>
  <c r="AK23" i="5" s="1"/>
  <c r="AJ45" i="5"/>
  <c r="AJ39" i="5"/>
  <c r="AK39" i="5" s="1"/>
  <c r="AT42" i="5"/>
  <c r="CK42" i="5" s="1"/>
  <c r="AJ42" i="5"/>
  <c r="AK42" i="5" s="1"/>
  <c r="AT40" i="5"/>
  <c r="CK40" i="5" s="1"/>
  <c r="AJ40" i="5"/>
  <c r="AK40" i="5" s="1"/>
  <c r="AJ18" i="5"/>
  <c r="AT17" i="5"/>
  <c r="CK17" i="5" s="1"/>
  <c r="AJ17" i="5"/>
  <c r="AK17" i="5" s="1"/>
  <c r="AJ16" i="5"/>
  <c r="AK16" i="5" s="1"/>
  <c r="CE24" i="5"/>
  <c r="CF24" i="5" s="1"/>
  <c r="BW21" i="5"/>
  <c r="BX21" i="5" s="1"/>
  <c r="CE22" i="5"/>
  <c r="CE25" i="5"/>
  <c r="CF25" i="5" s="1"/>
  <c r="BW15" i="5"/>
  <c r="BW14" i="5"/>
  <c r="BX14" i="5" s="1"/>
  <c r="CE21" i="5"/>
  <c r="CE19" i="5"/>
  <c r="CF19" i="5" s="1"/>
  <c r="CE15" i="5"/>
  <c r="CF15" i="5" s="1"/>
  <c r="CE14" i="5"/>
  <c r="CF14" i="5" s="1"/>
  <c r="CE13" i="5"/>
  <c r="CF13" i="5" s="1"/>
  <c r="CE12" i="5"/>
  <c r="CF12" i="5" s="1"/>
  <c r="CE11" i="5"/>
  <c r="CF11" i="5" s="1"/>
  <c r="CE10" i="5"/>
  <c r="CF10" i="5" s="1"/>
  <c r="CE26" i="5"/>
  <c r="CF26" i="5" s="1"/>
  <c r="BW26" i="5"/>
  <c r="BX26" i="5" s="1"/>
  <c r="BW9" i="5"/>
  <c r="BX9" i="5" s="1"/>
  <c r="BW8" i="5"/>
  <c r="BX8" i="5" s="1"/>
  <c r="CE7" i="5"/>
  <c r="BW6" i="5"/>
  <c r="BX6" i="5" s="1"/>
  <c r="CE29" i="5"/>
  <c r="CE47" i="5"/>
  <c r="CF47" i="5" s="1"/>
  <c r="BW33" i="5"/>
  <c r="BX33" i="5" s="1"/>
  <c r="CE42" i="5"/>
  <c r="CF42" i="5" s="1"/>
  <c r="CE45" i="5"/>
  <c r="CF45" i="5" s="1"/>
  <c r="BW44" i="5"/>
  <c r="BX44" i="5" s="1"/>
  <c r="BW30" i="5"/>
  <c r="BX30" i="5" s="1"/>
  <c r="BW41" i="5"/>
  <c r="BX41" i="5" s="1"/>
  <c r="BW43" i="5"/>
  <c r="BX43" i="5" s="1"/>
  <c r="BW37" i="5"/>
  <c r="BX37" i="5" s="1"/>
  <c r="BW29" i="5"/>
  <c r="BX29" i="5" s="1"/>
  <c r="CE44" i="5"/>
  <c r="CF44" i="5" s="1"/>
  <c r="BW42" i="5"/>
  <c r="BX42" i="5" s="1"/>
  <c r="BW40" i="5"/>
  <c r="BX40" i="5" s="1"/>
  <c r="BW34" i="5"/>
  <c r="BX34" i="5" s="1"/>
  <c r="CE34" i="5"/>
  <c r="BW38" i="5"/>
  <c r="BX38" i="5" s="1"/>
  <c r="BW45" i="5"/>
  <c r="BX45" i="5" s="1"/>
  <c r="CE30" i="5"/>
  <c r="CF30" i="5" s="1"/>
  <c r="BW39" i="5"/>
  <c r="BX39" i="5" s="1"/>
  <c r="BW31" i="5"/>
  <c r="BX31" i="5" s="1"/>
  <c r="CE46" i="5"/>
  <c r="CF46" i="5" s="1"/>
  <c r="BW46" i="5"/>
  <c r="BX46" i="5" s="1"/>
  <c r="CE32" i="5"/>
  <c r="CF32" i="5" s="1"/>
  <c r="CE23" i="5"/>
  <c r="CF23" i="5" s="1"/>
  <c r="CE18" i="5"/>
  <c r="CF18" i="5" s="1"/>
  <c r="CE17" i="5"/>
  <c r="CF17" i="5" s="1"/>
  <c r="AJ44" i="5"/>
  <c r="AK44" i="5" s="1"/>
  <c r="AK48" i="5"/>
  <c r="BX28" i="5"/>
  <c r="AT32" i="5"/>
  <c r="CK32" i="5" s="1"/>
  <c r="AT38" i="5"/>
  <c r="CK38" i="5" s="1"/>
  <c r="AT22" i="5"/>
  <c r="CK22" i="5" s="1"/>
  <c r="AT45" i="5"/>
  <c r="CK45" i="5" s="1"/>
  <c r="AT47" i="5"/>
  <c r="CK47" i="5" s="1"/>
  <c r="AT18" i="5"/>
  <c r="CK18" i="5" s="1"/>
  <c r="AK18" i="5"/>
  <c r="AT48" i="5"/>
  <c r="CK48" i="5" s="1"/>
  <c r="DW48" i="5" s="1"/>
  <c r="AT37" i="5"/>
  <c r="CK37" i="5" s="1"/>
  <c r="AT36" i="5"/>
  <c r="CK36" i="5" s="1"/>
  <c r="AT20" i="5"/>
  <c r="CK20" i="5" s="1"/>
  <c r="AK20" i="5"/>
  <c r="AT14" i="5"/>
  <c r="CK14" i="5" s="1"/>
  <c r="AT19" i="5"/>
  <c r="CK19" i="5" s="1"/>
  <c r="AT24" i="5"/>
  <c r="CK24" i="5" s="1"/>
  <c r="AT13" i="5"/>
  <c r="CK13" i="5" s="1"/>
  <c r="AK11" i="5"/>
  <c r="AK10" i="5"/>
  <c r="AT39" i="5"/>
  <c r="CK39" i="5" s="1"/>
  <c r="CF20" i="5"/>
  <c r="BX27" i="5"/>
  <c r="BX25" i="5"/>
  <c r="BX12" i="5"/>
  <c r="BX11" i="5"/>
  <c r="CF6" i="5"/>
  <c r="CF43" i="5"/>
  <c r="BX47" i="5"/>
  <c r="CA48" i="5"/>
  <c r="CZ48" i="5" s="1"/>
  <c r="CF36" i="5"/>
  <c r="CF41" i="5"/>
  <c r="CF33" i="5"/>
  <c r="BX18" i="5"/>
  <c r="CF16" i="5"/>
  <c r="AT30" i="5"/>
  <c r="CK30" i="5" s="1"/>
  <c r="AT43" i="5"/>
  <c r="CK43" i="5" s="1"/>
  <c r="AK43" i="5"/>
  <c r="AT35" i="5"/>
  <c r="CK35" i="5" s="1"/>
  <c r="AK35" i="5"/>
  <c r="AT27" i="5"/>
  <c r="CK27" i="5" s="1"/>
  <c r="AT15" i="5"/>
  <c r="CK15" i="5" s="1"/>
  <c r="AK15" i="5"/>
  <c r="AT28" i="5"/>
  <c r="CK28" i="5" s="1"/>
  <c r="AT21" i="5"/>
  <c r="CK21" i="5" s="1"/>
  <c r="AK21" i="5"/>
  <c r="AT25" i="5"/>
  <c r="CK25" i="5" s="1"/>
  <c r="AT26" i="5"/>
  <c r="CK26" i="5" s="1"/>
  <c r="AK26" i="5"/>
  <c r="AT23" i="5"/>
  <c r="CK23" i="5" s="1"/>
  <c r="AT29" i="5"/>
  <c r="CK29" i="5" s="1"/>
  <c r="AT34" i="5"/>
  <c r="CK34" i="5" s="1"/>
  <c r="AT31" i="5"/>
  <c r="CK31" i="5" s="1"/>
  <c r="AT16" i="5"/>
  <c r="CK16" i="5" s="1"/>
  <c r="CF22" i="5"/>
  <c r="BX15" i="5"/>
  <c r="CF21" i="5"/>
  <c r="CF29" i="5"/>
  <c r="CF34" i="5"/>
  <c r="DY48" i="5" a="1"/>
  <c r="DY48" i="5" s="1"/>
  <c r="AC28" i="5"/>
  <c r="AD27" i="5"/>
  <c r="AE27" i="5"/>
  <c r="O6" i="8"/>
  <c r="AQ31" i="8" s="1"/>
  <c r="J6" i="8"/>
  <c r="AL85" i="8" s="1"/>
  <c r="BI48" i="5"/>
  <c r="CS48" i="5" s="1"/>
  <c r="DZ48" i="5" s="1" a="1"/>
  <c r="DZ48" i="5" s="1"/>
  <c r="BH44" i="5"/>
  <c r="CR44" i="5" s="1"/>
  <c r="CO26" i="5"/>
  <c r="BJ31" i="5"/>
  <c r="CT31" i="5" s="1"/>
  <c r="BJ35" i="5"/>
  <c r="CT35" i="5" s="1"/>
  <c r="CO45" i="5"/>
  <c r="CL29" i="5"/>
  <c r="BI45" i="5"/>
  <c r="CS45" i="5" s="1"/>
  <c r="CO41" i="5"/>
  <c r="H6" i="8" s="1"/>
  <c r="H51" i="8" s="1"/>
  <c r="AJ51" i="8" s="1"/>
  <c r="CO30" i="5"/>
  <c r="BJ45" i="5"/>
  <c r="CT45" i="5" s="1"/>
  <c r="BI38" i="5"/>
  <c r="CS38" i="5" s="1"/>
  <c r="BI32" i="5"/>
  <c r="CS32" i="5" s="1"/>
  <c r="CL40" i="5"/>
  <c r="BJ37" i="5"/>
  <c r="CT37" i="5" s="1"/>
  <c r="CO42" i="5"/>
  <c r="BH33" i="5"/>
  <c r="CR33" i="5" s="1"/>
  <c r="BH32" i="5"/>
  <c r="CR32" i="5" s="1"/>
  <c r="CL36" i="5"/>
  <c r="BH37" i="5"/>
  <c r="CR37" i="5" s="1"/>
  <c r="CL47" i="5"/>
  <c r="CL35" i="5"/>
  <c r="BH40" i="5"/>
  <c r="CR40" i="5" s="1"/>
  <c r="BH47" i="5"/>
  <c r="CR47" i="5" s="1"/>
  <c r="DY47" i="5" s="1" a="1"/>
  <c r="DY47" i="5" s="1"/>
  <c r="CL37" i="5"/>
  <c r="CL31" i="5"/>
  <c r="BI41" i="5"/>
  <c r="CS41" i="5" s="1"/>
  <c r="BI31" i="5"/>
  <c r="CS31" i="5" s="1"/>
  <c r="BJ44" i="5"/>
  <c r="CT44" i="5" s="1"/>
  <c r="BI40" i="5"/>
  <c r="CS40" i="5" s="1"/>
  <c r="BJ33" i="5"/>
  <c r="CT33" i="5" s="1"/>
  <c r="CO28" i="5"/>
  <c r="BI28" i="5"/>
  <c r="CS28" i="5" s="1"/>
  <c r="BI46" i="5"/>
  <c r="CS46" i="5" s="1"/>
  <c r="CL44" i="5"/>
  <c r="CO43" i="5"/>
  <c r="BH35" i="5"/>
  <c r="CR35" i="5" s="1"/>
  <c r="CL32" i="5"/>
  <c r="BH34" i="5"/>
  <c r="CR34" i="5" s="1"/>
  <c r="BJ43" i="5"/>
  <c r="CT43" i="5" s="1"/>
  <c r="BI36" i="5"/>
  <c r="CS36" i="5" s="1"/>
  <c r="BJ28" i="5"/>
  <c r="CT28" i="5" s="1"/>
  <c r="BH46" i="5"/>
  <c r="CR46" i="5" s="1"/>
  <c r="AT44" i="5"/>
  <c r="CK44" i="5" s="1"/>
  <c r="BI34" i="5"/>
  <c r="CS34" i="5" s="1"/>
  <c r="CO48" i="5"/>
  <c r="CO33" i="5"/>
  <c r="BI26" i="5"/>
  <c r="CS26" i="5" s="1"/>
  <c r="BH41" i="5"/>
  <c r="CR41" i="5" s="1"/>
  <c r="BI47" i="5"/>
  <c r="CS47" i="5" s="1"/>
  <c r="BI42" i="5"/>
  <c r="CS42" i="5" s="1"/>
  <c r="AK31" i="5"/>
  <c r="CO38" i="5"/>
  <c r="BH29" i="5"/>
  <c r="CR29" i="5" s="1"/>
  <c r="BH36" i="5"/>
  <c r="CR36" i="5" s="1"/>
  <c r="CO39" i="5"/>
  <c r="CL46" i="5"/>
  <c r="CO27" i="5"/>
  <c r="CO34" i="5"/>
  <c r="BH38" i="5"/>
  <c r="CR38" i="5" s="1"/>
  <c r="BI30" i="5"/>
  <c r="CS30" i="5" s="1"/>
  <c r="BJ48" i="5"/>
  <c r="CT48" i="5" s="1"/>
  <c r="BJ26" i="5"/>
  <c r="CT26" i="5" s="1"/>
  <c r="BH43" i="5"/>
  <c r="CR43" i="5" s="1"/>
  <c r="BJ29" i="5"/>
  <c r="CT29" i="5" s="1"/>
  <c r="BJ27" i="5"/>
  <c r="CT27" i="5" s="1"/>
  <c r="BH39" i="5"/>
  <c r="CR39" i="5" s="1"/>
  <c r="AT46" i="5"/>
  <c r="CK46" i="5" s="1"/>
  <c r="BH30" i="5"/>
  <c r="CR30" i="5" s="1"/>
  <c r="AO48" i="5"/>
  <c r="CN48" i="5" s="1"/>
  <c r="BH42" i="5"/>
  <c r="CR42" i="5" s="1"/>
  <c r="BI27" i="5"/>
  <c r="CS27" i="5" s="1"/>
  <c r="BI39" i="5"/>
  <c r="CS39" i="5" s="1"/>
  <c r="CF31" i="5"/>
  <c r="BJ13" i="5"/>
  <c r="CT13" i="5" s="1"/>
  <c r="BH13" i="5"/>
  <c r="CR13" i="5" s="1"/>
  <c r="BI13" i="5"/>
  <c r="CS13" i="5" s="1"/>
  <c r="BI14" i="5"/>
  <c r="CS14" i="5" s="1"/>
  <c r="BJ14" i="5"/>
  <c r="CT14" i="5" s="1"/>
  <c r="BH14" i="5"/>
  <c r="CR14" i="5" s="1"/>
  <c r="BH15" i="5"/>
  <c r="CR15" i="5" s="1"/>
  <c r="BJ15" i="5"/>
  <c r="CT15" i="5" s="1"/>
  <c r="BI15" i="5"/>
  <c r="CS15" i="5" s="1"/>
  <c r="CL15" i="5"/>
  <c r="CO15" i="5"/>
  <c r="CL13" i="5"/>
  <c r="CO13" i="5"/>
  <c r="CO14" i="5"/>
  <c r="CL14" i="5"/>
  <c r="CQ2" i="5"/>
  <c r="CV2" i="5"/>
  <c r="CV3" i="5"/>
  <c r="CQ3" i="5"/>
  <c r="BJ19" i="5"/>
  <c r="CT19" i="5" s="1"/>
  <c r="BH19" i="5"/>
  <c r="CR19" i="5" s="1"/>
  <c r="BI19" i="5"/>
  <c r="CS19" i="5" s="1"/>
  <c r="CL24" i="5"/>
  <c r="CO24" i="5"/>
  <c r="CL23" i="5"/>
  <c r="CO23" i="5"/>
  <c r="CL18" i="5"/>
  <c r="CO18" i="5"/>
  <c r="CL21" i="5"/>
  <c r="CO21" i="5"/>
  <c r="BJ20" i="5"/>
  <c r="CT20" i="5" s="1"/>
  <c r="BH20" i="5"/>
  <c r="CR20" i="5" s="1"/>
  <c r="BI20" i="5"/>
  <c r="CS20" i="5" s="1"/>
  <c r="BJ21" i="5"/>
  <c r="CT21" i="5" s="1"/>
  <c r="BI21" i="5"/>
  <c r="CS21" i="5" s="1"/>
  <c r="BH21" i="5"/>
  <c r="CR21" i="5" s="1"/>
  <c r="CO16" i="5"/>
  <c r="CL16" i="5"/>
  <c r="BJ18" i="5"/>
  <c r="CT18" i="5" s="1"/>
  <c r="BI18" i="5"/>
  <c r="CS18" i="5" s="1"/>
  <c r="BH18" i="5"/>
  <c r="CR18" i="5" s="1"/>
  <c r="BJ23" i="5"/>
  <c r="CT23" i="5" s="1"/>
  <c r="BH23" i="5"/>
  <c r="CR23" i="5" s="1"/>
  <c r="BI23" i="5"/>
  <c r="CS23" i="5" s="1"/>
  <c r="BI17" i="5"/>
  <c r="CS17" i="5" s="1"/>
  <c r="BJ17" i="5"/>
  <c r="CT17" i="5" s="1"/>
  <c r="BH17" i="5"/>
  <c r="CR17" i="5" s="1"/>
  <c r="BJ25" i="5"/>
  <c r="CT25" i="5" s="1"/>
  <c r="BH25" i="5"/>
  <c r="CR25" i="5" s="1"/>
  <c r="BI25" i="5"/>
  <c r="CS25" i="5" s="1"/>
  <c r="CL17" i="5"/>
  <c r="CO17" i="5"/>
  <c r="BJ24" i="5"/>
  <c r="CT24" i="5" s="1"/>
  <c r="BI24" i="5"/>
  <c r="CS24" i="5" s="1"/>
  <c r="BH24" i="5"/>
  <c r="CR24" i="5" s="1"/>
  <c r="CL19" i="5"/>
  <c r="CO19" i="5"/>
  <c r="CO22" i="5"/>
  <c r="CL22" i="5"/>
  <c r="CL20" i="5"/>
  <c r="CO20" i="5"/>
  <c r="BI22" i="5"/>
  <c r="CS22" i="5" s="1"/>
  <c r="BH22" i="5"/>
  <c r="CR22" i="5" s="1"/>
  <c r="BJ22" i="5"/>
  <c r="CT22" i="5" s="1"/>
  <c r="BJ16" i="5"/>
  <c r="CT16" i="5" s="1"/>
  <c r="BH16" i="5"/>
  <c r="CR16" i="5" s="1"/>
  <c r="BI16" i="5"/>
  <c r="CS16" i="5" s="1"/>
  <c r="CL25" i="5"/>
  <c r="CO25" i="5"/>
  <c r="E109" i="8"/>
  <c r="AG109" i="8" s="1"/>
  <c r="E10" i="8"/>
  <c r="AG10" i="8" s="1"/>
  <c r="E26" i="8"/>
  <c r="AG26" i="8" s="1"/>
  <c r="E42" i="8"/>
  <c r="AG42" i="8" s="1"/>
  <c r="E58" i="8"/>
  <c r="AG58" i="8" s="1"/>
  <c r="E74" i="8"/>
  <c r="AG74" i="8" s="1"/>
  <c r="E90" i="8"/>
  <c r="AG90" i="8" s="1"/>
  <c r="E106" i="8"/>
  <c r="AG106" i="8" s="1"/>
  <c r="E21" i="8"/>
  <c r="AG21" i="8" s="1"/>
  <c r="E37" i="8"/>
  <c r="AG37" i="8" s="1"/>
  <c r="E53" i="8"/>
  <c r="AG53" i="8" s="1"/>
  <c r="E69" i="8"/>
  <c r="AG69" i="8" s="1"/>
  <c r="E87" i="8"/>
  <c r="AG87" i="8" s="1"/>
  <c r="E105" i="8"/>
  <c r="AG105" i="8" s="1"/>
  <c r="E20" i="8"/>
  <c r="AG20" i="8" s="1"/>
  <c r="E36" i="8"/>
  <c r="AG36" i="8" s="1"/>
  <c r="E52" i="8"/>
  <c r="AG52" i="8" s="1"/>
  <c r="E68" i="8"/>
  <c r="AG68" i="8" s="1"/>
  <c r="E84" i="8"/>
  <c r="AG84" i="8" s="1"/>
  <c r="E100" i="8"/>
  <c r="AG100" i="8" s="1"/>
  <c r="E15" i="8"/>
  <c r="AG15" i="8" s="1"/>
  <c r="E31" i="8"/>
  <c r="AG31" i="8" s="1"/>
  <c r="E59" i="8"/>
  <c r="AG59" i="8" s="1"/>
  <c r="E75" i="8"/>
  <c r="AG75" i="8" s="1"/>
  <c r="E63" i="8"/>
  <c r="AG63" i="8" s="1"/>
  <c r="E81" i="8"/>
  <c r="AG81" i="8" s="1"/>
  <c r="E97" i="8"/>
  <c r="AG97" i="8" s="1"/>
  <c r="E22" i="8"/>
  <c r="AG22" i="8" s="1"/>
  <c r="E38" i="8"/>
  <c r="AG38" i="8" s="1"/>
  <c r="E54" i="8"/>
  <c r="AG54" i="8" s="1"/>
  <c r="E70" i="8"/>
  <c r="AG70" i="8" s="1"/>
  <c r="E86" i="8"/>
  <c r="AG86" i="8" s="1"/>
  <c r="E102" i="8"/>
  <c r="AG102" i="8" s="1"/>
  <c r="E17" i="8"/>
  <c r="AG17" i="8" s="1"/>
  <c r="E33" i="8"/>
  <c r="AG33" i="8" s="1"/>
  <c r="E49" i="8"/>
  <c r="AG49" i="8" s="1"/>
  <c r="E65" i="8"/>
  <c r="AG65" i="8" s="1"/>
  <c r="E95" i="8"/>
  <c r="AG95" i="8" s="1"/>
  <c r="E85" i="8"/>
  <c r="AG85" i="8" s="1"/>
  <c r="E16" i="8"/>
  <c r="AG16" i="8" s="1"/>
  <c r="E32" i="8"/>
  <c r="AG32" i="8" s="1"/>
  <c r="E48" i="8"/>
  <c r="AG48" i="8" s="1"/>
  <c r="E64" i="8"/>
  <c r="AG64" i="8" s="1"/>
  <c r="E80" i="8"/>
  <c r="AG80" i="8" s="1"/>
  <c r="E96" i="8"/>
  <c r="AG96" i="8" s="1"/>
  <c r="E11" i="8"/>
  <c r="AG11" i="8" s="1"/>
  <c r="E27" i="8"/>
  <c r="AG27" i="8" s="1"/>
  <c r="E51" i="8"/>
  <c r="AG51" i="8" s="1"/>
  <c r="E91" i="8"/>
  <c r="AG91" i="8" s="1"/>
  <c r="E55" i="8"/>
  <c r="AG55" i="8" s="1"/>
  <c r="E83" i="8"/>
  <c r="AG83" i="8" s="1"/>
  <c r="E77" i="8"/>
  <c r="AG77" i="8" s="1"/>
  <c r="E34" i="8"/>
  <c r="AG34" i="8" s="1"/>
  <c r="E66" i="8"/>
  <c r="AG66" i="8" s="1"/>
  <c r="E98" i="8"/>
  <c r="AG98" i="8" s="1"/>
  <c r="E29" i="8"/>
  <c r="AG29" i="8" s="1"/>
  <c r="E61" i="8"/>
  <c r="AG61" i="8" s="1"/>
  <c r="E101" i="8"/>
  <c r="AG101" i="8" s="1"/>
  <c r="E28" i="8"/>
  <c r="AG28" i="8" s="1"/>
  <c r="E60" i="8"/>
  <c r="AG60" i="8" s="1"/>
  <c r="E92" i="8"/>
  <c r="AG92" i="8" s="1"/>
  <c r="E23" i="8"/>
  <c r="AG23" i="8" s="1"/>
  <c r="E107" i="8"/>
  <c r="AG107" i="8" s="1"/>
  <c r="E99" i="8"/>
  <c r="AG99" i="8" s="1"/>
  <c r="E14" i="8"/>
  <c r="AG14" i="8" s="1"/>
  <c r="E46" i="8"/>
  <c r="AG46" i="8" s="1"/>
  <c r="E78" i="8"/>
  <c r="AG78" i="8" s="1"/>
  <c r="E110" i="8"/>
  <c r="AG110" i="8" s="1"/>
  <c r="E41" i="8"/>
  <c r="AG41" i="8" s="1"/>
  <c r="E73" i="8"/>
  <c r="AG73" i="8" s="1"/>
  <c r="E89" i="8"/>
  <c r="AG89" i="8" s="1"/>
  <c r="E40" i="8"/>
  <c r="AG40" i="8" s="1"/>
  <c r="E72" i="8"/>
  <c r="AG72" i="8" s="1"/>
  <c r="E104" i="8"/>
  <c r="AG104" i="8" s="1"/>
  <c r="E35" i="8"/>
  <c r="AG35" i="8" s="1"/>
  <c r="E39" i="8"/>
  <c r="AG39" i="8" s="1"/>
  <c r="E18" i="8"/>
  <c r="AG18" i="8" s="1"/>
  <c r="E50" i="8"/>
  <c r="AG50" i="8" s="1"/>
  <c r="E82" i="8"/>
  <c r="AG82" i="8" s="1"/>
  <c r="E13" i="8"/>
  <c r="AG13" i="8" s="1"/>
  <c r="E45" i="8"/>
  <c r="AG45" i="8" s="1"/>
  <c r="E103" i="8"/>
  <c r="AG103" i="8" s="1"/>
  <c r="E12" i="8"/>
  <c r="AG12" i="8" s="1"/>
  <c r="E44" i="8"/>
  <c r="AG44" i="8" s="1"/>
  <c r="E76" i="8"/>
  <c r="AG76" i="8" s="1"/>
  <c r="E108" i="8"/>
  <c r="AG108" i="8" s="1"/>
  <c r="E43" i="8"/>
  <c r="AG43" i="8" s="1"/>
  <c r="E47" i="8"/>
  <c r="AG47" i="8" s="1"/>
  <c r="E93" i="8"/>
  <c r="AG93" i="8" s="1"/>
  <c r="E30" i="8"/>
  <c r="AG30" i="8" s="1"/>
  <c r="E62" i="8"/>
  <c r="AG62" i="8" s="1"/>
  <c r="E94" i="8"/>
  <c r="AG94" i="8" s="1"/>
  <c r="E25" i="8"/>
  <c r="AG25" i="8" s="1"/>
  <c r="E57" i="8"/>
  <c r="AG57" i="8" s="1"/>
  <c r="E79" i="8"/>
  <c r="AG79" i="8" s="1"/>
  <c r="E24" i="8"/>
  <c r="AG24" i="8" s="1"/>
  <c r="E56" i="8"/>
  <c r="AG56" i="8" s="1"/>
  <c r="E88" i="8"/>
  <c r="AG88" i="8" s="1"/>
  <c r="E19" i="8"/>
  <c r="AG19" i="8" s="1"/>
  <c r="E67" i="8"/>
  <c r="AG67" i="8" s="1"/>
  <c r="E71" i="8"/>
  <c r="AG71" i="8" s="1"/>
  <c r="AO40" i="8"/>
  <c r="AO78" i="8"/>
  <c r="M42" i="8"/>
  <c r="M73" i="8"/>
  <c r="AO95" i="8"/>
  <c r="M48" i="8"/>
  <c r="AO74" i="8"/>
  <c r="AO38" i="8"/>
  <c r="AO24" i="8"/>
  <c r="AO30" i="8"/>
  <c r="AO42" i="8"/>
  <c r="M26" i="8"/>
  <c r="M71" i="8"/>
  <c r="M47" i="8"/>
  <c r="AO59" i="8"/>
  <c r="M108" i="8"/>
  <c r="AO82" i="8"/>
  <c r="AO99" i="8"/>
  <c r="M98" i="8"/>
  <c r="M84" i="8"/>
  <c r="M67" i="8"/>
  <c r="AO53" i="8"/>
  <c r="M64" i="8"/>
  <c r="M76" i="8"/>
  <c r="AO46" i="8"/>
  <c r="M16" i="8"/>
  <c r="AO21" i="8"/>
  <c r="AO60" i="8"/>
  <c r="M41" i="8"/>
  <c r="AO18" i="8"/>
  <c r="M52" i="8"/>
  <c r="AO104" i="8"/>
  <c r="AO91" i="8"/>
  <c r="M92" i="8"/>
  <c r="AO97" i="8"/>
  <c r="M96" i="8"/>
  <c r="AO81" i="8"/>
  <c r="M50" i="8"/>
  <c r="AO27" i="8"/>
  <c r="M100" i="8"/>
  <c r="AO23" i="8"/>
  <c r="M57" i="8"/>
  <c r="M29" i="8"/>
  <c r="AO10" i="8"/>
  <c r="M25" i="8"/>
  <c r="AO63" i="8"/>
  <c r="M91" i="8"/>
  <c r="M74" i="8"/>
  <c r="AO22" i="8"/>
  <c r="AO25" i="8"/>
  <c r="M55" i="8"/>
  <c r="AO26" i="8"/>
  <c r="M90" i="8"/>
  <c r="M66" i="8"/>
  <c r="AO83" i="8"/>
  <c r="Z6" i="8"/>
  <c r="AO102" i="8"/>
  <c r="M27" i="8"/>
  <c r="M34" i="8"/>
  <c r="AO58" i="8"/>
  <c r="AO71" i="8"/>
  <c r="M35" i="8"/>
  <c r="AO73" i="8"/>
  <c r="AO49" i="8"/>
  <c r="M22" i="8"/>
  <c r="M20" i="8"/>
  <c r="AO80" i="8"/>
  <c r="AO77" i="8"/>
  <c r="M58" i="8"/>
  <c r="AO20" i="8"/>
  <c r="AO75" i="8"/>
  <c r="M95" i="8"/>
  <c r="AO35" i="8"/>
  <c r="M61" i="8"/>
  <c r="M15" i="8"/>
  <c r="M44" i="8"/>
  <c r="M60" i="8"/>
  <c r="M70" i="8"/>
  <c r="AO107" i="8"/>
  <c r="AO110" i="8"/>
  <c r="AO17" i="8"/>
  <c r="M81" i="8"/>
  <c r="AO54" i="8"/>
  <c r="M39" i="8"/>
  <c r="AO92" i="8"/>
  <c r="M107" i="8"/>
  <c r="AO50" i="8"/>
  <c r="AO106" i="8"/>
  <c r="M68" i="8"/>
  <c r="M45" i="8"/>
  <c r="AO29" i="8"/>
  <c r="M63" i="8"/>
  <c r="AO55" i="8"/>
  <c r="AO57" i="8"/>
  <c r="M80" i="8"/>
  <c r="M11" i="8"/>
  <c r="M54" i="8"/>
  <c r="M31" i="8"/>
  <c r="AO31" i="8"/>
  <c r="M23" i="8"/>
  <c r="M24" i="8"/>
  <c r="AO13" i="8"/>
  <c r="M102" i="8"/>
  <c r="AO64" i="8"/>
  <c r="AO33" i="8"/>
  <c r="M99" i="8"/>
  <c r="AO67" i="8"/>
  <c r="AO85" i="8"/>
  <c r="AO66" i="8"/>
  <c r="AO105" i="8"/>
  <c r="AO101" i="8"/>
  <c r="M33" i="8"/>
  <c r="M87" i="8"/>
  <c r="M43" i="8"/>
  <c r="AO76" i="8"/>
  <c r="AO37" i="8"/>
  <c r="M14" i="8"/>
  <c r="M28" i="8"/>
  <c r="AO79" i="8"/>
  <c r="AO70" i="8"/>
  <c r="M46" i="8"/>
  <c r="AO93" i="8"/>
  <c r="M75" i="8"/>
  <c r="AO47" i="8"/>
  <c r="M32" i="8"/>
  <c r="AO32" i="8"/>
  <c r="AO61" i="8"/>
  <c r="M12" i="8"/>
  <c r="AO36" i="8"/>
  <c r="M21" i="8"/>
  <c r="AO15" i="8"/>
  <c r="M40" i="8"/>
  <c r="M104" i="8"/>
  <c r="AO98" i="8"/>
  <c r="M94" i="8"/>
  <c r="M103" i="8"/>
  <c r="AO109" i="8"/>
  <c r="AO84" i="8"/>
  <c r="AO100" i="8"/>
  <c r="AO19" i="8"/>
  <c r="M19" i="8"/>
  <c r="AO34" i="8"/>
  <c r="M83" i="8"/>
  <c r="AO88" i="8"/>
  <c r="AO45" i="8"/>
  <c r="AO12" i="8"/>
  <c r="AO62" i="8"/>
  <c r="M36" i="8"/>
  <c r="M78" i="8"/>
  <c r="M79" i="8"/>
  <c r="M56" i="8"/>
  <c r="M101" i="8"/>
  <c r="M62" i="8"/>
  <c r="AO39" i="8"/>
  <c r="AO72" i="8"/>
  <c r="M97" i="8"/>
  <c r="AO69" i="8"/>
  <c r="M49" i="8"/>
  <c r="M37" i="8"/>
  <c r="M86" i="8"/>
  <c r="AO103" i="8"/>
  <c r="AO44" i="8"/>
  <c r="AO90" i="8"/>
  <c r="AO56" i="8"/>
  <c r="M17" i="8"/>
  <c r="M59" i="8"/>
  <c r="AO51" i="8"/>
  <c r="AO96" i="8"/>
  <c r="M82" i="8"/>
  <c r="M18" i="8"/>
  <c r="M110" i="8"/>
  <c r="M77" i="8"/>
  <c r="AO16" i="8"/>
  <c r="M69" i="8"/>
  <c r="AO94" i="8"/>
  <c r="AO11" i="8"/>
  <c r="M85" i="8"/>
  <c r="M105" i="8"/>
  <c r="AO28" i="8"/>
  <c r="AO14" i="8"/>
  <c r="AO86" i="8"/>
  <c r="AO68" i="8"/>
  <c r="M30" i="8"/>
  <c r="AO43" i="8"/>
  <c r="M10" i="8"/>
  <c r="M72" i="8"/>
  <c r="M89" i="8"/>
  <c r="M65" i="8"/>
  <c r="M38" i="8"/>
  <c r="M93" i="8"/>
  <c r="AO41" i="8"/>
  <c r="AO48" i="8"/>
  <c r="AO108" i="8"/>
  <c r="M53" i="8"/>
  <c r="M13" i="8"/>
  <c r="M109" i="8"/>
  <c r="AO89" i="8"/>
  <c r="AO65" i="8"/>
  <c r="AO87" i="8"/>
  <c r="M88" i="8"/>
  <c r="M106" i="8"/>
  <c r="M51" i="8"/>
  <c r="AO52" i="8"/>
  <c r="AK46" i="5" l="1"/>
  <c r="AQ46" i="5"/>
  <c r="CJ46" i="5" s="1"/>
  <c r="DC46" i="5" s="1"/>
  <c r="AQ25" i="5"/>
  <c r="CJ25" i="5" s="1"/>
  <c r="DC25" i="5" s="1"/>
  <c r="DW47" i="5"/>
  <c r="CW48" i="5"/>
  <c r="AQ14" i="5"/>
  <c r="CJ14" i="5" s="1"/>
  <c r="DC14" i="5" s="1"/>
  <c r="AQ34" i="5"/>
  <c r="CJ34" i="5" s="1"/>
  <c r="DC34" i="5" s="1"/>
  <c r="AQ27" i="5"/>
  <c r="CJ27" i="5" s="1"/>
  <c r="DC27" i="5" s="1"/>
  <c r="EI24" i="5" a="1"/>
  <c r="EI24" i="5" s="1"/>
  <c r="EI25" i="5" a="1"/>
  <c r="EI25" i="5" s="1"/>
  <c r="AQ34" i="8"/>
  <c r="O10" i="8"/>
  <c r="EI16" i="5" a="1"/>
  <c r="EI16" i="5" s="1"/>
  <c r="EJ16" i="5" a="1"/>
  <c r="EJ16" i="5" s="1"/>
  <c r="EH24" i="5" a="1"/>
  <c r="EH24" i="5" s="1"/>
  <c r="EJ24" i="5" a="1"/>
  <c r="EJ24" i="5" s="1"/>
  <c r="EH25" i="5" a="1"/>
  <c r="EH25" i="5" s="1"/>
  <c r="EI17" i="5" a="1"/>
  <c r="EI17" i="5" s="1"/>
  <c r="EI21" i="5" a="1"/>
  <c r="EI21" i="5" s="1"/>
  <c r="EJ27" i="5" a="1"/>
  <c r="EJ27" i="5" s="1"/>
  <c r="EH22" i="5" a="1"/>
  <c r="EH22" i="5" s="1"/>
  <c r="EH17" i="5" a="1"/>
  <c r="EH17" i="5" s="1"/>
  <c r="EH23" i="5" a="1"/>
  <c r="EH23" i="5" s="1"/>
  <c r="EH18" i="5" a="1"/>
  <c r="EH18" i="5" s="1"/>
  <c r="EJ17" i="5" a="1"/>
  <c r="EJ17" i="5" s="1"/>
  <c r="EI20" i="5" a="1"/>
  <c r="EI20" i="5" s="1"/>
  <c r="EJ20" i="5" a="1"/>
  <c r="EJ20" i="5" s="1"/>
  <c r="EH19" i="5" a="1"/>
  <c r="EH19" i="5" s="1"/>
  <c r="EJ15" i="5" a="1"/>
  <c r="EJ15" i="5" s="1"/>
  <c r="EH14" i="5" a="1"/>
  <c r="EH14" i="5" s="1"/>
  <c r="EI14" i="5" a="1"/>
  <c r="EI14" i="5" s="1"/>
  <c r="EJ25" i="5" a="1"/>
  <c r="EJ25" i="5" s="1"/>
  <c r="EI26" i="5" a="1"/>
  <c r="EI26" i="5" s="1"/>
  <c r="EJ28" i="5" a="1"/>
  <c r="EJ28" i="5" s="1"/>
  <c r="EI28" i="5" a="1"/>
  <c r="EI28" i="5" s="1"/>
  <c r="EH28" i="5" a="1"/>
  <c r="EH28" i="5" s="1"/>
  <c r="EH16" i="5" a="1"/>
  <c r="EH16" i="5" s="1"/>
  <c r="EJ22" i="5" a="1"/>
  <c r="EJ22" i="5" s="1"/>
  <c r="EJ23" i="5" a="1"/>
  <c r="EJ23" i="5" s="1"/>
  <c r="EI18" i="5" a="1"/>
  <c r="EI18" i="5" s="1"/>
  <c r="EH21" i="5" a="1"/>
  <c r="EH21" i="5" s="1"/>
  <c r="EH15" i="5" a="1"/>
  <c r="EH15" i="5" s="1"/>
  <c r="EJ13" i="5" a="1"/>
  <c r="EJ13" i="5" s="1"/>
  <c r="EI27" i="5" a="1"/>
  <c r="EI27" i="5" s="1"/>
  <c r="O51" i="8"/>
  <c r="O15" i="8"/>
  <c r="EH11" i="5" a="1"/>
  <c r="EH11" i="5" s="1"/>
  <c r="EJ10" i="5" a="1"/>
  <c r="EJ10" i="5" s="1"/>
  <c r="EJ11" i="5" a="1"/>
  <c r="EJ11" i="5" s="1"/>
  <c r="EF16" i="5"/>
  <c r="EJ8" i="5" a="1"/>
  <c r="EJ8" i="5" s="1"/>
  <c r="EJ7" i="5" a="1"/>
  <c r="EJ7" i="5" s="1"/>
  <c r="EF10" i="5"/>
  <c r="EF8" i="5"/>
  <c r="EI23" i="5" a="1"/>
  <c r="EI23" i="5" s="1"/>
  <c r="EJ26" i="5" a="1"/>
  <c r="EJ26" i="5" s="1"/>
  <c r="EH26" i="5" a="1"/>
  <c r="EH26" i="5" s="1"/>
  <c r="EI11" i="5" a="1"/>
  <c r="EI11" i="5" s="1"/>
  <c r="EI13" i="5" a="1"/>
  <c r="EI13" i="5" s="1"/>
  <c r="EH27" i="5" a="1"/>
  <c r="EH27" i="5" s="1"/>
  <c r="EF27" i="5"/>
  <c r="EJ14" i="5" a="1"/>
  <c r="EJ14" i="5" s="1"/>
  <c r="EH9" i="5" a="1"/>
  <c r="EH9" i="5" s="1"/>
  <c r="EH10" i="5" a="1"/>
  <c r="EH10" i="5" s="1"/>
  <c r="EH6" i="5" a="1"/>
  <c r="EH6" i="5" s="1"/>
  <c r="EJ18" i="5" a="1"/>
  <c r="EJ18" i="5" s="1"/>
  <c r="EF26" i="5"/>
  <c r="EF11" i="5"/>
  <c r="EI19" i="5" a="1"/>
  <c r="EI19" i="5" s="1"/>
  <c r="EJ19" i="5" a="1"/>
  <c r="EJ19" i="5" s="1"/>
  <c r="EH20" i="5" a="1"/>
  <c r="EH20" i="5" s="1"/>
  <c r="EI15" i="5" a="1"/>
  <c r="EI15" i="5" s="1"/>
  <c r="EF14" i="5"/>
  <c r="EI22" i="5" a="1"/>
  <c r="EI22" i="5" s="1"/>
  <c r="EJ21" i="5" a="1"/>
  <c r="EJ21" i="5" s="1"/>
  <c r="EF17" i="5"/>
  <c r="EI12" i="5" a="1"/>
  <c r="EI12" i="5" s="1"/>
  <c r="EJ6" i="5" a="1"/>
  <c r="EJ6" i="5" s="1"/>
  <c r="EI6" i="5" a="1"/>
  <c r="EI6" i="5" s="1"/>
  <c r="EI7" i="5" a="1"/>
  <c r="EI7" i="5" s="1"/>
  <c r="EI8" i="5" a="1"/>
  <c r="EI8" i="5" s="1"/>
  <c r="EI9" i="5" a="1"/>
  <c r="EI9" i="5" s="1"/>
  <c r="EI10" i="5" a="1"/>
  <c r="EI10" i="5" s="1"/>
  <c r="EH12" i="5" a="1"/>
  <c r="EH12" i="5" s="1"/>
  <c r="EJ9" i="5" a="1"/>
  <c r="EJ9" i="5" s="1"/>
  <c r="EF9" i="5"/>
  <c r="EF7" i="5"/>
  <c r="EF6" i="5"/>
  <c r="EJ12" i="5" a="1"/>
  <c r="EJ12" i="5" s="1"/>
  <c r="EH13" i="5" a="1"/>
  <c r="EH13" i="5" s="1"/>
  <c r="EF15" i="5"/>
  <c r="EH8" i="5" a="1"/>
  <c r="EH8" i="5" s="1"/>
  <c r="EH7" i="5" a="1"/>
  <c r="EH7" i="5" s="1"/>
  <c r="EF25" i="5"/>
  <c r="EF23" i="5"/>
  <c r="EF12" i="5"/>
  <c r="EF13" i="5"/>
  <c r="EF21" i="5"/>
  <c r="EF24" i="5"/>
  <c r="EF22" i="5"/>
  <c r="EF28" i="5"/>
  <c r="EF19" i="5"/>
  <c r="EF20" i="5"/>
  <c r="EF18" i="5"/>
  <c r="DY16" i="5" a="1"/>
  <c r="DY16" i="5" s="1"/>
  <c r="AQ58" i="8"/>
  <c r="AQ67" i="8"/>
  <c r="AQ89" i="8"/>
  <c r="O79" i="8"/>
  <c r="AQ40" i="8"/>
  <c r="O70" i="8"/>
  <c r="AQ71" i="8"/>
  <c r="AQ47" i="8"/>
  <c r="O34" i="8"/>
  <c r="O26" i="8"/>
  <c r="AQ26" i="8"/>
  <c r="O33" i="8"/>
  <c r="AQ43" i="5"/>
  <c r="CJ43" i="5" s="1"/>
  <c r="DC43" i="5" s="1"/>
  <c r="DY21" i="5" a="1"/>
  <c r="DY21" i="5" s="1"/>
  <c r="DY20" i="5" a="1"/>
  <c r="DY20" i="5" s="1"/>
  <c r="DY15" i="5" a="1"/>
  <c r="DY15" i="5" s="1"/>
  <c r="DY42" i="5" a="1"/>
  <c r="DY42" i="5" s="1"/>
  <c r="DY39" i="5" a="1"/>
  <c r="DY39" i="5" s="1"/>
  <c r="DY38" i="5" a="1"/>
  <c r="DY38" i="5" s="1"/>
  <c r="DY29" i="5" a="1"/>
  <c r="DY29" i="5" s="1"/>
  <c r="DY27" i="5" a="1"/>
  <c r="DY27" i="5" s="1"/>
  <c r="DY45" i="5" a="1"/>
  <c r="DY45" i="5" s="1"/>
  <c r="DY46" i="5" a="1"/>
  <c r="DY46" i="5" s="1"/>
  <c r="DY37" i="5" a="1"/>
  <c r="DY37" i="5" s="1"/>
  <c r="DY31" i="5" a="1"/>
  <c r="DY31" i="5" s="1"/>
  <c r="DY32" i="5" a="1"/>
  <c r="DY32" i="5" s="1"/>
  <c r="AQ100" i="8"/>
  <c r="O16" i="8"/>
  <c r="AQ94" i="8"/>
  <c r="O58" i="8"/>
  <c r="O102" i="8"/>
  <c r="O18" i="8"/>
  <c r="AQ81" i="8"/>
  <c r="O73" i="8"/>
  <c r="O13" i="8"/>
  <c r="AQ44" i="8"/>
  <c r="AQ25" i="8"/>
  <c r="O83" i="8"/>
  <c r="O63" i="8"/>
  <c r="AQ96" i="8"/>
  <c r="O82" i="8"/>
  <c r="AQ13" i="8"/>
  <c r="O28" i="8"/>
  <c r="O61" i="8"/>
  <c r="DY26" i="5" a="1"/>
  <c r="DY26" i="5" s="1"/>
  <c r="DY12" i="5" a="1"/>
  <c r="DY12" i="5" s="1"/>
  <c r="DY30" i="5" a="1"/>
  <c r="DY30" i="5" s="1"/>
  <c r="DY40" i="5" a="1"/>
  <c r="DY40" i="5" s="1"/>
  <c r="O37" i="8"/>
  <c r="O64" i="8"/>
  <c r="AQ92" i="8"/>
  <c r="AQ78" i="8"/>
  <c r="AQ90" i="8"/>
  <c r="AQ10" i="8"/>
  <c r="O108" i="8"/>
  <c r="O65" i="8"/>
  <c r="AQ70" i="8"/>
  <c r="O86" i="8"/>
  <c r="O101" i="8"/>
  <c r="AQ53" i="8"/>
  <c r="O47" i="8"/>
  <c r="O71" i="8"/>
  <c r="O32" i="8"/>
  <c r="AQ84" i="8"/>
  <c r="DY11" i="5" a="1"/>
  <c r="DY11" i="5" s="1"/>
  <c r="DY13" i="5" a="1"/>
  <c r="DY13" i="5" s="1"/>
  <c r="DY43" i="5" a="1"/>
  <c r="DY43" i="5" s="1"/>
  <c r="DY28" i="5" a="1"/>
  <c r="DY28" i="5" s="1"/>
  <c r="DY22" i="5" a="1"/>
  <c r="DY22" i="5" s="1"/>
  <c r="DY24" i="5" a="1"/>
  <c r="DY24" i="5" s="1"/>
  <c r="DY25" i="5" a="1"/>
  <c r="DY25" i="5" s="1"/>
  <c r="DY17" i="5" a="1"/>
  <c r="DY17" i="5" s="1"/>
  <c r="DY23" i="5" a="1"/>
  <c r="DY23" i="5" s="1"/>
  <c r="DY18" i="5" a="1"/>
  <c r="DY18" i="5" s="1"/>
  <c r="DY19" i="5" a="1"/>
  <c r="DY19" i="5" s="1"/>
  <c r="DY10" i="5" a="1"/>
  <c r="DY10" i="5" s="1"/>
  <c r="DY6" i="5" a="1"/>
  <c r="DY6" i="5" s="1"/>
  <c r="DY7" i="5" a="1"/>
  <c r="DY7" i="5" s="1"/>
  <c r="DY8" i="5" a="1"/>
  <c r="DY8" i="5" s="1"/>
  <c r="DY9" i="5" a="1"/>
  <c r="DY9" i="5" s="1"/>
  <c r="DY36" i="5" a="1"/>
  <c r="DY36" i="5" s="1"/>
  <c r="DY41" i="5" a="1"/>
  <c r="DY41" i="5" s="1"/>
  <c r="DY34" i="5" a="1"/>
  <c r="DY34" i="5" s="1"/>
  <c r="DY35" i="5" a="1"/>
  <c r="DY35" i="5" s="1"/>
  <c r="DY33" i="5" a="1"/>
  <c r="DY33" i="5" s="1"/>
  <c r="DY44" i="5" a="1"/>
  <c r="DY44" i="5" s="1"/>
  <c r="DY14" i="5" a="1"/>
  <c r="DY14" i="5" s="1"/>
  <c r="AC29" i="5"/>
  <c r="AD28" i="5"/>
  <c r="EJ29" i="5" s="1" a="1"/>
  <c r="EJ29" i="5" s="1"/>
  <c r="AE28" i="5"/>
  <c r="AL84" i="8"/>
  <c r="EB48" i="5" a="1"/>
  <c r="EB48" i="5" s="1"/>
  <c r="DX48" i="5"/>
  <c r="AL15" i="8"/>
  <c r="AL73" i="8"/>
  <c r="O75" i="8"/>
  <c r="AQ76" i="8"/>
  <c r="O41" i="8"/>
  <c r="AQ29" i="8"/>
  <c r="AQ98" i="8"/>
  <c r="O106" i="8"/>
  <c r="AQ41" i="8"/>
  <c r="O109" i="8"/>
  <c r="O38" i="8"/>
  <c r="AQ107" i="8"/>
  <c r="O48" i="8"/>
  <c r="O21" i="8"/>
  <c r="O95" i="8"/>
  <c r="O40" i="8"/>
  <c r="AQ72" i="8"/>
  <c r="O19" i="8"/>
  <c r="AQ65" i="8"/>
  <c r="O80" i="8"/>
  <c r="AQ54" i="8"/>
  <c r="AQ51" i="8"/>
  <c r="AQ21" i="8"/>
  <c r="O96" i="8"/>
  <c r="O87" i="8"/>
  <c r="AQ37" i="8"/>
  <c r="O76" i="8"/>
  <c r="O69" i="8"/>
  <c r="AQ39" i="8"/>
  <c r="O31" i="8"/>
  <c r="O11" i="8"/>
  <c r="AQ16" i="8"/>
  <c r="AQ66" i="8"/>
  <c r="O20" i="8"/>
  <c r="O50" i="8"/>
  <c r="AQ36" i="8"/>
  <c r="O84" i="8"/>
  <c r="O78" i="8"/>
  <c r="O60" i="8"/>
  <c r="AQ45" i="8"/>
  <c r="O59" i="8"/>
  <c r="O29" i="8"/>
  <c r="O56" i="8"/>
  <c r="O66" i="8"/>
  <c r="AQ77" i="8"/>
  <c r="O105" i="8"/>
  <c r="AQ73" i="8"/>
  <c r="O30" i="8"/>
  <c r="O42" i="8"/>
  <c r="AQ103" i="8"/>
  <c r="O81" i="8"/>
  <c r="AQ61" i="8"/>
  <c r="O90" i="8"/>
  <c r="O17" i="8"/>
  <c r="AQ49" i="8"/>
  <c r="AQ55" i="8"/>
  <c r="AQ38" i="8"/>
  <c r="O72" i="8"/>
  <c r="AQ56" i="8"/>
  <c r="AQ82" i="8"/>
  <c r="O107" i="8"/>
  <c r="O23" i="8"/>
  <c r="AQ23" i="8"/>
  <c r="AQ35" i="8"/>
  <c r="O49" i="8"/>
  <c r="AQ14" i="8"/>
  <c r="O35" i="8"/>
  <c r="AQ12" i="8"/>
  <c r="O24" i="8"/>
  <c r="AQ15" i="8"/>
  <c r="AQ24" i="8"/>
  <c r="AQ27" i="8"/>
  <c r="O57" i="8"/>
  <c r="O97" i="8"/>
  <c r="AQ50" i="8"/>
  <c r="AQ62" i="8"/>
  <c r="O27" i="8"/>
  <c r="AQ104" i="8"/>
  <c r="O53" i="8"/>
  <c r="AQ59" i="8"/>
  <c r="O62" i="8"/>
  <c r="AQ28" i="8"/>
  <c r="AQ80" i="8"/>
  <c r="AQ19" i="8"/>
  <c r="O36" i="8"/>
  <c r="AQ105" i="8"/>
  <c r="AQ75" i="8"/>
  <c r="AQ86" i="8"/>
  <c r="O39" i="8"/>
  <c r="AQ97" i="8"/>
  <c r="AQ22" i="8"/>
  <c r="AQ32" i="8"/>
  <c r="AQ68" i="8"/>
  <c r="AQ101" i="8"/>
  <c r="O77" i="8"/>
  <c r="AQ48" i="8"/>
  <c r="AQ109" i="8"/>
  <c r="O89" i="8"/>
  <c r="O12" i="8"/>
  <c r="AQ43" i="8"/>
  <c r="AQ64" i="8"/>
  <c r="AQ57" i="8"/>
  <c r="O68" i="8"/>
  <c r="O52" i="8"/>
  <c r="AQ85" i="8"/>
  <c r="AQ30" i="8"/>
  <c r="O93" i="8"/>
  <c r="AQ52" i="8"/>
  <c r="AQ99" i="8"/>
  <c r="O25" i="8"/>
  <c r="O14" i="8"/>
  <c r="AQ95" i="8"/>
  <c r="O46" i="8"/>
  <c r="O43" i="8"/>
  <c r="O45" i="8"/>
  <c r="AQ110" i="8"/>
  <c r="AQ106" i="8"/>
  <c r="O99" i="8"/>
  <c r="O22" i="8"/>
  <c r="AQ69" i="8"/>
  <c r="AQ87" i="8"/>
  <c r="O91" i="8"/>
  <c r="O44" i="8"/>
  <c r="O94" i="8"/>
  <c r="AQ74" i="8"/>
  <c r="AQ79" i="8"/>
  <c r="O88" i="8"/>
  <c r="AQ93" i="8"/>
  <c r="AQ11" i="8"/>
  <c r="O85" i="8"/>
  <c r="AQ108" i="8"/>
  <c r="O100" i="8"/>
  <c r="AQ63" i="8"/>
  <c r="AQ33" i="8"/>
  <c r="AQ102" i="8"/>
  <c r="AQ88" i="8"/>
  <c r="O92" i="8"/>
  <c r="AQ20" i="8"/>
  <c r="O74" i="8"/>
  <c r="O103" i="8"/>
  <c r="O55" i="8"/>
  <c r="AQ18" i="8"/>
  <c r="AQ17" i="8"/>
  <c r="O67" i="8"/>
  <c r="AQ91" i="8"/>
  <c r="O104" i="8"/>
  <c r="O110" i="8"/>
  <c r="AQ46" i="8"/>
  <c r="AQ60" i="8"/>
  <c r="O54" i="8"/>
  <c r="AQ83" i="8"/>
  <c r="AQ42" i="8"/>
  <c r="O98" i="8"/>
  <c r="AL79" i="8"/>
  <c r="AL12" i="8"/>
  <c r="AL14" i="8"/>
  <c r="AL38" i="8"/>
  <c r="J48" i="8"/>
  <c r="AL71" i="8"/>
  <c r="J25" i="8"/>
  <c r="J77" i="8"/>
  <c r="J33" i="8"/>
  <c r="AL66" i="8"/>
  <c r="AL83" i="8"/>
  <c r="J70" i="8"/>
  <c r="J102" i="8"/>
  <c r="AL93" i="8"/>
  <c r="J90" i="8"/>
  <c r="J23" i="8"/>
  <c r="J79" i="8"/>
  <c r="AL57" i="8"/>
  <c r="AL86" i="8"/>
  <c r="AL82" i="8"/>
  <c r="AL45" i="8"/>
  <c r="J81" i="8"/>
  <c r="AL46" i="8"/>
  <c r="J99" i="8"/>
  <c r="J95" i="8"/>
  <c r="AL67" i="8"/>
  <c r="J54" i="8"/>
  <c r="J29" i="8"/>
  <c r="AL29" i="8"/>
  <c r="AL62" i="8"/>
  <c r="AL80" i="8"/>
  <c r="J21" i="8"/>
  <c r="J27" i="8"/>
  <c r="J28" i="8"/>
  <c r="AL54" i="8"/>
  <c r="J55" i="8"/>
  <c r="J80" i="8"/>
  <c r="AL75" i="8"/>
  <c r="J52" i="8"/>
  <c r="J36" i="8"/>
  <c r="AL69" i="8"/>
  <c r="J84" i="8"/>
  <c r="J10" i="8"/>
  <c r="AL10" i="8"/>
  <c r="J16" i="8"/>
  <c r="J20" i="8"/>
  <c r="AL18" i="8"/>
  <c r="AL108" i="8"/>
  <c r="AL97" i="8"/>
  <c r="AL56" i="8"/>
  <c r="AL88" i="8"/>
  <c r="J66" i="8"/>
  <c r="J85" i="8"/>
  <c r="J67" i="8"/>
  <c r="J32" i="8"/>
  <c r="J60" i="8"/>
  <c r="AL13" i="8"/>
  <c r="J13" i="8"/>
  <c r="J22" i="8"/>
  <c r="J58" i="8"/>
  <c r="J109" i="8"/>
  <c r="J14" i="8"/>
  <c r="J69" i="8"/>
  <c r="J68" i="8"/>
  <c r="J103" i="8"/>
  <c r="AL24" i="8"/>
  <c r="AL37" i="8"/>
  <c r="AL51" i="8"/>
  <c r="AL17" i="8"/>
  <c r="J89" i="8"/>
  <c r="J34" i="8"/>
  <c r="AL76" i="8"/>
  <c r="J91" i="8"/>
  <c r="J40" i="8"/>
  <c r="J12" i="8"/>
  <c r="AL16" i="8"/>
  <c r="J98" i="8"/>
  <c r="J50" i="8"/>
  <c r="J35" i="8"/>
  <c r="J76" i="8"/>
  <c r="J43" i="8"/>
  <c r="J83" i="8"/>
  <c r="J18" i="8"/>
  <c r="J88" i="8"/>
  <c r="AL43" i="8"/>
  <c r="AL35" i="8"/>
  <c r="J37" i="8"/>
  <c r="J104" i="8"/>
  <c r="J53" i="8"/>
  <c r="J101" i="8"/>
  <c r="AL98" i="8"/>
  <c r="J51" i="8"/>
  <c r="AL33" i="8"/>
  <c r="J108" i="8"/>
  <c r="J26" i="8"/>
  <c r="L6" i="8"/>
  <c r="AN51" i="8" s="1"/>
  <c r="J47" i="8"/>
  <c r="J56" i="8"/>
  <c r="AL22" i="8"/>
  <c r="AL40" i="8"/>
  <c r="AL49" i="8"/>
  <c r="J30" i="8"/>
  <c r="J41" i="8"/>
  <c r="AL20" i="8"/>
  <c r="AL90" i="8"/>
  <c r="AL103" i="8"/>
  <c r="AL36" i="8"/>
  <c r="AL27" i="8"/>
  <c r="AL89" i="8"/>
  <c r="AL42" i="8"/>
  <c r="AL107" i="8"/>
  <c r="J61" i="8"/>
  <c r="J49" i="8"/>
  <c r="AL31" i="8"/>
  <c r="AL58" i="8"/>
  <c r="AL61" i="8"/>
  <c r="AL39" i="8"/>
  <c r="AL109" i="8"/>
  <c r="J59" i="8"/>
  <c r="AL70" i="8"/>
  <c r="AL53" i="8"/>
  <c r="AL30" i="8"/>
  <c r="J64" i="8"/>
  <c r="AL68" i="8"/>
  <c r="J100" i="8"/>
  <c r="AL94" i="8"/>
  <c r="J38" i="8"/>
  <c r="AL91" i="8"/>
  <c r="AL102" i="8"/>
  <c r="AL99" i="8"/>
  <c r="AL74" i="8"/>
  <c r="AL32" i="8"/>
  <c r="AL95" i="8"/>
  <c r="AL87" i="8"/>
  <c r="J15" i="8"/>
  <c r="J24" i="8"/>
  <c r="J73" i="8"/>
  <c r="AL26" i="8"/>
  <c r="AL21" i="8"/>
  <c r="J74" i="8"/>
  <c r="J93" i="8"/>
  <c r="AL52" i="8"/>
  <c r="J86" i="8"/>
  <c r="J19" i="8"/>
  <c r="J44" i="8"/>
  <c r="AL34" i="8"/>
  <c r="AL64" i="8"/>
  <c r="AL44" i="8"/>
  <c r="J97" i="8"/>
  <c r="AL50" i="8"/>
  <c r="AL60" i="8"/>
  <c r="J45" i="8"/>
  <c r="AL96" i="8"/>
  <c r="AL104" i="8"/>
  <c r="J110" i="8"/>
  <c r="AL55" i="8"/>
  <c r="J92" i="8"/>
  <c r="AL19" i="8"/>
  <c r="J62" i="8"/>
  <c r="J57" i="8"/>
  <c r="J82" i="8"/>
  <c r="AL59" i="8"/>
  <c r="AL105" i="8"/>
  <c r="AL63" i="8"/>
  <c r="J46" i="8"/>
  <c r="AL110" i="8"/>
  <c r="J96" i="8"/>
  <c r="J71" i="8"/>
  <c r="J107" i="8"/>
  <c r="AL106" i="8"/>
  <c r="AL47" i="8"/>
  <c r="J42" i="8"/>
  <c r="J65" i="8"/>
  <c r="AL100" i="8"/>
  <c r="J72" i="8"/>
  <c r="J78" i="8"/>
  <c r="AL25" i="8"/>
  <c r="AL78" i="8"/>
  <c r="J63" i="8"/>
  <c r="AL81" i="8"/>
  <c r="AL65" i="8"/>
  <c r="AL92" i="8"/>
  <c r="J11" i="8"/>
  <c r="J106" i="8"/>
  <c r="AL72" i="8"/>
  <c r="J75" i="8"/>
  <c r="J39" i="8"/>
  <c r="AL11" i="8"/>
  <c r="J17" i="8"/>
  <c r="AL23" i="8"/>
  <c r="AL41" i="8"/>
  <c r="J31" i="8"/>
  <c r="J87" i="8"/>
  <c r="J105" i="8"/>
  <c r="J94" i="8"/>
  <c r="AL101" i="8"/>
  <c r="AL28" i="8"/>
  <c r="AL48" i="8"/>
  <c r="AL77" i="8"/>
  <c r="K6" i="8"/>
  <c r="AM31" i="8" s="1"/>
  <c r="DZ47" i="5" a="1"/>
  <c r="DZ47" i="5" s="1"/>
  <c r="H88" i="8"/>
  <c r="AJ88" i="8" s="1"/>
  <c r="H17" i="8"/>
  <c r="AJ17" i="8" s="1"/>
  <c r="H104" i="8"/>
  <c r="AJ104" i="8" s="1"/>
  <c r="H54" i="8"/>
  <c r="AJ54" i="8" s="1"/>
  <c r="H68" i="8"/>
  <c r="AJ68" i="8" s="1"/>
  <c r="H74" i="8"/>
  <c r="AJ74" i="8" s="1"/>
  <c r="H47" i="8"/>
  <c r="AJ47" i="8" s="1"/>
  <c r="H12" i="8"/>
  <c r="AJ12" i="8" s="1"/>
  <c r="H98" i="8"/>
  <c r="AJ98" i="8" s="1"/>
  <c r="H94" i="8"/>
  <c r="AJ94" i="8" s="1"/>
  <c r="H21" i="8"/>
  <c r="AJ21" i="8" s="1"/>
  <c r="H84" i="8"/>
  <c r="AJ84" i="8" s="1"/>
  <c r="H101" i="8"/>
  <c r="AJ101" i="8" s="1"/>
  <c r="H11" i="8"/>
  <c r="AJ11" i="8" s="1"/>
  <c r="H33" i="8"/>
  <c r="AJ33" i="8" s="1"/>
  <c r="H39" i="8"/>
  <c r="AJ39" i="8" s="1"/>
  <c r="H34" i="8"/>
  <c r="AJ34" i="8" s="1"/>
  <c r="H61" i="8"/>
  <c r="AJ61" i="8" s="1"/>
  <c r="H27" i="8"/>
  <c r="AJ27" i="8" s="1"/>
  <c r="H28" i="8"/>
  <c r="AJ28" i="8" s="1"/>
  <c r="H58" i="8"/>
  <c r="AJ58" i="8" s="1"/>
  <c r="H85" i="8"/>
  <c r="AJ85" i="8" s="1"/>
  <c r="H37" i="8"/>
  <c r="AJ37" i="8" s="1"/>
  <c r="H43" i="8"/>
  <c r="AJ43" i="8" s="1"/>
  <c r="H103" i="8"/>
  <c r="AJ103" i="8" s="1"/>
  <c r="H52" i="8"/>
  <c r="AJ52" i="8" s="1"/>
  <c r="H48" i="8"/>
  <c r="AJ48" i="8" s="1"/>
  <c r="H107" i="8"/>
  <c r="AJ107" i="8" s="1"/>
  <c r="H86" i="8"/>
  <c r="AJ86" i="8" s="1"/>
  <c r="H65" i="8"/>
  <c r="AJ65" i="8" s="1"/>
  <c r="H76" i="8"/>
  <c r="AJ76" i="8" s="1"/>
  <c r="H40" i="8"/>
  <c r="AJ40" i="8" s="1"/>
  <c r="H99" i="8"/>
  <c r="AJ99" i="8" s="1"/>
  <c r="H66" i="8"/>
  <c r="AJ66" i="8" s="1"/>
  <c r="H29" i="8"/>
  <c r="AJ29" i="8" s="1"/>
  <c r="H93" i="8"/>
  <c r="AJ93" i="8" s="1"/>
  <c r="H95" i="8"/>
  <c r="AJ95" i="8" s="1"/>
  <c r="H30" i="8"/>
  <c r="AJ30" i="8" s="1"/>
  <c r="H57" i="8"/>
  <c r="AJ57" i="8" s="1"/>
  <c r="H55" i="8"/>
  <c r="AJ55" i="8" s="1"/>
  <c r="H10" i="8"/>
  <c r="AJ10" i="8" s="1"/>
  <c r="EA39" i="5" a="1"/>
  <c r="EA39" i="5" s="1"/>
  <c r="H26" i="8"/>
  <c r="AJ26" i="8" s="1"/>
  <c r="H90" i="8"/>
  <c r="AJ90" i="8" s="1"/>
  <c r="H53" i="8"/>
  <c r="AJ53" i="8" s="1"/>
  <c r="H42" i="8"/>
  <c r="AJ42" i="8" s="1"/>
  <c r="H106" i="8"/>
  <c r="AJ106" i="8" s="1"/>
  <c r="H69" i="8"/>
  <c r="AJ69" i="8" s="1"/>
  <c r="H16" i="8"/>
  <c r="AJ16" i="8" s="1"/>
  <c r="H22" i="8"/>
  <c r="AJ22" i="8" s="1"/>
  <c r="H97" i="8"/>
  <c r="AJ97" i="8" s="1"/>
  <c r="H67" i="8"/>
  <c r="AJ67" i="8" s="1"/>
  <c r="H20" i="8"/>
  <c r="AJ20" i="8" s="1"/>
  <c r="H15" i="8"/>
  <c r="AJ15" i="8" s="1"/>
  <c r="H79" i="8"/>
  <c r="AJ79" i="8" s="1"/>
  <c r="H80" i="8"/>
  <c r="AJ80" i="8" s="1"/>
  <c r="H75" i="8"/>
  <c r="AJ75" i="8" s="1"/>
  <c r="H38" i="8"/>
  <c r="AJ38" i="8" s="1"/>
  <c r="H70" i="8"/>
  <c r="AJ70" i="8" s="1"/>
  <c r="H102" i="8"/>
  <c r="AJ102" i="8" s="1"/>
  <c r="H49" i="8"/>
  <c r="AJ49" i="8" s="1"/>
  <c r="H81" i="8"/>
  <c r="AJ81" i="8" s="1"/>
  <c r="H44" i="8"/>
  <c r="AJ44" i="8" s="1"/>
  <c r="H108" i="8"/>
  <c r="AJ108" i="8" s="1"/>
  <c r="H71" i="8"/>
  <c r="AJ71" i="8" s="1"/>
  <c r="H72" i="8"/>
  <c r="AJ72" i="8" s="1"/>
  <c r="H35" i="8"/>
  <c r="AJ35" i="8" s="1"/>
  <c r="H18" i="8"/>
  <c r="AJ18" i="8" s="1"/>
  <c r="H50" i="8"/>
  <c r="AJ50" i="8" s="1"/>
  <c r="H82" i="8"/>
  <c r="AJ82" i="8" s="1"/>
  <c r="H13" i="8"/>
  <c r="AJ13" i="8" s="1"/>
  <c r="H45" i="8"/>
  <c r="AJ45" i="8" s="1"/>
  <c r="H77" i="8"/>
  <c r="AJ77" i="8" s="1"/>
  <c r="H109" i="8"/>
  <c r="AJ109" i="8" s="1"/>
  <c r="H31" i="8"/>
  <c r="AJ31" i="8" s="1"/>
  <c r="H64" i="8"/>
  <c r="AJ64" i="8" s="1"/>
  <c r="H91" i="8"/>
  <c r="AJ91" i="8" s="1"/>
  <c r="H62" i="8"/>
  <c r="AJ62" i="8" s="1"/>
  <c r="H25" i="8"/>
  <c r="AJ25" i="8" s="1"/>
  <c r="H89" i="8"/>
  <c r="AJ89" i="8" s="1"/>
  <c r="H92" i="8"/>
  <c r="AJ92" i="8" s="1"/>
  <c r="H24" i="8"/>
  <c r="AJ24" i="8" s="1"/>
  <c r="DZ35" i="5" a="1"/>
  <c r="DZ35" i="5" s="1"/>
  <c r="H83" i="8"/>
  <c r="AJ83" i="8" s="1"/>
  <c r="H19" i="8"/>
  <c r="AJ19" i="8" s="1"/>
  <c r="H56" i="8"/>
  <c r="AJ56" i="8" s="1"/>
  <c r="H87" i="8"/>
  <c r="AJ87" i="8" s="1"/>
  <c r="H23" i="8"/>
  <c r="AJ23" i="8" s="1"/>
  <c r="H60" i="8"/>
  <c r="AJ60" i="8" s="1"/>
  <c r="H105" i="8"/>
  <c r="AJ105" i="8" s="1"/>
  <c r="H73" i="8"/>
  <c r="AJ73" i="8" s="1"/>
  <c r="H41" i="8"/>
  <c r="AJ41" i="8" s="1"/>
  <c r="H110" i="8"/>
  <c r="AJ110" i="8" s="1"/>
  <c r="H78" i="8"/>
  <c r="AJ78" i="8" s="1"/>
  <c r="H46" i="8"/>
  <c r="AJ46" i="8" s="1"/>
  <c r="H14" i="8"/>
  <c r="AJ14" i="8" s="1"/>
  <c r="H59" i="8"/>
  <c r="AJ59" i="8" s="1"/>
  <c r="H96" i="8"/>
  <c r="AJ96" i="8" s="1"/>
  <c r="H32" i="8"/>
  <c r="AJ32" i="8" s="1"/>
  <c r="H63" i="8"/>
  <c r="AJ63" i="8" s="1"/>
  <c r="H100" i="8"/>
  <c r="AJ100" i="8" s="1"/>
  <c r="H36" i="8"/>
  <c r="AJ36" i="8" s="1"/>
  <c r="CR3" i="5"/>
  <c r="EA45" i="5" a="1"/>
  <c r="EA45" i="5" s="1"/>
  <c r="DW31" i="5"/>
  <c r="EA36" i="5" a="1"/>
  <c r="EA36" i="5" s="1"/>
  <c r="EA47" i="5" a="1"/>
  <c r="EA47" i="5" s="1"/>
  <c r="AQ44" i="5"/>
  <c r="CJ44" i="5" s="1"/>
  <c r="DC44" i="5" s="1"/>
  <c r="DW6" i="5"/>
  <c r="EA38" i="5" a="1"/>
  <c r="EA38" i="5" s="1"/>
  <c r="CF7" i="5"/>
  <c r="CG6" i="5" s="1"/>
  <c r="U7" i="15" s="1"/>
  <c r="CG17" i="5" a="1"/>
  <c r="CG17" i="5" s="1"/>
  <c r="CP17" i="5" s="1"/>
  <c r="DG17" i="5" s="1"/>
  <c r="AK41" i="5"/>
  <c r="AQ41" i="5"/>
  <c r="CJ41" i="5" s="1"/>
  <c r="DC41" i="5" s="1"/>
  <c r="AQ30" i="5"/>
  <c r="CJ30" i="5" s="1"/>
  <c r="DC30" i="5" s="1"/>
  <c r="AK45" i="5"/>
  <c r="AQ45" i="5"/>
  <c r="CJ45" i="5" s="1"/>
  <c r="DC45" i="5" s="1"/>
  <c r="AK47" i="5"/>
  <c r="AQ47" i="5"/>
  <c r="CJ47" i="5" s="1"/>
  <c r="DC47" i="5" s="1"/>
  <c r="EA48" i="5" a="1"/>
  <c r="EA48" i="5" s="1"/>
  <c r="EA46" i="5" a="1"/>
  <c r="EA46" i="5" s="1"/>
  <c r="EA44" i="5" a="1"/>
  <c r="EA44" i="5" s="1"/>
  <c r="DW23" i="5"/>
  <c r="DZ45" i="5" a="1"/>
  <c r="DZ45" i="5" s="1"/>
  <c r="DZ46" i="5" a="1"/>
  <c r="DZ46" i="5" s="1"/>
  <c r="DZ39" i="5" a="1"/>
  <c r="DZ39" i="5" s="1"/>
  <c r="DW44" i="5"/>
  <c r="DZ28" i="5" a="1"/>
  <c r="DZ28" i="5" s="1"/>
  <c r="DZ42" i="5" a="1"/>
  <c r="DZ42" i="5" s="1"/>
  <c r="DW19" i="5"/>
  <c r="EA32" i="5" a="1"/>
  <c r="EA32" i="5" s="1"/>
  <c r="DZ43" i="5" a="1"/>
  <c r="DZ43" i="5" s="1"/>
  <c r="EA41" i="5" a="1"/>
  <c r="EA41" i="5" s="1"/>
  <c r="EA30" i="5" a="1"/>
  <c r="EA30" i="5" s="1"/>
  <c r="DZ32" i="5" a="1"/>
  <c r="DZ32" i="5" s="1"/>
  <c r="DZ41" i="5" a="1"/>
  <c r="DZ41" i="5" s="1"/>
  <c r="AQ6" i="5"/>
  <c r="CJ6" i="5" s="1"/>
  <c r="CG30" i="5" a="1"/>
  <c r="CG30" i="5" s="1"/>
  <c r="CP30" i="5" s="1"/>
  <c r="DF30" i="5" s="1"/>
  <c r="EA31" i="5" a="1"/>
  <c r="EA31" i="5" s="1"/>
  <c r="EA40" i="5" a="1"/>
  <c r="EA40" i="5" s="1"/>
  <c r="AQ26" i="5"/>
  <c r="CJ26" i="5" s="1"/>
  <c r="DC26" i="5" s="1"/>
  <c r="AQ31" i="5"/>
  <c r="CJ31" i="5" s="1"/>
  <c r="DC31" i="5" s="1"/>
  <c r="CG8" i="5" a="1"/>
  <c r="CG8" i="5" s="1"/>
  <c r="CP8" i="5" s="1"/>
  <c r="DE8" i="5" s="1"/>
  <c r="DO12" i="5" s="1"/>
  <c r="AQ16" i="5"/>
  <c r="CJ16" i="5" s="1"/>
  <c r="DC16" i="5" s="1"/>
  <c r="EA11" i="5" a="1"/>
  <c r="EA11" i="5" s="1"/>
  <c r="EA26" i="5" a="1"/>
  <c r="EA26" i="5" s="1"/>
  <c r="DZ40" i="5" a="1"/>
  <c r="DZ40" i="5" s="1"/>
  <c r="DZ26" i="5" a="1"/>
  <c r="DZ26" i="5" s="1"/>
  <c r="DW29" i="5"/>
  <c r="EA28" i="5" a="1"/>
  <c r="EA28" i="5" s="1"/>
  <c r="EA43" i="5" a="1"/>
  <c r="EA43" i="5" s="1"/>
  <c r="DZ44" i="5" a="1"/>
  <c r="DZ44" i="5" s="1"/>
  <c r="DW28" i="5"/>
  <c r="DW13" i="5"/>
  <c r="CK2" i="5"/>
  <c r="DW38" i="5"/>
  <c r="EA33" i="5" a="1"/>
  <c r="EA33" i="5" s="1"/>
  <c r="EA34" i="5" a="1"/>
  <c r="EA34" i="5" s="1"/>
  <c r="DW41" i="5"/>
  <c r="DW36" i="5"/>
  <c r="DZ31" i="5" a="1"/>
  <c r="DZ31" i="5" s="1"/>
  <c r="DW27" i="5"/>
  <c r="DW42" i="5"/>
  <c r="CG40" i="5" a="1"/>
  <c r="CG40" i="5" s="1"/>
  <c r="CP40" i="5" s="1"/>
  <c r="DF40" i="5" s="1"/>
  <c r="CG33" i="5" a="1"/>
  <c r="CG33" i="5" s="1"/>
  <c r="CP33" i="5" s="1"/>
  <c r="DG33" i="5" s="1"/>
  <c r="DZ38" i="5" a="1"/>
  <c r="DZ38" i="5" s="1"/>
  <c r="EA29" i="5" a="1"/>
  <c r="EA29" i="5" s="1"/>
  <c r="EA35" i="5" a="1"/>
  <c r="EA35" i="5" s="1"/>
  <c r="EA37" i="5" a="1"/>
  <c r="EA37" i="5" s="1"/>
  <c r="EA42" i="5" a="1"/>
  <c r="EA42" i="5" s="1"/>
  <c r="AQ48" i="5"/>
  <c r="AS48" i="5" s="1"/>
  <c r="AQ40" i="5"/>
  <c r="AQ39" i="5"/>
  <c r="CJ39" i="5" s="1"/>
  <c r="DC39" i="5" s="1"/>
  <c r="AQ35" i="5"/>
  <c r="CJ35" i="5" s="1"/>
  <c r="DC35" i="5" s="1"/>
  <c r="CG46" i="5" a="1"/>
  <c r="CG46" i="5" s="1"/>
  <c r="CP46" i="5" s="1"/>
  <c r="DE46" i="5" s="1"/>
  <c r="CG14" i="5" a="1"/>
  <c r="CG14" i="5" s="1"/>
  <c r="CP14" i="5" s="1"/>
  <c r="DG14" i="5" s="1"/>
  <c r="CG24" i="5" a="1"/>
  <c r="CG24" i="5" s="1"/>
  <c r="CP24" i="5" s="1"/>
  <c r="DE24" i="5" s="1"/>
  <c r="CG41" i="5" a="1"/>
  <c r="CG41" i="5" s="1"/>
  <c r="CP41" i="5" s="1"/>
  <c r="DG41" i="5" s="1"/>
  <c r="CG25" i="5" a="1"/>
  <c r="CG25" i="5" s="1"/>
  <c r="CP25" i="5" s="1"/>
  <c r="DG25" i="5" s="1"/>
  <c r="CG9" i="5" a="1"/>
  <c r="CG9" i="5" s="1"/>
  <c r="CP9" i="5" s="1"/>
  <c r="DF9" i="5" s="1"/>
  <c r="DZ29" i="5" a="1"/>
  <c r="DZ29" i="5" s="1"/>
  <c r="DZ37" i="5" a="1"/>
  <c r="DZ37" i="5" s="1"/>
  <c r="DZ34" i="5" a="1"/>
  <c r="DZ34" i="5" s="1"/>
  <c r="AQ13" i="5"/>
  <c r="CJ13" i="5" s="1"/>
  <c r="DC13" i="5" s="1"/>
  <c r="DW39" i="5"/>
  <c r="DZ15" i="5" a="1"/>
  <c r="DZ15" i="5" s="1"/>
  <c r="BY31" i="5"/>
  <c r="BZ31" i="5" s="1"/>
  <c r="CA30" i="5" s="1"/>
  <c r="DW37" i="5"/>
  <c r="DW20" i="5"/>
  <c r="DW15" i="5"/>
  <c r="DW12" i="5"/>
  <c r="DW8" i="5"/>
  <c r="DW11" i="5"/>
  <c r="CG38" i="5" a="1"/>
  <c r="CG38" i="5" s="1"/>
  <c r="CP38" i="5" s="1"/>
  <c r="DE38" i="5" s="1"/>
  <c r="DO15" i="5" s="1"/>
  <c r="CG22" i="5" a="1"/>
  <c r="CG22" i="5" s="1"/>
  <c r="CP22" i="5" s="1"/>
  <c r="DF22" i="5" s="1"/>
  <c r="CG48" i="5" a="1"/>
  <c r="CG48" i="5" s="1"/>
  <c r="CP48" i="5" s="1"/>
  <c r="DF48" i="5" s="1"/>
  <c r="DP16" i="5" s="1"/>
  <c r="CG32" i="5" a="1"/>
  <c r="CG32" i="5" s="1"/>
  <c r="CP32" i="5" s="1"/>
  <c r="DG32" i="5" s="1"/>
  <c r="CG16" i="5" a="1"/>
  <c r="CG16" i="5" s="1"/>
  <c r="CP16" i="5" s="1"/>
  <c r="DE16" i="5" s="1"/>
  <c r="CG45" i="5" a="1"/>
  <c r="CG45" i="5" s="1"/>
  <c r="CP45" i="5" s="1"/>
  <c r="DF45" i="5" s="1"/>
  <c r="CG37" i="5" a="1"/>
  <c r="CG37" i="5" s="1"/>
  <c r="CP37" i="5" s="1"/>
  <c r="DE37" i="5" s="1"/>
  <c r="CG29" i="5" a="1"/>
  <c r="CG29" i="5" s="1"/>
  <c r="CP29" i="5" s="1"/>
  <c r="DF29" i="5" s="1"/>
  <c r="CG21" i="5" a="1"/>
  <c r="CG21" i="5" s="1"/>
  <c r="CP21" i="5" s="1"/>
  <c r="DG21" i="5" s="1"/>
  <c r="CG13" i="5" a="1"/>
  <c r="CG13" i="5" s="1"/>
  <c r="CP13" i="5" s="1"/>
  <c r="DG13" i="5" s="1"/>
  <c r="DW22" i="5"/>
  <c r="AQ10" i="5"/>
  <c r="CJ10" i="5" s="1"/>
  <c r="DC10" i="5" s="1"/>
  <c r="AQ36" i="5"/>
  <c r="CJ36" i="5" s="1"/>
  <c r="DC36" i="5" s="1"/>
  <c r="AQ8" i="5"/>
  <c r="CJ8" i="5" s="1"/>
  <c r="DC8" i="5" s="1"/>
  <c r="AQ24" i="5"/>
  <c r="CJ24" i="5" s="1"/>
  <c r="DC24" i="5" s="1"/>
  <c r="AQ37" i="5"/>
  <c r="CJ37" i="5" s="1"/>
  <c r="DC37" i="5" s="1"/>
  <c r="AQ7" i="5"/>
  <c r="CJ7" i="5" s="1"/>
  <c r="DC7" i="5" s="1"/>
  <c r="AQ33" i="5"/>
  <c r="CJ33" i="5" s="1"/>
  <c r="DC33" i="5" s="1"/>
  <c r="AQ32" i="5"/>
  <c r="CJ32" i="5" s="1"/>
  <c r="DC32" i="5" s="1"/>
  <c r="AQ29" i="5"/>
  <c r="CJ29" i="5" s="1"/>
  <c r="DC29" i="5" s="1"/>
  <c r="BY30" i="5"/>
  <c r="BZ30" i="5" s="1"/>
  <c r="CA29" i="5" s="1"/>
  <c r="EA17" i="5" a="1"/>
  <c r="EA17" i="5" s="1"/>
  <c r="BY10" i="5"/>
  <c r="BZ10" i="5" s="1"/>
  <c r="CA9" i="5" s="1"/>
  <c r="DZ10" i="5" a="1"/>
  <c r="DZ10" i="5" s="1"/>
  <c r="EA27" i="5" a="1"/>
  <c r="EA27" i="5" s="1"/>
  <c r="DZ30" i="5" a="1"/>
  <c r="DZ30" i="5" s="1"/>
  <c r="DW45" i="5"/>
  <c r="DW35" i="5"/>
  <c r="DW21" i="5"/>
  <c r="DW17" i="5"/>
  <c r="DW16" i="5"/>
  <c r="DW18" i="5"/>
  <c r="DW14" i="5"/>
  <c r="DW9" i="5"/>
  <c r="CK3" i="5"/>
  <c r="DW10" i="5"/>
  <c r="DW7" i="5"/>
  <c r="DW34" i="5"/>
  <c r="DZ27" i="5" a="1"/>
  <c r="DZ27" i="5" s="1"/>
  <c r="DW32" i="5"/>
  <c r="DW30" i="5"/>
  <c r="DZ22" i="5" a="1"/>
  <c r="DZ22" i="5" s="1"/>
  <c r="DW46" i="5"/>
  <c r="DW43" i="5"/>
  <c r="DZ36" i="5" a="1"/>
  <c r="DZ36" i="5" s="1"/>
  <c r="CG42" i="5" a="1"/>
  <c r="CG42" i="5" s="1"/>
  <c r="CP42" i="5" s="1"/>
  <c r="DG42" i="5" s="1"/>
  <c r="CG34" i="5" a="1"/>
  <c r="CG34" i="5" s="1"/>
  <c r="CP34" i="5" s="1"/>
  <c r="DG34" i="5" s="1"/>
  <c r="CG26" i="5" a="1"/>
  <c r="CG26" i="5" s="1"/>
  <c r="CP26" i="5" s="1"/>
  <c r="DE26" i="5" s="1"/>
  <c r="CG18" i="5" a="1"/>
  <c r="CG18" i="5" s="1"/>
  <c r="CP18" i="5" s="1"/>
  <c r="DG18" i="5" s="1"/>
  <c r="DQ13" i="5" s="1"/>
  <c r="CG10" i="5" a="1"/>
  <c r="CG10" i="5" s="1"/>
  <c r="CP10" i="5" s="1"/>
  <c r="DF10" i="5" s="1"/>
  <c r="CG44" i="5" a="1"/>
  <c r="CG44" i="5" s="1"/>
  <c r="CP44" i="5" s="1"/>
  <c r="DG44" i="5" s="1"/>
  <c r="CG36" i="5" a="1"/>
  <c r="CG36" i="5" s="1"/>
  <c r="CP36" i="5" s="1"/>
  <c r="DF36" i="5" s="1"/>
  <c r="CG28" i="5" a="1"/>
  <c r="CG28" i="5" s="1"/>
  <c r="CP28" i="5" s="1"/>
  <c r="DG28" i="5" s="1"/>
  <c r="DQ14" i="5" s="1"/>
  <c r="CG20" i="5" a="1"/>
  <c r="CG20" i="5" s="1"/>
  <c r="CP20" i="5" s="1"/>
  <c r="DF20" i="5" s="1"/>
  <c r="CG12" i="5" a="1"/>
  <c r="CG12" i="5" s="1"/>
  <c r="CP12" i="5" s="1"/>
  <c r="DF12" i="5" s="1"/>
  <c r="CG47" i="5" a="1"/>
  <c r="CG47" i="5" s="1"/>
  <c r="CP47" i="5" s="1"/>
  <c r="DE47" i="5" s="1"/>
  <c r="CG43" i="5" a="1"/>
  <c r="CG43" i="5" s="1"/>
  <c r="CP43" i="5" s="1"/>
  <c r="DE43" i="5" s="1"/>
  <c r="CG39" i="5" a="1"/>
  <c r="CG39" i="5" s="1"/>
  <c r="CP39" i="5" s="1"/>
  <c r="DG39" i="5" s="1"/>
  <c r="CG35" i="5" a="1"/>
  <c r="CG35" i="5" s="1"/>
  <c r="CP35" i="5" s="1"/>
  <c r="DF35" i="5" s="1"/>
  <c r="CG31" i="5" a="1"/>
  <c r="CG31" i="5" s="1"/>
  <c r="CP31" i="5" s="1"/>
  <c r="DF31" i="5" s="1"/>
  <c r="CG27" i="5" a="1"/>
  <c r="CG27" i="5" s="1"/>
  <c r="CP27" i="5" s="1"/>
  <c r="DF27" i="5" s="1"/>
  <c r="CG23" i="5" a="1"/>
  <c r="CG23" i="5" s="1"/>
  <c r="CP23" i="5" s="1"/>
  <c r="DF23" i="5" s="1"/>
  <c r="CG19" i="5" a="1"/>
  <c r="CG19" i="5" s="1"/>
  <c r="CP19" i="5" s="1"/>
  <c r="DG19" i="5" s="1"/>
  <c r="CG15" i="5" a="1"/>
  <c r="CG15" i="5" s="1"/>
  <c r="CP15" i="5" s="1"/>
  <c r="DG15" i="5" s="1"/>
  <c r="CG11" i="5" a="1"/>
  <c r="CG11" i="5" s="1"/>
  <c r="CP11" i="5" s="1"/>
  <c r="DF11" i="5" s="1"/>
  <c r="CG7" i="5" a="1"/>
  <c r="CG7" i="5" s="1"/>
  <c r="CP7" i="5" s="1"/>
  <c r="DF7" i="5" s="1"/>
  <c r="DW33" i="5"/>
  <c r="DW24" i="5"/>
  <c r="DW25" i="5"/>
  <c r="DW26" i="5"/>
  <c r="DZ33" i="5" a="1"/>
  <c r="DZ33" i="5" s="1"/>
  <c r="DW40" i="5"/>
  <c r="BY46" i="5"/>
  <c r="BZ46" i="5" s="1"/>
  <c r="CA45" i="5" s="1"/>
  <c r="AQ42" i="5"/>
  <c r="AQ28" i="5"/>
  <c r="CJ28" i="5" s="1"/>
  <c r="DC28" i="5" s="1"/>
  <c r="DM14" i="5" s="1"/>
  <c r="DZ24" i="5" a="1"/>
  <c r="DZ24" i="5" s="1"/>
  <c r="DZ25" i="5" a="1"/>
  <c r="DZ25" i="5" s="1"/>
  <c r="EA25" i="5" a="1"/>
  <c r="EA25" i="5" s="1"/>
  <c r="BY9" i="5"/>
  <c r="BZ9" i="5" s="1"/>
  <c r="CA8" i="5" s="1"/>
  <c r="BY47" i="5"/>
  <c r="BZ47" i="5" s="1"/>
  <c r="CA46" i="5" s="1"/>
  <c r="BY37" i="5"/>
  <c r="BZ37" i="5" s="1"/>
  <c r="CA36" i="5" s="1"/>
  <c r="BY38" i="5"/>
  <c r="BZ38" i="5" s="1"/>
  <c r="CA37" i="5" s="1"/>
  <c r="BY22" i="5"/>
  <c r="BZ22" i="5" s="1"/>
  <c r="CA21" i="5" s="1"/>
  <c r="AQ17" i="5"/>
  <c r="CJ17" i="5" s="1"/>
  <c r="DC17" i="5" s="1"/>
  <c r="AQ20" i="5"/>
  <c r="CJ20" i="5" s="1"/>
  <c r="DC20" i="5" s="1"/>
  <c r="AQ23" i="5"/>
  <c r="CJ23" i="5" s="1"/>
  <c r="DC23" i="5" s="1"/>
  <c r="BY23" i="5"/>
  <c r="BZ23" i="5" s="1"/>
  <c r="CA22" i="5" s="1"/>
  <c r="BY39" i="5"/>
  <c r="BZ39" i="5" s="1"/>
  <c r="CA38" i="5" s="1"/>
  <c r="BY45" i="5"/>
  <c r="BZ45" i="5" s="1"/>
  <c r="CA44" i="5" s="1"/>
  <c r="BY29" i="5"/>
  <c r="BZ29" i="5" s="1"/>
  <c r="CA28" i="5" s="1"/>
  <c r="BY42" i="5"/>
  <c r="BZ42" i="5" s="1"/>
  <c r="CA41" i="5" s="1"/>
  <c r="BY34" i="5"/>
  <c r="BZ34" i="5" s="1"/>
  <c r="CA33" i="5" s="1"/>
  <c r="BY26" i="5"/>
  <c r="BZ26" i="5" s="1"/>
  <c r="CA25" i="5" s="1"/>
  <c r="BY18" i="5"/>
  <c r="BZ18" i="5" s="1"/>
  <c r="CA17" i="5" s="1"/>
  <c r="AK38" i="5"/>
  <c r="AQ38" i="5"/>
  <c r="BY19" i="5"/>
  <c r="BZ19" i="5" s="1"/>
  <c r="CA18" i="5" s="1"/>
  <c r="BY14" i="5"/>
  <c r="BZ14" i="5" s="1"/>
  <c r="CA13" i="5" s="1"/>
  <c r="BY27" i="5"/>
  <c r="BZ27" i="5" s="1"/>
  <c r="CA26" i="5" s="1"/>
  <c r="AQ19" i="5"/>
  <c r="CJ19" i="5" s="1"/>
  <c r="DC19" i="5" s="1"/>
  <c r="AQ15" i="5"/>
  <c r="CJ15" i="5" s="1"/>
  <c r="DC15" i="5" s="1"/>
  <c r="BY7" i="5"/>
  <c r="BZ7" i="5" s="1"/>
  <c r="CA6" i="5" s="1"/>
  <c r="BY43" i="5"/>
  <c r="BZ43" i="5" s="1"/>
  <c r="CA42" i="5" s="1"/>
  <c r="BY35" i="5"/>
  <c r="BZ35" i="5" s="1"/>
  <c r="CA34" i="5" s="1"/>
  <c r="BY6" i="5"/>
  <c r="BZ6" i="5" s="1"/>
  <c r="BY41" i="5"/>
  <c r="BZ41" i="5" s="1"/>
  <c r="CA40" i="5" s="1"/>
  <c r="BY33" i="5"/>
  <c r="BZ33" i="5" s="1"/>
  <c r="CA32" i="5" s="1"/>
  <c r="BY48" i="5"/>
  <c r="BZ48" i="5" s="1"/>
  <c r="CA47" i="5" s="1"/>
  <c r="BY44" i="5"/>
  <c r="BZ44" i="5" s="1"/>
  <c r="CA43" i="5" s="1"/>
  <c r="BY40" i="5"/>
  <c r="BZ40" i="5" s="1"/>
  <c r="CA39" i="5" s="1"/>
  <c r="BY36" i="5"/>
  <c r="BZ36" i="5" s="1"/>
  <c r="CA35" i="5" s="1"/>
  <c r="BY32" i="5"/>
  <c r="BZ32" i="5" s="1"/>
  <c r="CA31" i="5" s="1"/>
  <c r="BY28" i="5"/>
  <c r="BZ28" i="5" s="1"/>
  <c r="CA27" i="5" s="1"/>
  <c r="BY24" i="5"/>
  <c r="BZ24" i="5" s="1"/>
  <c r="CA23" i="5" s="1"/>
  <c r="BY20" i="5"/>
  <c r="BZ20" i="5" s="1"/>
  <c r="CA19" i="5" s="1"/>
  <c r="BY16" i="5"/>
  <c r="BZ16" i="5" s="1"/>
  <c r="CA15" i="5" s="1"/>
  <c r="BY12" i="5"/>
  <c r="BZ12" i="5" s="1"/>
  <c r="CA11" i="5" s="1"/>
  <c r="BY8" i="5"/>
  <c r="BZ8" i="5" s="1"/>
  <c r="CA7" i="5" s="1"/>
  <c r="BY25" i="5"/>
  <c r="BZ25" i="5" s="1"/>
  <c r="CA24" i="5" s="1"/>
  <c r="BY21" i="5"/>
  <c r="BZ21" i="5" s="1"/>
  <c r="CA20" i="5" s="1"/>
  <c r="BY15" i="5"/>
  <c r="BZ15" i="5" s="1"/>
  <c r="CA14" i="5" s="1"/>
  <c r="AQ21" i="5"/>
  <c r="CJ21" i="5" s="1"/>
  <c r="DC21" i="5" s="1"/>
  <c r="BY17" i="5"/>
  <c r="BZ17" i="5" s="1"/>
  <c r="CA16" i="5" s="1"/>
  <c r="BY13" i="5"/>
  <c r="BZ13" i="5" s="1"/>
  <c r="CA12" i="5" s="1"/>
  <c r="AQ18" i="5"/>
  <c r="CJ18" i="5" s="1"/>
  <c r="DC18" i="5" s="1"/>
  <c r="DM13" i="5" s="1"/>
  <c r="EA22" i="5" a="1"/>
  <c r="EA22" i="5" s="1"/>
  <c r="DZ21" i="5" a="1"/>
  <c r="DZ21" i="5" s="1"/>
  <c r="EA23" i="5" a="1"/>
  <c r="EA23" i="5" s="1"/>
  <c r="DZ12" i="5" a="1"/>
  <c r="DZ12" i="5" s="1"/>
  <c r="EA6" i="5" a="1"/>
  <c r="EA6" i="5" s="1"/>
  <c r="EA10" i="5" a="1"/>
  <c r="EA10" i="5" s="1"/>
  <c r="DZ20" i="5" a="1"/>
  <c r="DZ20" i="5" s="1"/>
  <c r="CO2" i="5"/>
  <c r="CL3" i="5"/>
  <c r="EA14" i="5" a="1"/>
  <c r="EA14" i="5" s="1"/>
  <c r="DZ23" i="5" a="1"/>
  <c r="DZ23" i="5" s="1"/>
  <c r="DZ11" i="5" a="1"/>
  <c r="DZ11" i="5" s="1"/>
  <c r="EA18" i="5" a="1"/>
  <c r="EA18" i="5" s="1"/>
  <c r="CR2" i="5"/>
  <c r="EA15" i="5" a="1"/>
  <c r="EA15" i="5" s="1"/>
  <c r="EA7" i="5" a="1"/>
  <c r="EA7" i="5" s="1"/>
  <c r="DZ18" i="5" a="1"/>
  <c r="DZ18" i="5" s="1"/>
  <c r="DZ7" i="5" a="1"/>
  <c r="DZ7" i="5" s="1"/>
  <c r="DZ8" i="5" a="1"/>
  <c r="DZ8" i="5" s="1"/>
  <c r="CS2" i="5"/>
  <c r="CT2" i="5"/>
  <c r="EA21" i="5" a="1"/>
  <c r="EA21" i="5" s="1"/>
  <c r="CL2" i="5"/>
  <c r="DZ17" i="5" a="1"/>
  <c r="DZ17" i="5" s="1"/>
  <c r="CO3" i="5"/>
  <c r="DZ19" i="5" a="1"/>
  <c r="DZ19" i="5" s="1"/>
  <c r="EA19" i="5" a="1"/>
  <c r="EA19" i="5" s="1"/>
  <c r="EA24" i="5" a="1"/>
  <c r="EA24" i="5" s="1"/>
  <c r="EA20" i="5" a="1"/>
  <c r="EA20" i="5" s="1"/>
  <c r="EA16" i="5" a="1"/>
  <c r="EA16" i="5" s="1"/>
  <c r="EA13" i="5" a="1"/>
  <c r="EA13" i="5" s="1"/>
  <c r="CT3" i="5"/>
  <c r="EA9" i="5" a="1"/>
  <c r="EA9" i="5" s="1"/>
  <c r="EA8" i="5" a="1"/>
  <c r="EA8" i="5" s="1"/>
  <c r="EA12" i="5" a="1"/>
  <c r="EA12" i="5" s="1"/>
  <c r="DZ16" i="5" a="1"/>
  <c r="DZ16" i="5" s="1"/>
  <c r="DZ13" i="5" a="1"/>
  <c r="DZ13" i="5" s="1"/>
  <c r="DZ9" i="5" a="1"/>
  <c r="DZ9" i="5" s="1"/>
  <c r="DZ14" i="5" a="1"/>
  <c r="DZ14" i="5" s="1"/>
  <c r="DZ6" i="5" a="1"/>
  <c r="DZ6" i="5" s="1"/>
  <c r="CS3" i="5"/>
  <c r="BY11" i="5"/>
  <c r="BZ11" i="5" s="1"/>
  <c r="CA10" i="5" s="1"/>
  <c r="AQ22" i="5"/>
  <c r="AQ12" i="5"/>
  <c r="AQ11" i="5"/>
  <c r="CJ11" i="5" s="1"/>
  <c r="DC11" i="5" s="1"/>
  <c r="AQ9" i="5"/>
  <c r="CJ9" i="5" s="1"/>
  <c r="DC9" i="5" s="1"/>
  <c r="D94" i="8"/>
  <c r="AF94" i="8" s="1"/>
  <c r="D58" i="8"/>
  <c r="AF58" i="8" s="1"/>
  <c r="D34" i="8"/>
  <c r="AF34" i="8" s="1"/>
  <c r="D100" i="8"/>
  <c r="AF100" i="8" s="1"/>
  <c r="D22" i="8"/>
  <c r="AF22" i="8" s="1"/>
  <c r="D19" i="8"/>
  <c r="AF19" i="8" s="1"/>
  <c r="D24" i="8"/>
  <c r="AF24" i="8" s="1"/>
  <c r="D98" i="8"/>
  <c r="AF98" i="8" s="1"/>
  <c r="D85" i="8"/>
  <c r="AF85" i="8" s="1"/>
  <c r="D41" i="8"/>
  <c r="AF41" i="8" s="1"/>
  <c r="D67" i="8"/>
  <c r="AF67" i="8" s="1"/>
  <c r="D30" i="8"/>
  <c r="AF30" i="8" s="1"/>
  <c r="D62" i="8"/>
  <c r="AF62" i="8" s="1"/>
  <c r="D18" i="8"/>
  <c r="AF18" i="8" s="1"/>
  <c r="D109" i="8"/>
  <c r="AF109" i="8" s="1"/>
  <c r="D108" i="8"/>
  <c r="AF108" i="8" s="1"/>
  <c r="D14" i="8"/>
  <c r="AF14" i="8" s="1"/>
  <c r="D49" i="8"/>
  <c r="AF49" i="8" s="1"/>
  <c r="D96" i="8"/>
  <c r="AF96" i="8" s="1"/>
  <c r="D92" i="8"/>
  <c r="AF92" i="8" s="1"/>
  <c r="D93" i="8"/>
  <c r="AF93" i="8" s="1"/>
  <c r="D36" i="8"/>
  <c r="AF36" i="8" s="1"/>
  <c r="D110" i="8"/>
  <c r="AF110" i="8" s="1"/>
  <c r="D20" i="8"/>
  <c r="AF20" i="8" s="1"/>
  <c r="D55" i="8"/>
  <c r="AF55" i="8" s="1"/>
  <c r="D33" i="8"/>
  <c r="AF33" i="8" s="1"/>
  <c r="D11" i="8"/>
  <c r="AF11" i="8" s="1"/>
  <c r="D47" i="8"/>
  <c r="AF47" i="8" s="1"/>
  <c r="D21" i="8"/>
  <c r="AF21" i="8" s="1"/>
  <c r="D102" i="8"/>
  <c r="AF102" i="8" s="1"/>
  <c r="D83" i="8"/>
  <c r="AF83" i="8" s="1"/>
  <c r="D74" i="8"/>
  <c r="AF74" i="8" s="1"/>
  <c r="D76" i="8"/>
  <c r="AF76" i="8" s="1"/>
  <c r="D61" i="8"/>
  <c r="AF61" i="8" s="1"/>
  <c r="D81" i="8"/>
  <c r="AF81" i="8" s="1"/>
  <c r="D45" i="8"/>
  <c r="AF45" i="8" s="1"/>
  <c r="D32" i="8"/>
  <c r="AF32" i="8" s="1"/>
  <c r="D73" i="8"/>
  <c r="AF73" i="8" s="1"/>
  <c r="D87" i="8"/>
  <c r="AF87" i="8" s="1"/>
  <c r="D63" i="8"/>
  <c r="AF63" i="8" s="1"/>
  <c r="D90" i="8"/>
  <c r="AF90" i="8" s="1"/>
  <c r="D40" i="8"/>
  <c r="AF40" i="8" s="1"/>
  <c r="D51" i="8"/>
  <c r="AF51" i="8" s="1"/>
  <c r="D43" i="8"/>
  <c r="AF43" i="8" s="1"/>
  <c r="D39" i="8"/>
  <c r="AF39" i="8" s="1"/>
  <c r="D56" i="8"/>
  <c r="AF56" i="8" s="1"/>
  <c r="D16" i="8"/>
  <c r="AF16" i="8" s="1"/>
  <c r="D78" i="8"/>
  <c r="AF78" i="8" s="1"/>
  <c r="D25" i="8"/>
  <c r="AF25" i="8" s="1"/>
  <c r="D46" i="8"/>
  <c r="AF46" i="8" s="1"/>
  <c r="D103" i="8"/>
  <c r="AF103" i="8" s="1"/>
  <c r="D79" i="8"/>
  <c r="AF79" i="8" s="1"/>
  <c r="D89" i="8"/>
  <c r="AF89" i="8" s="1"/>
  <c r="D29" i="8"/>
  <c r="AF29" i="8" s="1"/>
  <c r="D65" i="8"/>
  <c r="AF65" i="8" s="1"/>
  <c r="D60" i="8"/>
  <c r="AF60" i="8" s="1"/>
  <c r="D13" i="8"/>
  <c r="AF13" i="8" s="1"/>
  <c r="D54" i="8"/>
  <c r="AF54" i="8" s="1"/>
  <c r="D99" i="8"/>
  <c r="AF99" i="8" s="1"/>
  <c r="D68" i="8"/>
  <c r="AF68" i="8" s="1"/>
  <c r="D95" i="8"/>
  <c r="AF95" i="8" s="1"/>
  <c r="D69" i="8"/>
  <c r="AF69" i="8" s="1"/>
  <c r="D17" i="8"/>
  <c r="AF17" i="8" s="1"/>
  <c r="D70" i="8"/>
  <c r="AF70" i="8" s="1"/>
  <c r="D44" i="8"/>
  <c r="AF44" i="8" s="1"/>
  <c r="D37" i="8"/>
  <c r="AF37" i="8" s="1"/>
  <c r="D27" i="8"/>
  <c r="AF27" i="8" s="1"/>
  <c r="D66" i="8"/>
  <c r="AF66" i="8" s="1"/>
  <c r="D106" i="8"/>
  <c r="AF106" i="8" s="1"/>
  <c r="D101" i="8"/>
  <c r="AF101" i="8" s="1"/>
  <c r="D64" i="8"/>
  <c r="AF64" i="8" s="1"/>
  <c r="D84" i="8"/>
  <c r="AF84" i="8" s="1"/>
  <c r="D38" i="8"/>
  <c r="AF38" i="8" s="1"/>
  <c r="D107" i="8"/>
  <c r="AF107" i="8" s="1"/>
  <c r="D35" i="8"/>
  <c r="AF35" i="8" s="1"/>
  <c r="D57" i="8"/>
  <c r="AF57" i="8" s="1"/>
  <c r="D97" i="8"/>
  <c r="AF97" i="8" s="1"/>
  <c r="D105" i="8"/>
  <c r="AF105" i="8" s="1"/>
  <c r="D71" i="8"/>
  <c r="AF71" i="8" s="1"/>
  <c r="D10" i="8"/>
  <c r="AF10" i="8" s="1"/>
  <c r="D12" i="8"/>
  <c r="AF12" i="8" s="1"/>
  <c r="D91" i="8"/>
  <c r="AF91" i="8" s="1"/>
  <c r="D86" i="8"/>
  <c r="AF86" i="8" s="1"/>
  <c r="D50" i="8"/>
  <c r="AF50" i="8" s="1"/>
  <c r="D53" i="8"/>
  <c r="AF53" i="8" s="1"/>
  <c r="D26" i="8"/>
  <c r="AF26" i="8" s="1"/>
  <c r="D82" i="8"/>
  <c r="AF82" i="8" s="1"/>
  <c r="D72" i="8"/>
  <c r="AF72" i="8" s="1"/>
  <c r="D104" i="8"/>
  <c r="AF104" i="8" s="1"/>
  <c r="D59" i="8"/>
  <c r="AF59" i="8" s="1"/>
  <c r="D52" i="8"/>
  <c r="AF52" i="8" s="1"/>
  <c r="D48" i="8"/>
  <c r="AF48" i="8" s="1"/>
  <c r="D77" i="8"/>
  <c r="AF77" i="8" s="1"/>
  <c r="D23" i="8"/>
  <c r="AF23" i="8" s="1"/>
  <c r="D80" i="8"/>
  <c r="AF80" i="8" s="1"/>
  <c r="D28" i="8"/>
  <c r="AF28" i="8" s="1"/>
  <c r="D42" i="8"/>
  <c r="AF42" i="8" s="1"/>
  <c r="D31" i="8"/>
  <c r="AF31" i="8" s="1"/>
  <c r="D75" i="8"/>
  <c r="AF75" i="8" s="1"/>
  <c r="D15" i="8"/>
  <c r="AF15" i="8" s="1"/>
  <c r="D88" i="8"/>
  <c r="AF88" i="8" s="1"/>
  <c r="L46" i="8" l="1"/>
  <c r="L22" i="8"/>
  <c r="AN17" i="8"/>
  <c r="L71" i="8"/>
  <c r="AN83" i="8"/>
  <c r="L33" i="8"/>
  <c r="AL40" i="5"/>
  <c r="CX40" i="5" s="1"/>
  <c r="AS40" i="5"/>
  <c r="K37" i="8"/>
  <c r="AM48" i="8"/>
  <c r="AL14" i="5"/>
  <c r="AM14" i="5" s="1"/>
  <c r="EF29" i="5"/>
  <c r="EI29" i="5" a="1"/>
  <c r="EI29" i="5" s="1"/>
  <c r="EH29" i="5" a="1"/>
  <c r="EH29" i="5" s="1"/>
  <c r="L37" i="8"/>
  <c r="K77" i="8"/>
  <c r="L100" i="8"/>
  <c r="AM57" i="8"/>
  <c r="AN56" i="8"/>
  <c r="AC30" i="5"/>
  <c r="AD29" i="5"/>
  <c r="AE29" i="5"/>
  <c r="AM20" i="8"/>
  <c r="AN54" i="8"/>
  <c r="L12" i="8"/>
  <c r="K78" i="8"/>
  <c r="L95" i="8"/>
  <c r="AN87" i="8"/>
  <c r="AN35" i="8"/>
  <c r="K49" i="8"/>
  <c r="K60" i="8"/>
  <c r="AN62" i="8"/>
  <c r="L28" i="8"/>
  <c r="L68" i="8"/>
  <c r="AN80" i="8"/>
  <c r="L29" i="8"/>
  <c r="AM63" i="8"/>
  <c r="K36" i="8"/>
  <c r="L55" i="8"/>
  <c r="L75" i="8"/>
  <c r="L40" i="8"/>
  <c r="AN48" i="8"/>
  <c r="AN77" i="8"/>
  <c r="AN13" i="8"/>
  <c r="L74" i="8"/>
  <c r="L63" i="8"/>
  <c r="K53" i="8"/>
  <c r="AM24" i="8"/>
  <c r="K99" i="8"/>
  <c r="K95" i="8"/>
  <c r="AN43" i="8"/>
  <c r="L73" i="8"/>
  <c r="AN100" i="8"/>
  <c r="L70" i="8"/>
  <c r="AN97" i="8"/>
  <c r="AN96" i="8"/>
  <c r="AN109" i="8"/>
  <c r="AN28" i="8"/>
  <c r="AN66" i="8"/>
  <c r="L21" i="8"/>
  <c r="L42" i="8"/>
  <c r="AM101" i="8"/>
  <c r="AM40" i="8"/>
  <c r="K98" i="8"/>
  <c r="AN38" i="8"/>
  <c r="L90" i="8"/>
  <c r="L66" i="8"/>
  <c r="AN105" i="8"/>
  <c r="AN85" i="8"/>
  <c r="AN50" i="8"/>
  <c r="AN53" i="8"/>
  <c r="L89" i="8"/>
  <c r="AN110" i="8"/>
  <c r="L83" i="8"/>
  <c r="L14" i="8"/>
  <c r="L77" i="8"/>
  <c r="AN67" i="8"/>
  <c r="AN65" i="8"/>
  <c r="K43" i="8"/>
  <c r="AM26" i="8"/>
  <c r="K63" i="8"/>
  <c r="AM104" i="8"/>
  <c r="K110" i="8"/>
  <c r="K88" i="8"/>
  <c r="K13" i="8"/>
  <c r="AM32" i="8"/>
  <c r="AM14" i="8"/>
  <c r="AN26" i="8"/>
  <c r="AN69" i="8"/>
  <c r="L32" i="8"/>
  <c r="L102" i="8"/>
  <c r="L84" i="8"/>
  <c r="L47" i="8"/>
  <c r="AN79" i="8"/>
  <c r="AN68" i="8"/>
  <c r="AN41" i="8"/>
  <c r="AN27" i="8"/>
  <c r="AN74" i="8"/>
  <c r="AN59" i="8"/>
  <c r="AN33" i="8"/>
  <c r="AN92" i="8"/>
  <c r="AN36" i="8"/>
  <c r="AN93" i="8"/>
  <c r="L18" i="8"/>
  <c r="L78" i="8"/>
  <c r="AN37" i="8"/>
  <c r="L15" i="8"/>
  <c r="K16" i="8"/>
  <c r="K91" i="8"/>
  <c r="AM70" i="8"/>
  <c r="K66" i="8"/>
  <c r="K28" i="8"/>
  <c r="AM76" i="8"/>
  <c r="K83" i="8"/>
  <c r="K18" i="8"/>
  <c r="AN106" i="8"/>
  <c r="L43" i="8"/>
  <c r="L98" i="8"/>
  <c r="L80" i="8"/>
  <c r="AN20" i="8"/>
  <c r="AN49" i="8"/>
  <c r="AN101" i="8"/>
  <c r="AN88" i="8"/>
  <c r="L97" i="8"/>
  <c r="AN12" i="8"/>
  <c r="L44" i="8"/>
  <c r="AN107" i="8"/>
  <c r="L104" i="8"/>
  <c r="L88" i="8"/>
  <c r="AN103" i="8"/>
  <c r="L101" i="8"/>
  <c r="AN94" i="8"/>
  <c r="L61" i="8"/>
  <c r="L17" i="8"/>
  <c r="L13" i="8"/>
  <c r="AN52" i="8"/>
  <c r="AN60" i="8"/>
  <c r="AN58" i="8"/>
  <c r="L30" i="8"/>
  <c r="L79" i="8"/>
  <c r="L110" i="8"/>
  <c r="L64" i="8"/>
  <c r="L91" i="8"/>
  <c r="L108" i="8"/>
  <c r="K52" i="8"/>
  <c r="K58" i="8"/>
  <c r="K104" i="8"/>
  <c r="AM47" i="8"/>
  <c r="AM51" i="8"/>
  <c r="AM72" i="8"/>
  <c r="K50" i="8"/>
  <c r="AM74" i="8"/>
  <c r="AM79" i="8"/>
  <c r="AM100" i="8"/>
  <c r="K61" i="8"/>
  <c r="K55" i="8"/>
  <c r="AM87" i="8"/>
  <c r="K45" i="8"/>
  <c r="K59" i="8"/>
  <c r="AM56" i="8"/>
  <c r="K67" i="8"/>
  <c r="AM107" i="8"/>
  <c r="L52" i="8"/>
  <c r="L62" i="8"/>
  <c r="L24" i="8"/>
  <c r="AN84" i="8"/>
  <c r="L76" i="8"/>
  <c r="L36" i="8"/>
  <c r="L92" i="8"/>
  <c r="L105" i="8"/>
  <c r="L54" i="8"/>
  <c r="AN102" i="8"/>
  <c r="AN63" i="8"/>
  <c r="L56" i="8"/>
  <c r="L48" i="8"/>
  <c r="AN44" i="8"/>
  <c r="L59" i="8"/>
  <c r="AN24" i="8"/>
  <c r="L41" i="8"/>
  <c r="AN76" i="8"/>
  <c r="AN70" i="8"/>
  <c r="AN73" i="8"/>
  <c r="L109" i="8"/>
  <c r="AN90" i="8"/>
  <c r="L23" i="8"/>
  <c r="AN46" i="8"/>
  <c r="L27" i="8"/>
  <c r="AN75" i="8"/>
  <c r="AN15" i="8"/>
  <c r="L49" i="8"/>
  <c r="AN47" i="8"/>
  <c r="AN19" i="8"/>
  <c r="L93" i="8"/>
  <c r="L50" i="8"/>
  <c r="L107" i="8"/>
  <c r="L85" i="8"/>
  <c r="AN22" i="8"/>
  <c r="AN45" i="8"/>
  <c r="L31" i="8"/>
  <c r="AN89" i="8"/>
  <c r="L26" i="8"/>
  <c r="L20" i="8"/>
  <c r="AN14" i="8"/>
  <c r="K56" i="8"/>
  <c r="K87" i="8"/>
  <c r="AM37" i="8"/>
  <c r="AM59" i="8"/>
  <c r="K47" i="8"/>
  <c r="AM58" i="8"/>
  <c r="K42" i="8"/>
  <c r="AM65" i="8"/>
  <c r="K15" i="8"/>
  <c r="AM12" i="8"/>
  <c r="K108" i="8"/>
  <c r="K109" i="8"/>
  <c r="AM84" i="8"/>
  <c r="K17" i="8"/>
  <c r="K100" i="8"/>
  <c r="L35" i="8"/>
  <c r="AN55" i="8"/>
  <c r="L25" i="8"/>
  <c r="L87" i="8"/>
  <c r="AN61" i="8"/>
  <c r="AN91" i="8"/>
  <c r="AN95" i="8"/>
  <c r="L60" i="8"/>
  <c r="L65" i="8"/>
  <c r="AN25" i="8"/>
  <c r="L34" i="8"/>
  <c r="AN64" i="8"/>
  <c r="L69" i="8"/>
  <c r="L86" i="8"/>
  <c r="L103" i="8"/>
  <c r="L16" i="8"/>
  <c r="AN39" i="8"/>
  <c r="L11" i="8"/>
  <c r="AN23" i="8"/>
  <c r="L39" i="8"/>
  <c r="AN72" i="8"/>
  <c r="L57" i="8"/>
  <c r="L38" i="8"/>
  <c r="AN29" i="8"/>
  <c r="L94" i="8"/>
  <c r="L53" i="8"/>
  <c r="L72" i="8"/>
  <c r="AN32" i="8"/>
  <c r="L81" i="8"/>
  <c r="AN71" i="8"/>
  <c r="L99" i="8"/>
  <c r="AN16" i="8"/>
  <c r="AN10" i="8"/>
  <c r="AN81" i="8"/>
  <c r="AN21" i="8"/>
  <c r="L51" i="8"/>
  <c r="L10" i="8"/>
  <c r="AN11" i="8"/>
  <c r="AN108" i="8"/>
  <c r="AN86" i="8"/>
  <c r="AN57" i="8"/>
  <c r="AN99" i="8"/>
  <c r="AN30" i="8"/>
  <c r="L96" i="8"/>
  <c r="AN18" i="8"/>
  <c r="L45" i="8"/>
  <c r="AN31" i="8"/>
  <c r="AN78" i="8"/>
  <c r="AN98" i="8"/>
  <c r="L106" i="8"/>
  <c r="L58" i="8"/>
  <c r="AN42" i="8"/>
  <c r="AN34" i="8"/>
  <c r="AN104" i="8"/>
  <c r="L82" i="8"/>
  <c r="Y6" i="8"/>
  <c r="L19" i="8"/>
  <c r="AN82" i="8"/>
  <c r="L67" i="8"/>
  <c r="AN40" i="8"/>
  <c r="K39" i="8"/>
  <c r="AM15" i="8"/>
  <c r="K14" i="8"/>
  <c r="K79" i="8"/>
  <c r="AM28" i="8"/>
  <c r="K57" i="8"/>
  <c r="K74" i="8"/>
  <c r="K103" i="8"/>
  <c r="AM67" i="8"/>
  <c r="AM64" i="8"/>
  <c r="K68" i="8"/>
  <c r="AM38" i="8"/>
  <c r="AM17" i="8"/>
  <c r="K70" i="8"/>
  <c r="AM49" i="8"/>
  <c r="K32" i="8"/>
  <c r="AM90" i="8"/>
  <c r="K106" i="8"/>
  <c r="K92" i="8"/>
  <c r="AM69" i="8"/>
  <c r="K29" i="8"/>
  <c r="AM27" i="8"/>
  <c r="K27" i="8"/>
  <c r="AM78" i="8"/>
  <c r="AM103" i="8"/>
  <c r="AM29" i="8"/>
  <c r="AM53" i="8"/>
  <c r="K84" i="8"/>
  <c r="K107" i="8"/>
  <c r="AM105" i="8"/>
  <c r="K48" i="8"/>
  <c r="AM19" i="8"/>
  <c r="AM13" i="8"/>
  <c r="AM25" i="8"/>
  <c r="K96" i="8"/>
  <c r="K105" i="8"/>
  <c r="K97" i="8"/>
  <c r="AM81" i="8"/>
  <c r="AM41" i="8"/>
  <c r="K81" i="8"/>
  <c r="K101" i="8"/>
  <c r="AM61" i="8"/>
  <c r="K54" i="8"/>
  <c r="AM11" i="8"/>
  <c r="AM96" i="8"/>
  <c r="AM80" i="8"/>
  <c r="AM34" i="8"/>
  <c r="K75" i="8"/>
  <c r="AM109" i="8"/>
  <c r="AM108" i="8"/>
  <c r="K21" i="8"/>
  <c r="K82" i="8"/>
  <c r="AM83" i="8"/>
  <c r="K46" i="8"/>
  <c r="AM86" i="8"/>
  <c r="AM50" i="8"/>
  <c r="K62" i="8"/>
  <c r="K38" i="8"/>
  <c r="K20" i="8"/>
  <c r="K11" i="8"/>
  <c r="K102" i="8"/>
  <c r="AM92" i="8"/>
  <c r="K35" i="8"/>
  <c r="K41" i="8"/>
  <c r="AM89" i="8"/>
  <c r="AM94" i="8"/>
  <c r="AM36" i="8"/>
  <c r="K25" i="8"/>
  <c r="AM54" i="8"/>
  <c r="AM75" i="8"/>
  <c r="AM10" i="8"/>
  <c r="AM16" i="8"/>
  <c r="AM73" i="8"/>
  <c r="AM42" i="8"/>
  <c r="AM18" i="8"/>
  <c r="K12" i="8"/>
  <c r="K94" i="8"/>
  <c r="K72" i="8"/>
  <c r="K51" i="8"/>
  <c r="AM88" i="8"/>
  <c r="K65" i="8"/>
  <c r="AM22" i="8"/>
  <c r="K31" i="8"/>
  <c r="K73" i="8"/>
  <c r="AM23" i="8"/>
  <c r="AM46" i="8"/>
  <c r="AM60" i="8"/>
  <c r="AM85" i="8"/>
  <c r="K40" i="8"/>
  <c r="K90" i="8"/>
  <c r="X6" i="8"/>
  <c r="AM44" i="8"/>
  <c r="K93" i="8"/>
  <c r="AM52" i="8"/>
  <c r="K22" i="8"/>
  <c r="AM43" i="8"/>
  <c r="K33" i="8"/>
  <c r="K10" i="8"/>
  <c r="AM35" i="8"/>
  <c r="K24" i="8"/>
  <c r="AM77" i="8"/>
  <c r="AM99" i="8"/>
  <c r="K80" i="8"/>
  <c r="K64" i="8"/>
  <c r="K34" i="8"/>
  <c r="AM95" i="8"/>
  <c r="AM71" i="8"/>
  <c r="AM66" i="8"/>
  <c r="K30" i="8"/>
  <c r="AM21" i="8"/>
  <c r="AM110" i="8"/>
  <c r="AM45" i="8"/>
  <c r="K71" i="8"/>
  <c r="K26" i="8"/>
  <c r="AM62" i="8"/>
  <c r="K85" i="8"/>
  <c r="AM33" i="8"/>
  <c r="AM68" i="8"/>
  <c r="K89" i="8"/>
  <c r="AM30" i="8"/>
  <c r="AM98" i="8"/>
  <c r="AM82" i="8"/>
  <c r="AM93" i="8"/>
  <c r="K44" i="8"/>
  <c r="K19" i="8"/>
  <c r="AM97" i="8"/>
  <c r="AM91" i="8"/>
  <c r="K23" i="8"/>
  <c r="K69" i="8"/>
  <c r="AM55" i="8"/>
  <c r="AM39" i="8"/>
  <c r="K86" i="8"/>
  <c r="AM106" i="8"/>
  <c r="AM102" i="8"/>
  <c r="K76" i="8"/>
  <c r="B42" i="7"/>
  <c r="B34" i="7"/>
  <c r="B70" i="7" s="1"/>
  <c r="K70" i="7" s="1"/>
  <c r="DM12" i="5"/>
  <c r="DE29" i="5"/>
  <c r="CU46" i="5"/>
  <c r="AL15" i="5"/>
  <c r="AN15" i="5" s="1"/>
  <c r="AO14" i="5" s="1"/>
  <c r="CN14" i="5" s="1"/>
  <c r="DG16" i="5"/>
  <c r="AS39" i="5"/>
  <c r="DE44" i="5"/>
  <c r="DE35" i="5"/>
  <c r="AL31" i="5"/>
  <c r="AN31" i="5" s="1"/>
  <c r="AO30" i="5" s="1"/>
  <c r="CN30" i="5" s="1"/>
  <c r="AL46" i="5"/>
  <c r="AM46" i="5" s="1"/>
  <c r="DG12" i="5"/>
  <c r="DE34" i="5"/>
  <c r="DF19" i="5"/>
  <c r="CJ48" i="5"/>
  <c r="DC48" i="5" s="1"/>
  <c r="DM16" i="5" s="1"/>
  <c r="DF25" i="5"/>
  <c r="DE33" i="5"/>
  <c r="DF17" i="5"/>
  <c r="DF8" i="5"/>
  <c r="DP12" i="5" s="1"/>
  <c r="DF38" i="5"/>
  <c r="DP15" i="5" s="1"/>
  <c r="DF28" i="5"/>
  <c r="DP14" i="5" s="1"/>
  <c r="DF18" i="5"/>
  <c r="DP13" i="5" s="1"/>
  <c r="CU22" i="5"/>
  <c r="DE11" i="5"/>
  <c r="DG27" i="5"/>
  <c r="DF43" i="5"/>
  <c r="DE17" i="5"/>
  <c r="DG37" i="5"/>
  <c r="DG8" i="5"/>
  <c r="DQ12" i="5" s="1"/>
  <c r="DG48" i="5"/>
  <c r="DQ16" i="5" s="1"/>
  <c r="DF46" i="5"/>
  <c r="DF21" i="5"/>
  <c r="DE25" i="5"/>
  <c r="DF33" i="5"/>
  <c r="CU30" i="5"/>
  <c r="DF16" i="5"/>
  <c r="DG24" i="5"/>
  <c r="DE48" i="5"/>
  <c r="DO16" i="5" s="1"/>
  <c r="DG38" i="5"/>
  <c r="DQ15" i="5" s="1"/>
  <c r="AS44" i="5"/>
  <c r="AS18" i="5"/>
  <c r="AS42" i="5"/>
  <c r="CU14" i="5"/>
  <c r="AS46" i="5"/>
  <c r="AS43" i="5"/>
  <c r="CU12" i="5"/>
  <c r="AS33" i="5"/>
  <c r="AS20" i="5"/>
  <c r="AS8" i="5"/>
  <c r="AL23" i="5"/>
  <c r="AN23" i="5" s="1"/>
  <c r="AO22" i="5" s="1"/>
  <c r="CN22" i="5" s="1"/>
  <c r="AL39" i="5"/>
  <c r="AN39" i="5" s="1"/>
  <c r="AO38" i="5" s="1"/>
  <c r="CN38" i="5" s="1"/>
  <c r="AL30" i="5"/>
  <c r="AM30" i="5" s="1"/>
  <c r="AS24" i="5"/>
  <c r="AS14" i="5"/>
  <c r="AS11" i="5"/>
  <c r="DG9" i="5"/>
  <c r="DE14" i="5"/>
  <c r="X7" i="6"/>
  <c r="X8" i="6" s="1" a="1"/>
  <c r="X8" i="6" s="1"/>
  <c r="X9" i="6" s="1" a="1"/>
  <c r="X9" i="6" s="1"/>
  <c r="X10" i="6" s="1" a="1"/>
  <c r="X10" i="6" s="1"/>
  <c r="X11" i="6" s="1" a="1"/>
  <c r="X11" i="6" s="1"/>
  <c r="X12" i="6" s="1" a="1"/>
  <c r="X12" i="6" s="1"/>
  <c r="X13" i="6" s="1" a="1"/>
  <c r="X13" i="6" s="1"/>
  <c r="X14" i="6" s="1" a="1"/>
  <c r="X14" i="6" s="1"/>
  <c r="X15" i="6" s="1" a="1"/>
  <c r="X15" i="6" s="1"/>
  <c r="X16" i="6" s="1" a="1"/>
  <c r="X16" i="6" s="1"/>
  <c r="X17" i="6" s="1" a="1"/>
  <c r="X17" i="6" s="1"/>
  <c r="X18" i="6" s="1" a="1"/>
  <c r="X18" i="6" s="1"/>
  <c r="X19" i="6" s="1" a="1"/>
  <c r="X19" i="6" s="1"/>
  <c r="X20" i="6" s="1" a="1"/>
  <c r="X20" i="6" s="1"/>
  <c r="X21" i="6" s="1" a="1"/>
  <c r="X21" i="6" s="1"/>
  <c r="X22" i="6" s="1" a="1"/>
  <c r="X22" i="6" s="1"/>
  <c r="X23" i="6" s="1" a="1"/>
  <c r="X23" i="6" s="1"/>
  <c r="X24" i="6" s="1" a="1"/>
  <c r="X24" i="6" s="1"/>
  <c r="X25" i="6" s="1" a="1"/>
  <c r="X25" i="6" s="1"/>
  <c r="X26" i="6" s="1" a="1"/>
  <c r="X26" i="6" s="1"/>
  <c r="X27" i="6" s="1" a="1"/>
  <c r="X27" i="6" s="1"/>
  <c r="X28" i="6" s="1" a="1"/>
  <c r="X28" i="6" s="1"/>
  <c r="X29" i="6" s="1" a="1"/>
  <c r="X29" i="6" s="1"/>
  <c r="X30" i="6" s="1" a="1"/>
  <c r="X30" i="6" s="1"/>
  <c r="X31" i="6" s="1" a="1"/>
  <c r="X31" i="6" s="1"/>
  <c r="X32" i="6" s="1" a="1"/>
  <c r="X32" i="6" s="1"/>
  <c r="X33" i="6" s="1" a="1"/>
  <c r="X33" i="6" s="1"/>
  <c r="X34" i="6" s="1" a="1"/>
  <c r="X34" i="6" s="1"/>
  <c r="X35" i="6" s="1" a="1"/>
  <c r="X35" i="6" s="1"/>
  <c r="X36" i="6" s="1" a="1"/>
  <c r="X36" i="6" s="1"/>
  <c r="X37" i="6" s="1" a="1"/>
  <c r="X37" i="6" s="1"/>
  <c r="X38" i="6" s="1" a="1"/>
  <c r="X38" i="6" s="1"/>
  <c r="X39" i="6" s="1" a="1"/>
  <c r="X39" i="6" s="1"/>
  <c r="X40" i="6" s="1" a="1"/>
  <c r="X40" i="6" s="1"/>
  <c r="X41" i="6" s="1" a="1"/>
  <c r="X41" i="6" s="1"/>
  <c r="X42" i="6" s="1" a="1"/>
  <c r="X42" i="6" s="1"/>
  <c r="X43" i="6" s="1" a="1"/>
  <c r="X43" i="6" s="1"/>
  <c r="X44" i="6" s="1" a="1"/>
  <c r="X44" i="6" s="1"/>
  <c r="X45" i="6" s="1" a="1"/>
  <c r="X45" i="6" s="1"/>
  <c r="X46" i="6" s="1" a="1"/>
  <c r="X46" i="6" s="1"/>
  <c r="X47" i="6" s="1" a="1"/>
  <c r="X47" i="6" s="1"/>
  <c r="X48" i="6" s="1" a="1"/>
  <c r="X48" i="6" s="1"/>
  <c r="X49" i="6" s="1" a="1"/>
  <c r="X49" i="6" s="1"/>
  <c r="X50" i="6" s="1" a="1"/>
  <c r="X50" i="6" s="1"/>
  <c r="X51" i="6" s="1" a="1"/>
  <c r="X51" i="6" s="1"/>
  <c r="DE13" i="5"/>
  <c r="I6" i="8"/>
  <c r="I21" i="8" s="1"/>
  <c r="CU18" i="5"/>
  <c r="CU43" i="5"/>
  <c r="DF32" i="5"/>
  <c r="DG22" i="5"/>
  <c r="CU44" i="5"/>
  <c r="CU31" i="5"/>
  <c r="DE9" i="5"/>
  <c r="DG29" i="5"/>
  <c r="DE41" i="5"/>
  <c r="DG45" i="5"/>
  <c r="DE10" i="5"/>
  <c r="DF26" i="5"/>
  <c r="DE42" i="5"/>
  <c r="CU38" i="5"/>
  <c r="CU29" i="5"/>
  <c r="DE7" i="5"/>
  <c r="DF15" i="5"/>
  <c r="DE23" i="5"/>
  <c r="DE31" i="5"/>
  <c r="DE39" i="5"/>
  <c r="DF47" i="5"/>
  <c r="DG40" i="5"/>
  <c r="DE22" i="5"/>
  <c r="DE30" i="5"/>
  <c r="CU28" i="5"/>
  <c r="CU25" i="5"/>
  <c r="V7" i="15"/>
  <c r="V8" i="15" s="1" a="1"/>
  <c r="V8" i="15" s="1"/>
  <c r="V9" i="15" s="1" a="1"/>
  <c r="V9" i="15" s="1"/>
  <c r="V10" i="15" s="1" a="1"/>
  <c r="V10" i="15" s="1"/>
  <c r="V11" i="15" s="1" a="1"/>
  <c r="V11" i="15" s="1"/>
  <c r="V12" i="15" s="1" a="1"/>
  <c r="V12" i="15" s="1"/>
  <c r="V13" i="15" s="1" a="1"/>
  <c r="V13" i="15" s="1"/>
  <c r="V14" i="15" s="1" a="1"/>
  <c r="V14" i="15" s="1"/>
  <c r="V15" i="15" s="1" a="1"/>
  <c r="V15" i="15" s="1"/>
  <c r="V16" i="15" s="1" a="1"/>
  <c r="V16" i="15" s="1"/>
  <c r="V17" i="15" s="1" a="1"/>
  <c r="V17" i="15" s="1"/>
  <c r="V18" i="15" s="1" a="1"/>
  <c r="V18" i="15" s="1"/>
  <c r="V19" i="15" s="1" a="1"/>
  <c r="V19" i="15" s="1"/>
  <c r="V20" i="15" s="1" a="1"/>
  <c r="V20" i="15" s="1"/>
  <c r="V21" i="15" s="1" a="1"/>
  <c r="V21" i="15" s="1"/>
  <c r="V22" i="15" s="1" a="1"/>
  <c r="V22" i="15" s="1"/>
  <c r="V23" i="15" s="1" a="1"/>
  <c r="V23" i="15" s="1"/>
  <c r="V24" i="15" s="1" a="1"/>
  <c r="V24" i="15" s="1"/>
  <c r="V25" i="15" s="1" a="1"/>
  <c r="V25" i="15" s="1"/>
  <c r="V26" i="15" s="1" a="1"/>
  <c r="V26" i="15" s="1"/>
  <c r="V27" i="15" s="1" a="1"/>
  <c r="V27" i="15" s="1"/>
  <c r="V28" i="15" s="1" a="1"/>
  <c r="V28" i="15" s="1"/>
  <c r="V29" i="15" s="1" a="1"/>
  <c r="V29" i="15" s="1"/>
  <c r="V30" i="15" s="1" a="1"/>
  <c r="V30" i="15" s="1"/>
  <c r="V31" i="15" s="1" a="1"/>
  <c r="V31" i="15" s="1"/>
  <c r="V32" i="15" s="1" a="1"/>
  <c r="V32" i="15" s="1"/>
  <c r="V33" i="15" s="1" a="1"/>
  <c r="V33" i="15" s="1"/>
  <c r="V34" i="15" s="1" a="1"/>
  <c r="V34" i="15" s="1"/>
  <c r="V35" i="15" s="1" a="1"/>
  <c r="V35" i="15" s="1"/>
  <c r="V36" i="15" s="1" a="1"/>
  <c r="V36" i="15" s="1"/>
  <c r="V37" i="15" s="1" a="1"/>
  <c r="V37" i="15" s="1"/>
  <c r="V38" i="15" s="1" a="1"/>
  <c r="V38" i="15" s="1"/>
  <c r="V39" i="15" s="1" a="1"/>
  <c r="V39" i="15" s="1"/>
  <c r="V40" i="15" s="1" a="1"/>
  <c r="V40" i="15" s="1"/>
  <c r="V41" i="15" s="1" a="1"/>
  <c r="V41" i="15" s="1"/>
  <c r="V42" i="15" s="1" a="1"/>
  <c r="V42" i="15" s="1"/>
  <c r="V43" i="15" s="1" a="1"/>
  <c r="V43" i="15" s="1"/>
  <c r="V44" i="15" s="1" a="1"/>
  <c r="V44" i="15" s="1"/>
  <c r="V45" i="15" s="1" a="1"/>
  <c r="V45" i="15" s="1"/>
  <c r="V46" i="15" s="1" a="1"/>
  <c r="V46" i="15" s="1"/>
  <c r="V47" i="15" s="1" a="1"/>
  <c r="V47" i="15" s="1"/>
  <c r="V48" i="15" s="1" a="1"/>
  <c r="V48" i="15" s="1"/>
  <c r="V49" i="15" s="1" a="1"/>
  <c r="V49" i="15" s="1"/>
  <c r="V50" i="15" s="1" a="1"/>
  <c r="V50" i="15" s="1"/>
  <c r="AD50" i="15" s="1"/>
  <c r="AL50" i="15" s="1"/>
  <c r="CU47" i="5"/>
  <c r="DG20" i="5"/>
  <c r="DG36" i="5"/>
  <c r="CU34" i="5"/>
  <c r="CU27" i="5"/>
  <c r="DG7" i="5"/>
  <c r="DE15" i="5"/>
  <c r="DG23" i="5"/>
  <c r="DG31" i="5"/>
  <c r="DF39" i="5"/>
  <c r="DG47" i="5"/>
  <c r="CU20" i="5"/>
  <c r="CU36" i="5"/>
  <c r="CU17" i="5"/>
  <c r="CU33" i="5"/>
  <c r="CU6" i="5"/>
  <c r="F67" i="7" s="1"/>
  <c r="O67" i="7" s="1"/>
  <c r="CU15" i="5"/>
  <c r="CU39" i="5"/>
  <c r="AS10" i="5"/>
  <c r="AS17" i="5"/>
  <c r="CJ42" i="5"/>
  <c r="DC42" i="5" s="1"/>
  <c r="AS26" i="5"/>
  <c r="AL11" i="5"/>
  <c r="AN11" i="5" s="1"/>
  <c r="AO10" i="5" s="1"/>
  <c r="CN10" i="5" s="1"/>
  <c r="AL19" i="5"/>
  <c r="AM19" i="5" s="1"/>
  <c r="AL27" i="5"/>
  <c r="AN27" i="5" s="1"/>
  <c r="AO26" i="5" s="1"/>
  <c r="CN26" i="5" s="1"/>
  <c r="AL35" i="5"/>
  <c r="AM35" i="5" s="1"/>
  <c r="AL47" i="5"/>
  <c r="AN47" i="5" s="1"/>
  <c r="AO46" i="5" s="1"/>
  <c r="CN46" i="5" s="1"/>
  <c r="AL22" i="5"/>
  <c r="AM22" i="5" s="1"/>
  <c r="AL38" i="5"/>
  <c r="AM38" i="5" s="1"/>
  <c r="AL7" i="5"/>
  <c r="AN7" i="5" s="1"/>
  <c r="AO6" i="5" s="1"/>
  <c r="CN6" i="5" s="1"/>
  <c r="AS22" i="5"/>
  <c r="DF13" i="5"/>
  <c r="DF41" i="5"/>
  <c r="DE45" i="5"/>
  <c r="DE20" i="5"/>
  <c r="DE36" i="5"/>
  <c r="DG10" i="5"/>
  <c r="DG26" i="5"/>
  <c r="DF42" i="5"/>
  <c r="CU13" i="5"/>
  <c r="CU45" i="5"/>
  <c r="DE32" i="5"/>
  <c r="DF14" i="5"/>
  <c r="DG30" i="5"/>
  <c r="CU16" i="5"/>
  <c r="CU24" i="5"/>
  <c r="CU32" i="5"/>
  <c r="CU40" i="5"/>
  <c r="CU48" i="5"/>
  <c r="CU23" i="5"/>
  <c r="CJ40" i="5"/>
  <c r="DC40" i="5" s="1"/>
  <c r="AS16" i="5"/>
  <c r="AS13" i="5"/>
  <c r="U8" i="15" a="1"/>
  <c r="U8" i="15" s="1"/>
  <c r="U9" i="15" s="1" a="1"/>
  <c r="U9" i="15" s="1"/>
  <c r="U10" i="15" s="1" a="1"/>
  <c r="U10" i="15" s="1"/>
  <c r="U11" i="15" s="1" a="1"/>
  <c r="U11" i="15" s="1"/>
  <c r="U12" i="15" s="1" a="1"/>
  <c r="U12" i="15" s="1"/>
  <c r="U13" i="15" s="1" a="1"/>
  <c r="U13" i="15" s="1"/>
  <c r="U14" i="15" s="1" a="1"/>
  <c r="U14" i="15" s="1"/>
  <c r="U15" i="15" s="1" a="1"/>
  <c r="U15" i="15" s="1"/>
  <c r="U16" i="15" s="1" a="1"/>
  <c r="U16" i="15" s="1"/>
  <c r="U17" i="15" s="1" a="1"/>
  <c r="U17" i="15" s="1"/>
  <c r="U18" i="15" s="1" a="1"/>
  <c r="U18" i="15" s="1"/>
  <c r="U19" i="15" s="1" a="1"/>
  <c r="U19" i="15" s="1"/>
  <c r="U20" i="15" s="1" a="1"/>
  <c r="U20" i="15" s="1"/>
  <c r="U21" i="15" s="1" a="1"/>
  <c r="U21" i="15" s="1"/>
  <c r="U22" i="15" s="1" a="1"/>
  <c r="U22" i="15" s="1"/>
  <c r="U23" i="15" s="1" a="1"/>
  <c r="U23" i="15" s="1"/>
  <c r="U24" i="15" s="1" a="1"/>
  <c r="U24" i="15" s="1"/>
  <c r="U25" i="15" s="1" a="1"/>
  <c r="U25" i="15" s="1"/>
  <c r="U26" i="15" s="1" a="1"/>
  <c r="U26" i="15" s="1"/>
  <c r="U27" i="15" s="1" a="1"/>
  <c r="U27" i="15" s="1"/>
  <c r="U28" i="15" s="1" a="1"/>
  <c r="U28" i="15" s="1"/>
  <c r="U29" i="15" s="1" a="1"/>
  <c r="U29" i="15" s="1"/>
  <c r="U30" i="15" s="1" a="1"/>
  <c r="U30" i="15" s="1"/>
  <c r="U31" i="15" s="1" a="1"/>
  <c r="U31" i="15" s="1"/>
  <c r="U32" i="15" s="1" a="1"/>
  <c r="U32" i="15" s="1"/>
  <c r="U33" i="15" s="1" a="1"/>
  <c r="U33" i="15" s="1"/>
  <c r="U34" i="15" s="1" a="1"/>
  <c r="U34" i="15" s="1"/>
  <c r="U35" i="15" s="1" a="1"/>
  <c r="U35" i="15" s="1"/>
  <c r="U36" i="15" s="1" a="1"/>
  <c r="U36" i="15" s="1"/>
  <c r="U37" i="15" s="1" a="1"/>
  <c r="U37" i="15" s="1"/>
  <c r="U38" i="15" s="1" a="1"/>
  <c r="U38" i="15" s="1"/>
  <c r="U39" i="15" s="1" a="1"/>
  <c r="U39" i="15" s="1"/>
  <c r="U40" i="15" s="1" a="1"/>
  <c r="U40" i="15" s="1"/>
  <c r="U41" i="15" s="1" a="1"/>
  <c r="U41" i="15" s="1"/>
  <c r="U42" i="15" s="1" a="1"/>
  <c r="U42" i="15" s="1"/>
  <c r="U43" i="15" s="1" a="1"/>
  <c r="U43" i="15" s="1"/>
  <c r="U44" i="15" s="1" a="1"/>
  <c r="U44" i="15" s="1"/>
  <c r="U45" i="15" s="1" a="1"/>
  <c r="U45" i="15" s="1"/>
  <c r="U46" i="15" s="1" a="1"/>
  <c r="U46" i="15" s="1"/>
  <c r="U47" i="15" s="1" a="1"/>
  <c r="U47" i="15" s="1"/>
  <c r="U48" i="15" s="1" a="1"/>
  <c r="U48" i="15" s="1"/>
  <c r="U49" i="15" s="1" a="1"/>
  <c r="U49" i="15" s="1"/>
  <c r="U50" i="15" s="1" a="1"/>
  <c r="U50" i="15" s="1"/>
  <c r="AS28" i="5"/>
  <c r="AS45" i="5"/>
  <c r="AS41" i="5"/>
  <c r="AS47" i="5"/>
  <c r="DE21" i="5"/>
  <c r="DF37" i="5"/>
  <c r="DE12" i="5"/>
  <c r="DE28" i="5"/>
  <c r="DO14" i="5" s="1"/>
  <c r="DF44" i="5"/>
  <c r="DE18" i="5"/>
  <c r="DO13" i="5" s="1"/>
  <c r="DF34" i="5"/>
  <c r="CU10" i="5"/>
  <c r="CU26" i="5"/>
  <c r="CU42" i="5"/>
  <c r="CU7" i="5"/>
  <c r="CU21" i="5"/>
  <c r="CU37" i="5"/>
  <c r="CU19" i="5"/>
  <c r="CU35" i="5"/>
  <c r="CU8" i="5"/>
  <c r="DG11" i="5"/>
  <c r="DE19" i="5"/>
  <c r="DE27" i="5"/>
  <c r="DG35" i="5"/>
  <c r="DG43" i="5"/>
  <c r="DF24" i="5"/>
  <c r="DE40" i="5"/>
  <c r="DG46" i="5"/>
  <c r="CU9" i="5"/>
  <c r="CU41" i="5"/>
  <c r="AS21" i="5"/>
  <c r="AS31" i="5"/>
  <c r="AS32" i="5"/>
  <c r="W7" i="6"/>
  <c r="W8" i="6" s="1" a="1"/>
  <c r="W8" i="6" s="1"/>
  <c r="W9" i="6" s="1" a="1"/>
  <c r="W9" i="6" s="1"/>
  <c r="W10" i="6" s="1" a="1"/>
  <c r="W10" i="6" s="1"/>
  <c r="W11" i="6" s="1" a="1"/>
  <c r="W11" i="6" s="1"/>
  <c r="W12" i="6" s="1" a="1"/>
  <c r="W12" i="6" s="1"/>
  <c r="W13" i="6" s="1" a="1"/>
  <c r="W13" i="6" s="1"/>
  <c r="W14" i="6" s="1" a="1"/>
  <c r="W14" i="6" s="1"/>
  <c r="W15" i="6" s="1" a="1"/>
  <c r="W15" i="6" s="1"/>
  <c r="W16" i="6" s="1" a="1"/>
  <c r="W16" i="6" s="1"/>
  <c r="W17" i="6" s="1" a="1"/>
  <c r="W17" i="6" s="1"/>
  <c r="W18" i="6" s="1" a="1"/>
  <c r="W18" i="6" s="1"/>
  <c r="W19" i="6" s="1" a="1"/>
  <c r="W19" i="6" s="1"/>
  <c r="W20" i="6" s="1" a="1"/>
  <c r="W20" i="6" s="1"/>
  <c r="W21" i="6" s="1" a="1"/>
  <c r="W21" i="6" s="1"/>
  <c r="W22" i="6" s="1" a="1"/>
  <c r="W22" i="6" s="1"/>
  <c r="W23" i="6" s="1" a="1"/>
  <c r="W23" i="6" s="1"/>
  <c r="W24" i="6" s="1" a="1"/>
  <c r="W24" i="6" s="1"/>
  <c r="W25" i="6" s="1" a="1"/>
  <c r="W25" i="6" s="1"/>
  <c r="W26" i="6" s="1" a="1"/>
  <c r="W26" i="6" s="1"/>
  <c r="W27" i="6" s="1" a="1"/>
  <c r="W27" i="6" s="1"/>
  <c r="W28" i="6" s="1" a="1"/>
  <c r="W28" i="6" s="1"/>
  <c r="W29" i="6" s="1" a="1"/>
  <c r="W29" i="6" s="1"/>
  <c r="W30" i="6" s="1" a="1"/>
  <c r="W30" i="6" s="1"/>
  <c r="W31" i="6" s="1" a="1"/>
  <c r="W31" i="6" s="1"/>
  <c r="W32" i="6" s="1" a="1"/>
  <c r="W32" i="6" s="1"/>
  <c r="W33" i="6" s="1" a="1"/>
  <c r="W33" i="6" s="1"/>
  <c r="W34" i="6" s="1" a="1"/>
  <c r="W34" i="6" s="1"/>
  <c r="W35" i="6" s="1" a="1"/>
  <c r="W35" i="6" s="1"/>
  <c r="W36" i="6" s="1" a="1"/>
  <c r="W36" i="6" s="1"/>
  <c r="W37" i="6" s="1" a="1"/>
  <c r="W37" i="6" s="1"/>
  <c r="W38" i="6" s="1" a="1"/>
  <c r="W38" i="6" s="1"/>
  <c r="W39" i="6" s="1" a="1"/>
  <c r="W39" i="6" s="1"/>
  <c r="W40" i="6" s="1" a="1"/>
  <c r="W40" i="6" s="1"/>
  <c r="W41" i="6" s="1" a="1"/>
  <c r="W41" i="6" s="1"/>
  <c r="W42" i="6" s="1" a="1"/>
  <c r="W42" i="6" s="1"/>
  <c r="W43" i="6" s="1" a="1"/>
  <c r="W43" i="6" s="1"/>
  <c r="W44" i="6" s="1" a="1"/>
  <c r="W44" i="6" s="1"/>
  <c r="W45" i="6" s="1" a="1"/>
  <c r="W45" i="6" s="1"/>
  <c r="W46" i="6" s="1" a="1"/>
  <c r="W46" i="6" s="1"/>
  <c r="W47" i="6" s="1" a="1"/>
  <c r="W47" i="6" s="1"/>
  <c r="W48" i="6" s="1" a="1"/>
  <c r="W48" i="6" s="1"/>
  <c r="W49" i="6" s="1" a="1"/>
  <c r="W49" i="6" s="1"/>
  <c r="W50" i="6" s="1" a="1"/>
  <c r="W50" i="6" s="1"/>
  <c r="AL25" i="5"/>
  <c r="AL8" i="5"/>
  <c r="AL43" i="5"/>
  <c r="AN43" i="5" s="1"/>
  <c r="AO42" i="5" s="1"/>
  <c r="CN42" i="5" s="1"/>
  <c r="AL10" i="5"/>
  <c r="AN10" i="5" s="1"/>
  <c r="AO9" i="5" s="1"/>
  <c r="CN9" i="5" s="1"/>
  <c r="AL18" i="5"/>
  <c r="AM18" i="5" s="1"/>
  <c r="AL26" i="5"/>
  <c r="AN26" i="5" s="1"/>
  <c r="AO25" i="5" s="1"/>
  <c r="CN25" i="5" s="1"/>
  <c r="AL34" i="5"/>
  <c r="AM34" i="5" s="1"/>
  <c r="AL42" i="5"/>
  <c r="AN42" i="5" s="1"/>
  <c r="AO41" i="5" s="1"/>
  <c r="CN41" i="5" s="1"/>
  <c r="AS6" i="5"/>
  <c r="AS7" i="5"/>
  <c r="AS35" i="5"/>
  <c r="AS19" i="5"/>
  <c r="AL41" i="5"/>
  <c r="AL9" i="5"/>
  <c r="AL24" i="5"/>
  <c r="AL17" i="5"/>
  <c r="AL33" i="5"/>
  <c r="AS15" i="5"/>
  <c r="AL37" i="5"/>
  <c r="AL16" i="5"/>
  <c r="AL32" i="5"/>
  <c r="AL48" i="5"/>
  <c r="AS29" i="5"/>
  <c r="AL21" i="5"/>
  <c r="AM21" i="5" s="1"/>
  <c r="AS37" i="5"/>
  <c r="AS34" i="5"/>
  <c r="AS27" i="5"/>
  <c r="AS36" i="5"/>
  <c r="AS38" i="5"/>
  <c r="CJ38" i="5"/>
  <c r="DC38" i="5" s="1"/>
  <c r="DM15" i="5" s="1"/>
  <c r="AS25" i="5"/>
  <c r="AL29" i="5"/>
  <c r="AL12" i="5"/>
  <c r="AL28" i="5"/>
  <c r="AL44" i="5"/>
  <c r="AL13" i="5"/>
  <c r="AL45" i="5"/>
  <c r="AL20" i="5"/>
  <c r="AL36" i="5"/>
  <c r="AS23" i="5"/>
  <c r="AS30" i="5"/>
  <c r="AS9" i="5"/>
  <c r="CP6" i="5"/>
  <c r="CJ22" i="5"/>
  <c r="DC22" i="5" s="1"/>
  <c r="CU11" i="5"/>
  <c r="AS12" i="5"/>
  <c r="CJ12" i="5"/>
  <c r="DC12" i="5" s="1"/>
  <c r="C6" i="8"/>
  <c r="C71" i="8" s="1"/>
  <c r="DC6" i="5"/>
  <c r="CZ11" i="5"/>
  <c r="CW11" i="5"/>
  <c r="CZ15" i="5"/>
  <c r="CW15" i="5"/>
  <c r="CZ19" i="5"/>
  <c r="CW19" i="5"/>
  <c r="CW23" i="5"/>
  <c r="CZ23" i="5"/>
  <c r="CW27" i="5"/>
  <c r="CZ27" i="5"/>
  <c r="CW31" i="5"/>
  <c r="CZ31" i="5"/>
  <c r="CZ35" i="5"/>
  <c r="CW35" i="5"/>
  <c r="CZ39" i="5"/>
  <c r="CW39" i="5"/>
  <c r="CZ43" i="5"/>
  <c r="CW43" i="5"/>
  <c r="CZ47" i="5"/>
  <c r="CW47" i="5"/>
  <c r="CW8" i="5"/>
  <c r="CZ8" i="5"/>
  <c r="CW16" i="5"/>
  <c r="CZ16" i="5"/>
  <c r="CZ24" i="5"/>
  <c r="CW24" i="5"/>
  <c r="CZ32" i="5"/>
  <c r="CW32" i="5"/>
  <c r="CW40" i="5"/>
  <c r="CZ40" i="5"/>
  <c r="CZ14" i="5"/>
  <c r="CW14" i="5"/>
  <c r="CW22" i="5"/>
  <c r="CZ22" i="5"/>
  <c r="CW30" i="5"/>
  <c r="CZ30" i="5"/>
  <c r="CW38" i="5"/>
  <c r="CZ38" i="5"/>
  <c r="CW46" i="5"/>
  <c r="CZ46" i="5"/>
  <c r="CZ9" i="5"/>
  <c r="CW9" i="5"/>
  <c r="CZ13" i="5"/>
  <c r="CW13" i="5"/>
  <c r="CW17" i="5"/>
  <c r="CZ17" i="5"/>
  <c r="CW21" i="5"/>
  <c r="CZ21" i="5"/>
  <c r="CZ25" i="5"/>
  <c r="CW25" i="5"/>
  <c r="CZ29" i="5"/>
  <c r="CW29" i="5"/>
  <c r="CZ33" i="5"/>
  <c r="CW33" i="5"/>
  <c r="CW37" i="5"/>
  <c r="CZ37" i="5"/>
  <c r="CW41" i="5"/>
  <c r="CZ41" i="5"/>
  <c r="S6" i="8" s="1"/>
  <c r="CZ45" i="5"/>
  <c r="CW45" i="5"/>
  <c r="CZ6" i="5"/>
  <c r="CW6" i="5"/>
  <c r="CW12" i="5"/>
  <c r="CZ12" i="5"/>
  <c r="CZ20" i="5"/>
  <c r="CW20" i="5"/>
  <c r="CZ28" i="5"/>
  <c r="CW28" i="5"/>
  <c r="CZ36" i="5"/>
  <c r="CW36" i="5"/>
  <c r="CZ44" i="5"/>
  <c r="CW44" i="5"/>
  <c r="CW10" i="5"/>
  <c r="CZ10" i="5"/>
  <c r="CZ18" i="5"/>
  <c r="CW18" i="5"/>
  <c r="CZ26" i="5"/>
  <c r="CW26" i="5"/>
  <c r="CZ34" i="5"/>
  <c r="CW34" i="5"/>
  <c r="CW42" i="5"/>
  <c r="CZ42" i="5"/>
  <c r="CZ7" i="5"/>
  <c r="CW7" i="5"/>
  <c r="AL50" i="6" l="1"/>
  <c r="AD50" i="6"/>
  <c r="DG6" i="5"/>
  <c r="E67" i="7"/>
  <c r="N67" i="7" s="1"/>
  <c r="D67" i="7"/>
  <c r="M67" i="7" s="1"/>
  <c r="AM40" i="5"/>
  <c r="CX14" i="5"/>
  <c r="AN14" i="5"/>
  <c r="AO13" i="5" s="1"/>
  <c r="CN13" i="5" s="1"/>
  <c r="AN40" i="5"/>
  <c r="AO39" i="5" s="1"/>
  <c r="CN39" i="5" s="1"/>
  <c r="CM40" i="5"/>
  <c r="CX39" i="5"/>
  <c r="CM14" i="5"/>
  <c r="DD14" i="5" s="1"/>
  <c r="EK7" i="5" a="1"/>
  <c r="EK7" i="5" s="1"/>
  <c r="EK26" i="5" a="1"/>
  <c r="EK26" i="5" s="1"/>
  <c r="EK20" i="5" a="1"/>
  <c r="EK20" i="5" s="1"/>
  <c r="EK29" i="5" a="1"/>
  <c r="EK29" i="5" s="1"/>
  <c r="EK13" i="5" a="1"/>
  <c r="EK13" i="5" s="1"/>
  <c r="EK14" i="5" a="1"/>
  <c r="EK14" i="5" s="1"/>
  <c r="EK24" i="5" a="1"/>
  <c r="EK24" i="5" s="1"/>
  <c r="EK19" i="5" a="1"/>
  <c r="EK19" i="5" s="1"/>
  <c r="EK11" i="5" a="1"/>
  <c r="EK11" i="5" s="1"/>
  <c r="EK10" i="5" a="1"/>
  <c r="EK10" i="5" s="1"/>
  <c r="EK12" i="5" a="1"/>
  <c r="EK12" i="5" s="1"/>
  <c r="EK21" i="5" a="1"/>
  <c r="EK21" i="5" s="1"/>
  <c r="EK17" i="5" a="1"/>
  <c r="EK17" i="5" s="1"/>
  <c r="EK30" i="5" a="1"/>
  <c r="EK30" i="5" s="1"/>
  <c r="EK22" i="5" a="1"/>
  <c r="EK22" i="5" s="1"/>
  <c r="EK16" i="5" a="1"/>
  <c r="EK16" i="5" s="1"/>
  <c r="EK8" i="5" a="1"/>
  <c r="EK8" i="5" s="1"/>
  <c r="EK27" i="5" a="1"/>
  <c r="EK27" i="5" s="1"/>
  <c r="EK23" i="5" a="1"/>
  <c r="EK23" i="5" s="1"/>
  <c r="EI30" i="5" a="1"/>
  <c r="EI30" i="5" s="1"/>
  <c r="EF30" i="5"/>
  <c r="EH30" i="5" a="1"/>
  <c r="EH30" i="5" s="1"/>
  <c r="EJ30" i="5" a="1"/>
  <c r="EJ30" i="5" s="1"/>
  <c r="EK18" i="5" a="1"/>
  <c r="EK18" i="5" s="1"/>
  <c r="EK28" i="5" a="1"/>
  <c r="EK28" i="5" s="1"/>
  <c r="EK6" i="5" a="1"/>
  <c r="EK6" i="5" s="1"/>
  <c r="EK25" i="5" a="1"/>
  <c r="EK25" i="5" s="1"/>
  <c r="EK9" i="5" a="1"/>
  <c r="EK9" i="5" s="1"/>
  <c r="EK15" i="5" a="1"/>
  <c r="EK15" i="5" s="1"/>
  <c r="AC31" i="5"/>
  <c r="AD30" i="5"/>
  <c r="AE30" i="5"/>
  <c r="G6" i="8"/>
  <c r="G19" i="8" s="1"/>
  <c r="AI19" i="8" s="1"/>
  <c r="EB47" i="5" a="1"/>
  <c r="EB47" i="5" s="1"/>
  <c r="N6" i="8"/>
  <c r="N31" i="8" s="1"/>
  <c r="DH48" i="5"/>
  <c r="DR16" i="5" s="1"/>
  <c r="B35" i="7"/>
  <c r="B71" i="7" s="1"/>
  <c r="K71" i="7" s="1"/>
  <c r="D43" i="7"/>
  <c r="B43" i="7"/>
  <c r="D35" i="7"/>
  <c r="D71" i="7" s="1"/>
  <c r="M71" i="7" s="1"/>
  <c r="D34" i="7"/>
  <c r="D70" i="7" s="1"/>
  <c r="M70" i="7" s="1"/>
  <c r="D42" i="7"/>
  <c r="B41" i="7"/>
  <c r="B33" i="7"/>
  <c r="B69" i="7" s="1"/>
  <c r="K69" i="7" s="1"/>
  <c r="E43" i="7"/>
  <c r="E35" i="7"/>
  <c r="E71" i="7" s="1"/>
  <c r="N71" i="7" s="1"/>
  <c r="E34" i="7"/>
  <c r="E70" i="7" s="1"/>
  <c r="N70" i="7" s="1"/>
  <c r="E42" i="7"/>
  <c r="CM39" i="5"/>
  <c r="CX26" i="5"/>
  <c r="CM46" i="5"/>
  <c r="DD46" i="5" s="1"/>
  <c r="CM15" i="5"/>
  <c r="AM31" i="5"/>
  <c r="CX31" i="5"/>
  <c r="CM31" i="5"/>
  <c r="CX46" i="5"/>
  <c r="CX15" i="5"/>
  <c r="AM15" i="5"/>
  <c r="AN46" i="5"/>
  <c r="AO45" i="5" s="1"/>
  <c r="CN45" i="5" s="1"/>
  <c r="I69" i="8"/>
  <c r="Z69" i="8" s="1"/>
  <c r="CM7" i="5"/>
  <c r="I50" i="8"/>
  <c r="X50" i="8" s="1"/>
  <c r="I11" i="8"/>
  <c r="AK11" i="8" s="1"/>
  <c r="CX27" i="5"/>
  <c r="I27" i="8"/>
  <c r="Y27" i="8" s="1"/>
  <c r="I28" i="8"/>
  <c r="Y28" i="8" s="1"/>
  <c r="I42" i="8"/>
  <c r="X42" i="8" s="1"/>
  <c r="I49" i="8"/>
  <c r="Y49" i="8" s="1"/>
  <c r="I48" i="8"/>
  <c r="X48" i="8" s="1"/>
  <c r="I60" i="8"/>
  <c r="Z60" i="8" s="1"/>
  <c r="I37" i="8"/>
  <c r="Z37" i="8" s="1"/>
  <c r="I66" i="8"/>
  <c r="Y66" i="8" s="1"/>
  <c r="I15" i="8"/>
  <c r="AK15" i="8" s="1"/>
  <c r="I24" i="8"/>
  <c r="Y24" i="8" s="1"/>
  <c r="DH41" i="5"/>
  <c r="DH30" i="5"/>
  <c r="AM39" i="5"/>
  <c r="AM27" i="5"/>
  <c r="AN38" i="5"/>
  <c r="AO37" i="5" s="1"/>
  <c r="CN37" i="5" s="1"/>
  <c r="DH18" i="5"/>
  <c r="DR13" i="5" s="1"/>
  <c r="DH44" i="5"/>
  <c r="DH28" i="5"/>
  <c r="DR14" i="5" s="1"/>
  <c r="DH20" i="5"/>
  <c r="I82" i="8"/>
  <c r="Y82" i="8" s="1"/>
  <c r="I99" i="8"/>
  <c r="Z99" i="8" s="1"/>
  <c r="I18" i="8"/>
  <c r="AK18" i="8" s="1"/>
  <c r="I83" i="8"/>
  <c r="X83" i="8" s="1"/>
  <c r="I103" i="8"/>
  <c r="Z103" i="8" s="1"/>
  <c r="I10" i="8"/>
  <c r="X10" i="8" s="1"/>
  <c r="I92" i="8"/>
  <c r="Z92" i="8" s="1"/>
  <c r="I73" i="8"/>
  <c r="Y73" i="8" s="1"/>
  <c r="I107" i="8"/>
  <c r="X107" i="8" s="1"/>
  <c r="I98" i="8"/>
  <c r="AK98" i="8" s="1"/>
  <c r="I68" i="8"/>
  <c r="AK68" i="8" s="1"/>
  <c r="I75" i="8"/>
  <c r="AK75" i="8" s="1"/>
  <c r="CM30" i="5"/>
  <c r="DD30" i="5" s="1"/>
  <c r="CM35" i="5"/>
  <c r="AM7" i="5"/>
  <c r="DH12" i="5"/>
  <c r="I53" i="8"/>
  <c r="X53" i="8" s="1"/>
  <c r="I51" i="8"/>
  <c r="AK51" i="8" s="1"/>
  <c r="I84" i="8"/>
  <c r="Z84" i="8" s="1"/>
  <c r="I41" i="8"/>
  <c r="X41" i="8" s="1"/>
  <c r="I72" i="8"/>
  <c r="Y72" i="8" s="1"/>
  <c r="I57" i="8"/>
  <c r="Z57" i="8" s="1"/>
  <c r="I77" i="8"/>
  <c r="Z77" i="8" s="1"/>
  <c r="I29" i="8"/>
  <c r="Z29" i="8" s="1"/>
  <c r="I36" i="8"/>
  <c r="Z36" i="8" s="1"/>
  <c r="I17" i="8"/>
  <c r="AK17" i="8" s="1"/>
  <c r="I22" i="8"/>
  <c r="AK22" i="8" s="1"/>
  <c r="I35" i="8"/>
  <c r="AK35" i="8" s="1"/>
  <c r="I81" i="8"/>
  <c r="Z81" i="8" s="1"/>
  <c r="I20" i="8"/>
  <c r="Z20" i="8" s="1"/>
  <c r="I105" i="8"/>
  <c r="Z105" i="8" s="1"/>
  <c r="I45" i="8"/>
  <c r="AK45" i="8" s="1"/>
  <c r="I44" i="8"/>
  <c r="Y44" i="8" s="1"/>
  <c r="I56" i="8"/>
  <c r="X56" i="8" s="1"/>
  <c r="I96" i="8"/>
  <c r="X96" i="8" s="1"/>
  <c r="I65" i="8"/>
  <c r="AK65" i="8" s="1"/>
  <c r="I23" i="8"/>
  <c r="AK23" i="8" s="1"/>
  <c r="I31" i="8"/>
  <c r="AK31" i="8" s="1"/>
  <c r="I67" i="8"/>
  <c r="Y67" i="8" s="1"/>
  <c r="I89" i="8"/>
  <c r="X89" i="8" s="1"/>
  <c r="I87" i="8"/>
  <c r="X87" i="8" s="1"/>
  <c r="CX30" i="5"/>
  <c r="CM23" i="5"/>
  <c r="CX35" i="5"/>
  <c r="CX22" i="5"/>
  <c r="AM23" i="5"/>
  <c r="CX23" i="5"/>
  <c r="AN30" i="5"/>
  <c r="AO29" i="5" s="1"/>
  <c r="CN29" i="5" s="1"/>
  <c r="DH24" i="5"/>
  <c r="DH15" i="5"/>
  <c r="CM18" i="5"/>
  <c r="CX34" i="5"/>
  <c r="DH9" i="5"/>
  <c r="W51" i="6" a="1"/>
  <c r="W51" i="6" s="1"/>
  <c r="DH16" i="5"/>
  <c r="AN19" i="5"/>
  <c r="AO18" i="5" s="1"/>
  <c r="CN18" i="5" s="1"/>
  <c r="DH31" i="5"/>
  <c r="CM11" i="5"/>
  <c r="DH17" i="5"/>
  <c r="DH32" i="5"/>
  <c r="I52" i="8"/>
  <c r="X52" i="8" s="1"/>
  <c r="I102" i="8"/>
  <c r="X102" i="8" s="1"/>
  <c r="I12" i="8"/>
  <c r="AK12" i="8" s="1"/>
  <c r="I80" i="8"/>
  <c r="X80" i="8" s="1"/>
  <c r="I63" i="8"/>
  <c r="X63" i="8" s="1"/>
  <c r="I47" i="8"/>
  <c r="Z47" i="8" s="1"/>
  <c r="I61" i="8"/>
  <c r="AK61" i="8" s="1"/>
  <c r="I71" i="8"/>
  <c r="AK71" i="8" s="1"/>
  <c r="I39" i="8"/>
  <c r="Y39" i="8" s="1"/>
  <c r="I95" i="8"/>
  <c r="Z95" i="8" s="1"/>
  <c r="I55" i="8"/>
  <c r="Z55" i="8" s="1"/>
  <c r="I110" i="8"/>
  <c r="AK110" i="8" s="1"/>
  <c r="I38" i="8"/>
  <c r="X38" i="8" s="1"/>
  <c r="I93" i="8"/>
  <c r="Z93" i="8" s="1"/>
  <c r="I79" i="8"/>
  <c r="Y79" i="8" s="1"/>
  <c r="I34" i="8"/>
  <c r="X34" i="8" s="1"/>
  <c r="I26" i="8"/>
  <c r="X26" i="8" s="1"/>
  <c r="I46" i="8"/>
  <c r="Y46" i="8" s="1"/>
  <c r="I101" i="8"/>
  <c r="Y101" i="8" s="1"/>
  <c r="I91" i="8"/>
  <c r="X91" i="8" s="1"/>
  <c r="I85" i="8"/>
  <c r="Z85" i="8" s="1"/>
  <c r="I64" i="8"/>
  <c r="AK64" i="8" s="1"/>
  <c r="I104" i="8"/>
  <c r="Z104" i="8" s="1"/>
  <c r="I106" i="8"/>
  <c r="X106" i="8" s="1"/>
  <c r="I90" i="8"/>
  <c r="Y90" i="8" s="1"/>
  <c r="I62" i="8"/>
  <c r="X62" i="8" s="1"/>
  <c r="I86" i="8"/>
  <c r="AK86" i="8" s="1"/>
  <c r="I33" i="8"/>
  <c r="AK33" i="8" s="1"/>
  <c r="I94" i="8"/>
  <c r="Z94" i="8" s="1"/>
  <c r="I40" i="8"/>
  <c r="AK40" i="8" s="1"/>
  <c r="I76" i="8"/>
  <c r="AK76" i="8" s="1"/>
  <c r="I108" i="8"/>
  <c r="Z108" i="8" s="1"/>
  <c r="I16" i="8"/>
  <c r="X16" i="8" s="1"/>
  <c r="I88" i="8"/>
  <c r="AK88" i="8" s="1"/>
  <c r="I58" i="8"/>
  <c r="Y58" i="8" s="1"/>
  <c r="I14" i="8"/>
  <c r="Z14" i="8" s="1"/>
  <c r="I70" i="8"/>
  <c r="Z70" i="8" s="1"/>
  <c r="I54" i="8"/>
  <c r="Z54" i="8" s="1"/>
  <c r="I13" i="8"/>
  <c r="Y13" i="8" s="1"/>
  <c r="I30" i="8"/>
  <c r="Z30" i="8" s="1"/>
  <c r="I59" i="8"/>
  <c r="Y59" i="8" s="1"/>
  <c r="I43" i="8"/>
  <c r="X43" i="8" s="1"/>
  <c r="I100" i="8"/>
  <c r="Y100" i="8" s="1"/>
  <c r="I19" i="8"/>
  <c r="AK19" i="8" s="1"/>
  <c r="I78" i="8"/>
  <c r="Y78" i="8" s="1"/>
  <c r="I25" i="8"/>
  <c r="X25" i="8" s="1"/>
  <c r="I97" i="8"/>
  <c r="Z97" i="8" s="1"/>
  <c r="I74" i="8"/>
  <c r="Z74" i="8" s="1"/>
  <c r="I109" i="8"/>
  <c r="AK109" i="8" s="1"/>
  <c r="I32" i="8"/>
  <c r="Y32" i="8" s="1"/>
  <c r="CM22" i="5"/>
  <c r="DD22" i="5" s="1"/>
  <c r="CX19" i="5"/>
  <c r="CX7" i="5"/>
  <c r="AN22" i="5"/>
  <c r="AO21" i="5" s="1"/>
  <c r="CN21" i="5" s="1"/>
  <c r="AN35" i="5"/>
  <c r="AO34" i="5" s="1"/>
  <c r="CN34" i="5" s="1"/>
  <c r="CM19" i="5"/>
  <c r="AT50" i="15"/>
  <c r="AK50" i="15"/>
  <c r="AB50" i="15"/>
  <c r="AJ50" i="15"/>
  <c r="AC50" i="15"/>
  <c r="AS50" i="15"/>
  <c r="U51" i="15" a="1"/>
  <c r="U51" i="15" s="1"/>
  <c r="AK51" i="15" s="1"/>
  <c r="DH36" i="5"/>
  <c r="DH33" i="5"/>
  <c r="AU50" i="6"/>
  <c r="AV50" i="6"/>
  <c r="DH23" i="5"/>
  <c r="DF6" i="5"/>
  <c r="CM38" i="5"/>
  <c r="DD38" i="5" s="1"/>
  <c r="DN15" i="5" s="1"/>
  <c r="CM47" i="5"/>
  <c r="AM47" i="5"/>
  <c r="CX11" i="5"/>
  <c r="CM27" i="5"/>
  <c r="AM11" i="5"/>
  <c r="CX38" i="5"/>
  <c r="CX47" i="5"/>
  <c r="CU2" i="5"/>
  <c r="AM50" i="6"/>
  <c r="AE50" i="6"/>
  <c r="CM26" i="5"/>
  <c r="DD26" i="5" s="1"/>
  <c r="CM10" i="5"/>
  <c r="DD10" i="5" s="1"/>
  <c r="CM42" i="5"/>
  <c r="AM10" i="5"/>
  <c r="CU3" i="5"/>
  <c r="CM34" i="5"/>
  <c r="DE6" i="5"/>
  <c r="V51" i="15" a="1"/>
  <c r="V51" i="15" s="1"/>
  <c r="AD51" i="15" s="1"/>
  <c r="AL51" i="15" s="1"/>
  <c r="CP2" i="5"/>
  <c r="CP3" i="5"/>
  <c r="DD42" i="5"/>
  <c r="CM43" i="5"/>
  <c r="AN18" i="5"/>
  <c r="AO17" i="5" s="1"/>
  <c r="CN17" i="5" s="1"/>
  <c r="AM26" i="5"/>
  <c r="CX10" i="5"/>
  <c r="C79" i="8"/>
  <c r="AE79" i="8" s="1"/>
  <c r="AX79" i="8" s="1"/>
  <c r="AM42" i="5"/>
  <c r="CX42" i="5"/>
  <c r="AN34" i="5"/>
  <c r="AO33" i="5" s="1"/>
  <c r="CN33" i="5" s="1"/>
  <c r="CX18" i="5"/>
  <c r="CX43" i="5"/>
  <c r="AM43" i="5"/>
  <c r="AN25" i="5"/>
  <c r="AO24" i="5" s="1"/>
  <c r="CN24" i="5" s="1"/>
  <c r="CM25" i="5"/>
  <c r="DD25" i="5" s="1"/>
  <c r="AM25" i="5"/>
  <c r="CX25" i="5"/>
  <c r="AM8" i="5"/>
  <c r="CX8" i="5"/>
  <c r="AN8" i="5"/>
  <c r="AO7" i="5" s="1"/>
  <c r="CN7" i="5" s="1"/>
  <c r="CM8" i="5"/>
  <c r="AM24" i="5"/>
  <c r="CM24" i="5"/>
  <c r="AN24" i="5"/>
  <c r="AO23" i="5" s="1"/>
  <c r="CN23" i="5" s="1"/>
  <c r="CX24" i="5"/>
  <c r="AM41" i="5"/>
  <c r="CX41" i="5"/>
  <c r="Q6" i="8" s="1"/>
  <c r="AN41" i="5"/>
  <c r="AO40" i="5" s="1"/>
  <c r="CN40" i="5" s="1"/>
  <c r="CM41" i="5"/>
  <c r="AM9" i="5"/>
  <c r="CX9" i="5"/>
  <c r="CM9" i="5"/>
  <c r="DD9" i="5" s="1"/>
  <c r="AN9" i="5"/>
  <c r="AO8" i="5" s="1"/>
  <c r="CN8" i="5" s="1"/>
  <c r="AN32" i="5"/>
  <c r="AO31" i="5" s="1"/>
  <c r="CN31" i="5" s="1"/>
  <c r="CX32" i="5"/>
  <c r="AM32" i="5"/>
  <c r="CM32" i="5"/>
  <c r="AN37" i="5"/>
  <c r="AO36" i="5" s="1"/>
  <c r="CN36" i="5" s="1"/>
  <c r="CM37" i="5"/>
  <c r="AM37" i="5"/>
  <c r="CX37" i="5"/>
  <c r="AN33" i="5"/>
  <c r="AO32" i="5" s="1"/>
  <c r="CN32" i="5" s="1"/>
  <c r="CX33" i="5"/>
  <c r="AM33" i="5"/>
  <c r="CM33" i="5"/>
  <c r="AN16" i="5"/>
  <c r="AO15" i="5" s="1"/>
  <c r="CN15" i="5" s="1"/>
  <c r="CX16" i="5"/>
  <c r="AM16" i="5"/>
  <c r="CM16" i="5"/>
  <c r="AN17" i="5"/>
  <c r="AO16" i="5" s="1"/>
  <c r="CN16" i="5" s="1"/>
  <c r="CX17" i="5"/>
  <c r="AM17" i="5"/>
  <c r="CM17" i="5"/>
  <c r="AM48" i="5"/>
  <c r="CM48" i="5"/>
  <c r="DD48" i="5" s="1"/>
  <c r="DN16" i="5" s="1"/>
  <c r="AN48" i="5"/>
  <c r="AO47" i="5" s="1"/>
  <c r="CN47" i="5" s="1"/>
  <c r="CX48" i="5"/>
  <c r="CM21" i="5"/>
  <c r="AN21" i="5"/>
  <c r="AO20" i="5" s="1"/>
  <c r="CN20" i="5" s="1"/>
  <c r="CX21" i="5"/>
  <c r="AN20" i="5"/>
  <c r="AO19" i="5" s="1"/>
  <c r="CN19" i="5" s="1"/>
  <c r="AM20" i="5"/>
  <c r="CM20" i="5"/>
  <c r="CX20" i="5"/>
  <c r="AN13" i="5"/>
  <c r="AO12" i="5" s="1"/>
  <c r="CN12" i="5" s="1"/>
  <c r="CX13" i="5"/>
  <c r="AM13" i="5"/>
  <c r="CM13" i="5"/>
  <c r="AN28" i="5"/>
  <c r="AO27" i="5" s="1"/>
  <c r="CN27" i="5" s="1"/>
  <c r="CM28" i="5"/>
  <c r="AM28" i="5"/>
  <c r="CX28" i="5"/>
  <c r="AN29" i="5"/>
  <c r="AO28" i="5" s="1"/>
  <c r="CN28" i="5" s="1"/>
  <c r="CM29" i="5"/>
  <c r="AM29" i="5"/>
  <c r="CX29" i="5"/>
  <c r="AN36" i="5"/>
  <c r="AO35" i="5" s="1"/>
  <c r="CN35" i="5" s="1"/>
  <c r="CX36" i="5"/>
  <c r="AM36" i="5"/>
  <c r="CM36" i="5"/>
  <c r="AN45" i="5"/>
  <c r="AO44" i="5" s="1"/>
  <c r="CN44" i="5" s="1"/>
  <c r="CM45" i="5"/>
  <c r="AM45" i="5"/>
  <c r="CX45" i="5"/>
  <c r="AN44" i="5"/>
  <c r="AO43" i="5" s="1"/>
  <c r="CN43" i="5" s="1"/>
  <c r="CM44" i="5"/>
  <c r="AM44" i="5"/>
  <c r="CX44" i="5"/>
  <c r="AN12" i="5"/>
  <c r="AO11" i="5" s="1"/>
  <c r="CN11" i="5" s="1"/>
  <c r="AM12" i="5"/>
  <c r="CM12" i="5"/>
  <c r="CX12" i="5"/>
  <c r="C76" i="8"/>
  <c r="V76" i="8" s="1"/>
  <c r="CJ3" i="5"/>
  <c r="C68" i="8"/>
  <c r="V68" i="8" s="1"/>
  <c r="AF50" i="6"/>
  <c r="CJ2" i="5"/>
  <c r="C101" i="8"/>
  <c r="V101" i="8" s="1"/>
  <c r="C89" i="8"/>
  <c r="V89" i="8" s="1"/>
  <c r="C31" i="8"/>
  <c r="V31" i="8" s="1"/>
  <c r="C65" i="8"/>
  <c r="V65" i="8" s="1"/>
  <c r="C58" i="8"/>
  <c r="V58" i="8" s="1"/>
  <c r="C90" i="8"/>
  <c r="AE90" i="8" s="1"/>
  <c r="AX90" i="8" s="1"/>
  <c r="C20" i="8"/>
  <c r="AE20" i="8" s="1"/>
  <c r="AX20" i="8" s="1"/>
  <c r="C86" i="8"/>
  <c r="V86" i="8" s="1"/>
  <c r="C32" i="8"/>
  <c r="AE32" i="8" s="1"/>
  <c r="AX32" i="8" s="1"/>
  <c r="C104" i="8"/>
  <c r="V104" i="8" s="1"/>
  <c r="C72" i="8"/>
  <c r="AE72" i="8" s="1"/>
  <c r="AX72" i="8" s="1"/>
  <c r="C48" i="8"/>
  <c r="V48" i="8" s="1"/>
  <c r="C106" i="8"/>
  <c r="AE106" i="8" s="1"/>
  <c r="AX106" i="8" s="1"/>
  <c r="C107" i="8"/>
  <c r="V107" i="8" s="1"/>
  <c r="C108" i="8"/>
  <c r="V108" i="8" s="1"/>
  <c r="C60" i="8"/>
  <c r="V60" i="8" s="1"/>
  <c r="C83" i="8"/>
  <c r="AE83" i="8" s="1"/>
  <c r="AX83" i="8" s="1"/>
  <c r="C19" i="8"/>
  <c r="V19" i="8" s="1"/>
  <c r="C24" i="8"/>
  <c r="V24" i="8" s="1"/>
  <c r="C55" i="8"/>
  <c r="V55" i="8" s="1"/>
  <c r="C27" i="8"/>
  <c r="V27" i="8" s="1"/>
  <c r="C88" i="8"/>
  <c r="V88" i="8" s="1"/>
  <c r="C23" i="8"/>
  <c r="V23" i="8" s="1"/>
  <c r="C36" i="8"/>
  <c r="AE36" i="8" s="1"/>
  <c r="AX36" i="8" s="1"/>
  <c r="C39" i="8"/>
  <c r="AE39" i="8" s="1"/>
  <c r="AX39" i="8" s="1"/>
  <c r="C96" i="8"/>
  <c r="AE96" i="8" s="1"/>
  <c r="AX96" i="8" s="1"/>
  <c r="C75" i="8"/>
  <c r="V75" i="8" s="1"/>
  <c r="C51" i="8"/>
  <c r="V51" i="8" s="1"/>
  <c r="C50" i="8"/>
  <c r="V50" i="8" s="1"/>
  <c r="C93" i="8"/>
  <c r="AE93" i="8" s="1"/>
  <c r="AX93" i="8" s="1"/>
  <c r="C57" i="8"/>
  <c r="V57" i="8" s="1"/>
  <c r="C92" i="8"/>
  <c r="AE92" i="8" s="1"/>
  <c r="AX92" i="8" s="1"/>
  <c r="C78" i="8"/>
  <c r="V78" i="8" s="1"/>
  <c r="C99" i="8"/>
  <c r="AE99" i="8" s="1"/>
  <c r="AX99" i="8" s="1"/>
  <c r="C94" i="8"/>
  <c r="V94" i="8" s="1"/>
  <c r="C67" i="8"/>
  <c r="AE67" i="8" s="1"/>
  <c r="AX67" i="8" s="1"/>
  <c r="C100" i="8"/>
  <c r="V100" i="8" s="1"/>
  <c r="V6" i="8"/>
  <c r="C40" i="8"/>
  <c r="V40" i="8" s="1"/>
  <c r="C34" i="8"/>
  <c r="AE34" i="8" s="1"/>
  <c r="AX34" i="8" s="1"/>
  <c r="C25" i="8"/>
  <c r="AE25" i="8" s="1"/>
  <c r="AX25" i="8" s="1"/>
  <c r="C91" i="8"/>
  <c r="AE91" i="8" s="1"/>
  <c r="AX91" i="8" s="1"/>
  <c r="C98" i="8"/>
  <c r="V98" i="8" s="1"/>
  <c r="C13" i="8"/>
  <c r="V13" i="8" s="1"/>
  <c r="C62" i="8"/>
  <c r="AE62" i="8" s="1"/>
  <c r="AX62" i="8" s="1"/>
  <c r="C18" i="8"/>
  <c r="V18" i="8" s="1"/>
  <c r="C81" i="8"/>
  <c r="AE81" i="8" s="1"/>
  <c r="AX81" i="8" s="1"/>
  <c r="C95" i="8"/>
  <c r="AE95" i="8" s="1"/>
  <c r="AX95" i="8" s="1"/>
  <c r="C10" i="8"/>
  <c r="AE10" i="8" s="1"/>
  <c r="AX10" i="8" s="1"/>
  <c r="C87" i="8"/>
  <c r="V87" i="8" s="1"/>
  <c r="C82" i="8"/>
  <c r="V82" i="8" s="1"/>
  <c r="C28" i="8"/>
  <c r="AE28" i="8" s="1"/>
  <c r="AX28" i="8" s="1"/>
  <c r="C30" i="8"/>
  <c r="AE30" i="8" s="1"/>
  <c r="AX30" i="8" s="1"/>
  <c r="C85" i="8"/>
  <c r="AE85" i="8" s="1"/>
  <c r="AX85" i="8" s="1"/>
  <c r="C43" i="8"/>
  <c r="AE43" i="8" s="1"/>
  <c r="AX43" i="8" s="1"/>
  <c r="C61" i="8"/>
  <c r="AE61" i="8" s="1"/>
  <c r="AX61" i="8" s="1"/>
  <c r="C110" i="8"/>
  <c r="V110" i="8" s="1"/>
  <c r="C56" i="8"/>
  <c r="V56" i="8" s="1"/>
  <c r="C35" i="8"/>
  <c r="V35" i="8" s="1"/>
  <c r="C102" i="8"/>
  <c r="V102" i="8" s="1"/>
  <c r="C105" i="8"/>
  <c r="V105" i="8" s="1"/>
  <c r="C33" i="8"/>
  <c r="AE33" i="8" s="1"/>
  <c r="AX33" i="8" s="1"/>
  <c r="C54" i="8"/>
  <c r="AE54" i="8" s="1"/>
  <c r="AX54" i="8" s="1"/>
  <c r="C16" i="8"/>
  <c r="AE16" i="8" s="1"/>
  <c r="AX16" i="8" s="1"/>
  <c r="C97" i="8"/>
  <c r="AE97" i="8" s="1"/>
  <c r="AX97" i="8" s="1"/>
  <c r="C22" i="8"/>
  <c r="AE22" i="8" s="1"/>
  <c r="AX22" i="8" s="1"/>
  <c r="C46" i="8"/>
  <c r="V46" i="8" s="1"/>
  <c r="C47" i="8"/>
  <c r="AE47" i="8" s="1"/>
  <c r="AX47" i="8" s="1"/>
  <c r="C17" i="8"/>
  <c r="AE17" i="8" s="1"/>
  <c r="AX17" i="8" s="1"/>
  <c r="C12" i="8"/>
  <c r="V12" i="8" s="1"/>
  <c r="C41" i="8"/>
  <c r="V41" i="8" s="1"/>
  <c r="C14" i="8"/>
  <c r="V14" i="8" s="1"/>
  <c r="C70" i="8"/>
  <c r="AE70" i="8" s="1"/>
  <c r="AX70" i="8" s="1"/>
  <c r="C74" i="8"/>
  <c r="AE74" i="8" s="1"/>
  <c r="AX74" i="8" s="1"/>
  <c r="C29" i="8"/>
  <c r="V29" i="8" s="1"/>
  <c r="C59" i="8"/>
  <c r="AE59" i="8" s="1"/>
  <c r="AX59" i="8" s="1"/>
  <c r="C15" i="8"/>
  <c r="AE15" i="8" s="1"/>
  <c r="AX15" i="8" s="1"/>
  <c r="C73" i="8"/>
  <c r="AE73" i="8" s="1"/>
  <c r="AX73" i="8" s="1"/>
  <c r="C84" i="8"/>
  <c r="AE84" i="8" s="1"/>
  <c r="AX84" i="8" s="1"/>
  <c r="C11" i="8"/>
  <c r="V11" i="8" s="1"/>
  <c r="C53" i="8"/>
  <c r="AE53" i="8" s="1"/>
  <c r="AX53" i="8" s="1"/>
  <c r="C64" i="8"/>
  <c r="V64" i="8" s="1"/>
  <c r="C21" i="8"/>
  <c r="AE21" i="8" s="1"/>
  <c r="AX21" i="8" s="1"/>
  <c r="C42" i="8"/>
  <c r="V42" i="8" s="1"/>
  <c r="C38" i="8"/>
  <c r="V38" i="8" s="1"/>
  <c r="C77" i="8"/>
  <c r="AE77" i="8" s="1"/>
  <c r="AX77" i="8" s="1"/>
  <c r="C63" i="8"/>
  <c r="V63" i="8" s="1"/>
  <c r="C109" i="8"/>
  <c r="V109" i="8" s="1"/>
  <c r="C69" i="8"/>
  <c r="AE69" i="8" s="1"/>
  <c r="AX69" i="8" s="1"/>
  <c r="C26" i="8"/>
  <c r="AE26" i="8" s="1"/>
  <c r="AX26" i="8" s="1"/>
  <c r="C49" i="8"/>
  <c r="V49" i="8" s="1"/>
  <c r="C80" i="8"/>
  <c r="AE80" i="8" s="1"/>
  <c r="AX80" i="8" s="1"/>
  <c r="C103" i="8"/>
  <c r="AE103" i="8" s="1"/>
  <c r="AX103" i="8" s="1"/>
  <c r="C66" i="8"/>
  <c r="AE66" i="8" s="1"/>
  <c r="AX66" i="8" s="1"/>
  <c r="C37" i="8"/>
  <c r="AE37" i="8" s="1"/>
  <c r="AX37" i="8" s="1"/>
  <c r="C45" i="8"/>
  <c r="V45" i="8" s="1"/>
  <c r="C52" i="8"/>
  <c r="AE52" i="8" s="1"/>
  <c r="AX52" i="8" s="1"/>
  <c r="C44" i="8"/>
  <c r="AE44" i="8" s="1"/>
  <c r="AX44" i="8" s="1"/>
  <c r="EB46" i="5" a="1"/>
  <c r="EB46" i="5" s="1"/>
  <c r="EB40" i="5" a="1"/>
  <c r="EB40" i="5" s="1"/>
  <c r="DH46" i="5"/>
  <c r="EB7" i="5" a="1"/>
  <c r="EB7" i="5" s="1"/>
  <c r="EB34" i="5" a="1"/>
  <c r="EB34" i="5" s="1"/>
  <c r="EB44" i="5" a="1"/>
  <c r="EB44" i="5" s="1"/>
  <c r="EB36" i="5" a="1"/>
  <c r="EB36" i="5" s="1"/>
  <c r="DH47" i="5"/>
  <c r="DH40" i="5"/>
  <c r="EB37" i="5" a="1"/>
  <c r="EB37" i="5" s="1"/>
  <c r="X52" i="6" a="1"/>
  <c r="X52" i="6" s="1"/>
  <c r="AF51" i="6"/>
  <c r="AN51" i="6" s="1"/>
  <c r="DH42" i="5"/>
  <c r="EB42" i="5" a="1"/>
  <c r="EB42" i="5" s="1"/>
  <c r="EB10" i="5" a="1"/>
  <c r="EB10" i="5" s="1"/>
  <c r="EB12" i="5" a="1"/>
  <c r="EB12" i="5" s="1"/>
  <c r="CZ3" i="5"/>
  <c r="CZ2" i="5"/>
  <c r="P6" i="8"/>
  <c r="EB41" i="5" a="1"/>
  <c r="EB41" i="5" s="1"/>
  <c r="EB21" i="5" a="1"/>
  <c r="EB21" i="5" s="1"/>
  <c r="EB17" i="5" a="1"/>
  <c r="EB17" i="5" s="1"/>
  <c r="EB14" i="5" a="1"/>
  <c r="EB14" i="5" s="1"/>
  <c r="EB32" i="5" a="1"/>
  <c r="EB32" i="5" s="1"/>
  <c r="EB24" i="5" a="1"/>
  <c r="EB24" i="5" s="1"/>
  <c r="DH43" i="5"/>
  <c r="EB43" i="5" a="1"/>
  <c r="EB43" i="5" s="1"/>
  <c r="DH39" i="5"/>
  <c r="EB39" i="5" a="1"/>
  <c r="EB39" i="5" s="1"/>
  <c r="EB35" i="5" a="1"/>
  <c r="EB35" i="5" s="1"/>
  <c r="DH19" i="5"/>
  <c r="EB19" i="5" a="1"/>
  <c r="EB19" i="5" s="1"/>
  <c r="EB15" i="5" a="1"/>
  <c r="EB15" i="5" s="1"/>
  <c r="EB11" i="5" a="1"/>
  <c r="EB11" i="5" s="1"/>
  <c r="DC3" i="5"/>
  <c r="DC2" i="5"/>
  <c r="AE71" i="8"/>
  <c r="AX71" i="8" s="1"/>
  <c r="V71" i="8"/>
  <c r="DH35" i="5"/>
  <c r="DH37" i="5"/>
  <c r="DH21" i="5"/>
  <c r="DH7" i="5"/>
  <c r="DH10" i="5"/>
  <c r="AK21" i="8"/>
  <c r="Y21" i="8"/>
  <c r="X21" i="8"/>
  <c r="Z21" i="8"/>
  <c r="DH26" i="5"/>
  <c r="EB26" i="5" a="1"/>
  <c r="EB26" i="5" s="1"/>
  <c r="EB18" i="5" a="1"/>
  <c r="EB18" i="5" s="1"/>
  <c r="EB28" i="5" a="1"/>
  <c r="EB28" i="5" s="1"/>
  <c r="EB20" i="5" a="1"/>
  <c r="EB20" i="5" s="1"/>
  <c r="DH6" i="5"/>
  <c r="CW2" i="5"/>
  <c r="EB6" i="5" a="1"/>
  <c r="EB6" i="5" s="1"/>
  <c r="CW3" i="5"/>
  <c r="DH45" i="5"/>
  <c r="EB45" i="5" a="1"/>
  <c r="EB45" i="5" s="1"/>
  <c r="S46" i="8"/>
  <c r="AU46" i="8" s="1"/>
  <c r="S32" i="8"/>
  <c r="AU32" i="8" s="1"/>
  <c r="S22" i="8"/>
  <c r="AU22" i="8" s="1"/>
  <c r="S45" i="8"/>
  <c r="AU45" i="8" s="1"/>
  <c r="S14" i="8"/>
  <c r="AU14" i="8" s="1"/>
  <c r="S54" i="8"/>
  <c r="AU54" i="8" s="1"/>
  <c r="S61" i="8"/>
  <c r="AU61" i="8" s="1"/>
  <c r="S57" i="8"/>
  <c r="AU57" i="8" s="1"/>
  <c r="S27" i="8"/>
  <c r="AU27" i="8" s="1"/>
  <c r="S106" i="8"/>
  <c r="AU106" i="8" s="1"/>
  <c r="S37" i="8"/>
  <c r="AU37" i="8" s="1"/>
  <c r="S88" i="8"/>
  <c r="AU88" i="8" s="1"/>
  <c r="S21" i="8"/>
  <c r="AU21" i="8" s="1"/>
  <c r="S34" i="8"/>
  <c r="AU34" i="8" s="1"/>
  <c r="S26" i="8"/>
  <c r="AU26" i="8" s="1"/>
  <c r="S40" i="8"/>
  <c r="AU40" i="8" s="1"/>
  <c r="S11" i="8"/>
  <c r="AU11" i="8" s="1"/>
  <c r="S89" i="8"/>
  <c r="AU89" i="8" s="1"/>
  <c r="S16" i="8"/>
  <c r="AU16" i="8" s="1"/>
  <c r="S108" i="8"/>
  <c r="AU108" i="8" s="1"/>
  <c r="S62" i="8"/>
  <c r="AU62" i="8" s="1"/>
  <c r="S97" i="8"/>
  <c r="AU97" i="8" s="1"/>
  <c r="S39" i="8"/>
  <c r="AU39" i="8" s="1"/>
  <c r="S66" i="8"/>
  <c r="AU66" i="8" s="1"/>
  <c r="S102" i="8"/>
  <c r="AU102" i="8" s="1"/>
  <c r="S10" i="8"/>
  <c r="AU10" i="8" s="1"/>
  <c r="S24" i="8"/>
  <c r="AU24" i="8" s="1"/>
  <c r="S80" i="8"/>
  <c r="AU80" i="8" s="1"/>
  <c r="S42" i="8"/>
  <c r="AU42" i="8" s="1"/>
  <c r="S51" i="8"/>
  <c r="AU51" i="8" s="1"/>
  <c r="S84" i="8"/>
  <c r="AU84" i="8" s="1"/>
  <c r="S70" i="8"/>
  <c r="AU70" i="8" s="1"/>
  <c r="S25" i="8"/>
  <c r="AU25" i="8" s="1"/>
  <c r="S104" i="8"/>
  <c r="AU104" i="8" s="1"/>
  <c r="S15" i="8"/>
  <c r="AU15" i="8" s="1"/>
  <c r="S65" i="8"/>
  <c r="AU65" i="8" s="1"/>
  <c r="S68" i="8"/>
  <c r="AU68" i="8" s="1"/>
  <c r="S58" i="8"/>
  <c r="AU58" i="8" s="1"/>
  <c r="S82" i="8"/>
  <c r="AU82" i="8" s="1"/>
  <c r="S12" i="8"/>
  <c r="AU12" i="8" s="1"/>
  <c r="S90" i="8"/>
  <c r="AU90" i="8" s="1"/>
  <c r="S35" i="8"/>
  <c r="AU35" i="8" s="1"/>
  <c r="S64" i="8"/>
  <c r="AU64" i="8" s="1"/>
  <c r="S28" i="8"/>
  <c r="AU28" i="8" s="1"/>
  <c r="S13" i="8"/>
  <c r="AU13" i="8" s="1"/>
  <c r="S53" i="8"/>
  <c r="AU53" i="8" s="1"/>
  <c r="S77" i="8"/>
  <c r="AU77" i="8" s="1"/>
  <c r="S110" i="8"/>
  <c r="AU110" i="8" s="1"/>
  <c r="S43" i="8"/>
  <c r="AU43" i="8" s="1"/>
  <c r="S75" i="8"/>
  <c r="AU75" i="8" s="1"/>
  <c r="S72" i="8"/>
  <c r="AU72" i="8" s="1"/>
  <c r="S78" i="8"/>
  <c r="AU78" i="8" s="1"/>
  <c r="S31" i="8"/>
  <c r="AU31" i="8" s="1"/>
  <c r="S59" i="8"/>
  <c r="AU59" i="8" s="1"/>
  <c r="S99" i="8"/>
  <c r="AU99" i="8" s="1"/>
  <c r="S71" i="8"/>
  <c r="AU71" i="8" s="1"/>
  <c r="S85" i="8"/>
  <c r="AU85" i="8" s="1"/>
  <c r="S36" i="8"/>
  <c r="AU36" i="8" s="1"/>
  <c r="S41" i="8"/>
  <c r="AU41" i="8" s="1"/>
  <c r="S30" i="8"/>
  <c r="AU30" i="8" s="1"/>
  <c r="S69" i="8"/>
  <c r="AU69" i="8" s="1"/>
  <c r="S17" i="8"/>
  <c r="AU17" i="8" s="1"/>
  <c r="S83" i="8"/>
  <c r="AU83" i="8" s="1"/>
  <c r="S109" i="8"/>
  <c r="AU109" i="8" s="1"/>
  <c r="S52" i="8"/>
  <c r="AU52" i="8" s="1"/>
  <c r="S86" i="8"/>
  <c r="AU86" i="8" s="1"/>
  <c r="S79" i="8"/>
  <c r="AU79" i="8" s="1"/>
  <c r="S91" i="8"/>
  <c r="AU91" i="8" s="1"/>
  <c r="S19" i="8"/>
  <c r="AU19" i="8" s="1"/>
  <c r="S18" i="8"/>
  <c r="AU18" i="8" s="1"/>
  <c r="S93" i="8"/>
  <c r="AU93" i="8" s="1"/>
  <c r="S63" i="8"/>
  <c r="AU63" i="8" s="1"/>
  <c r="S101" i="8"/>
  <c r="AU101" i="8" s="1"/>
  <c r="S38" i="8"/>
  <c r="AU38" i="8" s="1"/>
  <c r="S50" i="8"/>
  <c r="AU50" i="8" s="1"/>
  <c r="S60" i="8"/>
  <c r="AU60" i="8" s="1"/>
  <c r="S81" i="8"/>
  <c r="AU81" i="8" s="1"/>
  <c r="S67" i="8"/>
  <c r="AU67" i="8" s="1"/>
  <c r="S74" i="8"/>
  <c r="AU74" i="8" s="1"/>
  <c r="S20" i="8"/>
  <c r="AU20" i="8" s="1"/>
  <c r="S94" i="8"/>
  <c r="AU94" i="8" s="1"/>
  <c r="S105" i="8"/>
  <c r="AU105" i="8" s="1"/>
  <c r="S103" i="8"/>
  <c r="AU103" i="8" s="1"/>
  <c r="S44" i="8"/>
  <c r="AU44" i="8" s="1"/>
  <c r="S49" i="8"/>
  <c r="AU49" i="8" s="1"/>
  <c r="S33" i="8"/>
  <c r="AU33" i="8" s="1"/>
  <c r="S23" i="8"/>
  <c r="AU23" i="8" s="1"/>
  <c r="S96" i="8"/>
  <c r="AU96" i="8" s="1"/>
  <c r="S29" i="8"/>
  <c r="AU29" i="8" s="1"/>
  <c r="S55" i="8"/>
  <c r="AU55" i="8" s="1"/>
  <c r="S95" i="8"/>
  <c r="AU95" i="8" s="1"/>
  <c r="S98" i="8"/>
  <c r="AU98" i="8" s="1"/>
  <c r="S87" i="8"/>
  <c r="AU87" i="8" s="1"/>
  <c r="S100" i="8"/>
  <c r="AU100" i="8" s="1"/>
  <c r="S92" i="8"/>
  <c r="AU92" i="8" s="1"/>
  <c r="S48" i="8"/>
  <c r="AU48" i="8" s="1"/>
  <c r="S73" i="8"/>
  <c r="AU73" i="8" s="1"/>
  <c r="S56" i="8"/>
  <c r="AU56" i="8" s="1"/>
  <c r="S107" i="8"/>
  <c r="AU107" i="8" s="1"/>
  <c r="S47" i="8"/>
  <c r="AU47" i="8" s="1"/>
  <c r="S76" i="8"/>
  <c r="AU76" i="8" s="1"/>
  <c r="EB33" i="5" a="1"/>
  <c r="EB33" i="5" s="1"/>
  <c r="EB29" i="5" a="1"/>
  <c r="EB29" i="5" s="1"/>
  <c r="DH25" i="5"/>
  <c r="EB25" i="5" a="1"/>
  <c r="EB25" i="5" s="1"/>
  <c r="EB13" i="5" a="1"/>
  <c r="EB13" i="5" s="1"/>
  <c r="EB9" i="5" a="1"/>
  <c r="EB9" i="5" s="1"/>
  <c r="DH38" i="5"/>
  <c r="DR15" i="5" s="1"/>
  <c r="EB38" i="5" a="1"/>
  <c r="EB38" i="5" s="1"/>
  <c r="EB30" i="5" a="1"/>
  <c r="EB30" i="5" s="1"/>
  <c r="EB22" i="5" a="1"/>
  <c r="EB22" i="5" s="1"/>
  <c r="EB16" i="5" a="1"/>
  <c r="EB16" i="5" s="1"/>
  <c r="EB8" i="5" a="1"/>
  <c r="EB8" i="5" s="1"/>
  <c r="EB31" i="5" a="1"/>
  <c r="EB31" i="5" s="1"/>
  <c r="DH27" i="5"/>
  <c r="EB27" i="5" a="1"/>
  <c r="EB27" i="5" s="1"/>
  <c r="EB23" i="5" a="1"/>
  <c r="EB23" i="5" s="1"/>
  <c r="DH8" i="5"/>
  <c r="DR12" i="5" s="1"/>
  <c r="DH11" i="5"/>
  <c r="DH29" i="5"/>
  <c r="DH13" i="5"/>
  <c r="DH34" i="5"/>
  <c r="DH22" i="5"/>
  <c r="DH14" i="5"/>
  <c r="DD34" i="5" l="1"/>
  <c r="AM51" i="6"/>
  <c r="AD51" i="6"/>
  <c r="DD12" i="5"/>
  <c r="DD20" i="5"/>
  <c r="DD39" i="5"/>
  <c r="E41" i="7"/>
  <c r="DG3" i="5"/>
  <c r="DQ7" i="5" s="1"/>
  <c r="DG2" i="5"/>
  <c r="DQ3" i="5" s="1"/>
  <c r="E33" i="7"/>
  <c r="E69" i="7" s="1"/>
  <c r="N69" i="7" s="1"/>
  <c r="DD13" i="5"/>
  <c r="V52" i="15" a="1"/>
  <c r="V52" i="15" s="1"/>
  <c r="AD52" i="15" s="1"/>
  <c r="AL52" i="15" s="1"/>
  <c r="G103" i="8"/>
  <c r="AI103" i="8" s="1"/>
  <c r="N102" i="8"/>
  <c r="AP102" i="8" s="1"/>
  <c r="EG11" i="5"/>
  <c r="F28" i="7"/>
  <c r="F62" i="7"/>
  <c r="E28" i="7"/>
  <c r="E62" i="7"/>
  <c r="D28" i="7"/>
  <c r="D62" i="7"/>
  <c r="G53" i="8"/>
  <c r="AI53" i="8" s="1"/>
  <c r="N77" i="8"/>
  <c r="AP77" i="8" s="1"/>
  <c r="G98" i="8"/>
  <c r="AI98" i="8" s="1"/>
  <c r="G39" i="8"/>
  <c r="AI39" i="8" s="1"/>
  <c r="N72" i="8"/>
  <c r="AP72" i="8" s="1"/>
  <c r="N63" i="8"/>
  <c r="AP63" i="8" s="1"/>
  <c r="G51" i="8"/>
  <c r="AI51" i="8" s="1"/>
  <c r="G80" i="8"/>
  <c r="AI80" i="8" s="1"/>
  <c r="G67" i="8"/>
  <c r="AI67" i="8" s="1"/>
  <c r="N49" i="8"/>
  <c r="AP49" i="8" s="1"/>
  <c r="N103" i="8"/>
  <c r="AP103" i="8" s="1"/>
  <c r="N96" i="8"/>
  <c r="AP96" i="8" s="1"/>
  <c r="G68" i="8"/>
  <c r="AI68" i="8" s="1"/>
  <c r="G61" i="8"/>
  <c r="AI61" i="8" s="1"/>
  <c r="G107" i="8"/>
  <c r="AI107" i="8" s="1"/>
  <c r="G69" i="8"/>
  <c r="AI69" i="8" s="1"/>
  <c r="G83" i="8"/>
  <c r="AI83" i="8" s="1"/>
  <c r="G60" i="8"/>
  <c r="AI60" i="8" s="1"/>
  <c r="N51" i="8"/>
  <c r="AP51" i="8" s="1"/>
  <c r="N110" i="8"/>
  <c r="AP110" i="8" s="1"/>
  <c r="N73" i="8"/>
  <c r="AP73" i="8" s="1"/>
  <c r="N57" i="8"/>
  <c r="AP57" i="8" s="1"/>
  <c r="N75" i="8"/>
  <c r="AP75" i="8" s="1"/>
  <c r="N21" i="8"/>
  <c r="AP21" i="8" s="1"/>
  <c r="EG28" i="5"/>
  <c r="EG27" i="5"/>
  <c r="EG12" i="5"/>
  <c r="EG19" i="5"/>
  <c r="EG20" i="5"/>
  <c r="EG16" i="5"/>
  <c r="EG15" i="5"/>
  <c r="EG31" i="5"/>
  <c r="EG23" i="5"/>
  <c r="EG7" i="5"/>
  <c r="EG24" i="5"/>
  <c r="EG17" i="5"/>
  <c r="EG21" i="5"/>
  <c r="EG18" i="5"/>
  <c r="EG29" i="5"/>
  <c r="EG22" i="5"/>
  <c r="EG9" i="5"/>
  <c r="EG26" i="5"/>
  <c r="EG13" i="5"/>
  <c r="EG25" i="5"/>
  <c r="EG8" i="5"/>
  <c r="EI31" i="5" a="1"/>
  <c r="EI31" i="5" s="1"/>
  <c r="EF31" i="5"/>
  <c r="EH31" i="5" a="1"/>
  <c r="EH31" i="5" s="1"/>
  <c r="EJ31" i="5" a="1"/>
  <c r="EJ31" i="5" s="1"/>
  <c r="EG30" i="5"/>
  <c r="EG6" i="5"/>
  <c r="EG14" i="5"/>
  <c r="EG10" i="5"/>
  <c r="EK31" i="5" a="1"/>
  <c r="EK31" i="5" s="1"/>
  <c r="G57" i="8"/>
  <c r="AI57" i="8" s="1"/>
  <c r="G84" i="8"/>
  <c r="AI84" i="8" s="1"/>
  <c r="G43" i="8"/>
  <c r="AI43" i="8" s="1"/>
  <c r="G11" i="8"/>
  <c r="AI11" i="8" s="1"/>
  <c r="G65" i="8"/>
  <c r="AI65" i="8" s="1"/>
  <c r="G22" i="8"/>
  <c r="AI22" i="8" s="1"/>
  <c r="G91" i="8"/>
  <c r="AI91" i="8" s="1"/>
  <c r="G28" i="8"/>
  <c r="AI28" i="8" s="1"/>
  <c r="G18" i="8"/>
  <c r="AI18" i="8" s="1"/>
  <c r="G78" i="8"/>
  <c r="AI78" i="8" s="1"/>
  <c r="G79" i="8"/>
  <c r="AI79" i="8" s="1"/>
  <c r="G44" i="8"/>
  <c r="AI44" i="8" s="1"/>
  <c r="G85" i="8"/>
  <c r="AI85" i="8" s="1"/>
  <c r="N87" i="8"/>
  <c r="AP87" i="8" s="1"/>
  <c r="N98" i="8"/>
  <c r="AP98" i="8" s="1"/>
  <c r="N93" i="8"/>
  <c r="AP93" i="8" s="1"/>
  <c r="N28" i="8"/>
  <c r="AP28" i="8" s="1"/>
  <c r="N68" i="8"/>
  <c r="AP68" i="8" s="1"/>
  <c r="N76" i="8"/>
  <c r="AP76" i="8" s="1"/>
  <c r="N13" i="8"/>
  <c r="AP13" i="8" s="1"/>
  <c r="N16" i="8"/>
  <c r="AP16" i="8" s="1"/>
  <c r="N95" i="8"/>
  <c r="AP95" i="8" s="1"/>
  <c r="N37" i="8"/>
  <c r="AP37" i="8" s="1"/>
  <c r="N46" i="8"/>
  <c r="AP46" i="8" s="1"/>
  <c r="N32" i="8"/>
  <c r="AP32" i="8" s="1"/>
  <c r="N62" i="8"/>
  <c r="AP62" i="8" s="1"/>
  <c r="G54" i="8"/>
  <c r="AI54" i="8" s="1"/>
  <c r="G14" i="8"/>
  <c r="AI14" i="8" s="1"/>
  <c r="G30" i="8"/>
  <c r="AI30" i="8" s="1"/>
  <c r="G90" i="8"/>
  <c r="AI90" i="8" s="1"/>
  <c r="G70" i="8"/>
  <c r="AI70" i="8" s="1"/>
  <c r="G59" i="8"/>
  <c r="AI59" i="8" s="1"/>
  <c r="G86" i="8"/>
  <c r="AI86" i="8" s="1"/>
  <c r="G109" i="8"/>
  <c r="AI109" i="8" s="1"/>
  <c r="G27" i="8"/>
  <c r="AI27" i="8" s="1"/>
  <c r="G32" i="8"/>
  <c r="AI32" i="8" s="1"/>
  <c r="G15" i="8"/>
  <c r="AI15" i="8" s="1"/>
  <c r="G63" i="8"/>
  <c r="AI63" i="8" s="1"/>
  <c r="G105" i="8"/>
  <c r="AI105" i="8" s="1"/>
  <c r="G58" i="8"/>
  <c r="AI58" i="8" s="1"/>
  <c r="G29" i="8"/>
  <c r="AI29" i="8" s="1"/>
  <c r="G82" i="8"/>
  <c r="AI82" i="8" s="1"/>
  <c r="G110" i="8"/>
  <c r="AI110" i="8" s="1"/>
  <c r="G72" i="8"/>
  <c r="AI72" i="8" s="1"/>
  <c r="G33" i="8"/>
  <c r="AI33" i="8" s="1"/>
  <c r="G23" i="8"/>
  <c r="AI23" i="8" s="1"/>
  <c r="G102" i="8"/>
  <c r="AI102" i="8" s="1"/>
  <c r="G87" i="8"/>
  <c r="AI87" i="8" s="1"/>
  <c r="G100" i="8"/>
  <c r="AI100" i="8" s="1"/>
  <c r="G108" i="8"/>
  <c r="AI108" i="8" s="1"/>
  <c r="G36" i="8"/>
  <c r="AI36" i="8" s="1"/>
  <c r="N54" i="8"/>
  <c r="AP54" i="8" s="1"/>
  <c r="N94" i="8"/>
  <c r="AP94" i="8" s="1"/>
  <c r="N42" i="8"/>
  <c r="AP42" i="8" s="1"/>
  <c r="N30" i="8"/>
  <c r="AP30" i="8" s="1"/>
  <c r="N71" i="8"/>
  <c r="AP71" i="8" s="1"/>
  <c r="N17" i="8"/>
  <c r="AP17" i="8" s="1"/>
  <c r="N15" i="8"/>
  <c r="AP15" i="8" s="1"/>
  <c r="N38" i="8"/>
  <c r="AP38" i="8" s="1"/>
  <c r="N39" i="8"/>
  <c r="AP39" i="8" s="1"/>
  <c r="N43" i="8"/>
  <c r="AP43" i="8" s="1"/>
  <c r="N61" i="8"/>
  <c r="AP61" i="8" s="1"/>
  <c r="N67" i="8"/>
  <c r="AP67" i="8" s="1"/>
  <c r="N91" i="8"/>
  <c r="AP91" i="8" s="1"/>
  <c r="N36" i="8"/>
  <c r="AP36" i="8" s="1"/>
  <c r="N88" i="8"/>
  <c r="AP88" i="8" s="1"/>
  <c r="N18" i="8"/>
  <c r="AP18" i="8" s="1"/>
  <c r="N66" i="8"/>
  <c r="AP66" i="8" s="1"/>
  <c r="N44" i="8"/>
  <c r="AP44" i="8" s="1"/>
  <c r="N89" i="8"/>
  <c r="AP89" i="8" s="1"/>
  <c r="N64" i="8"/>
  <c r="AP64" i="8" s="1"/>
  <c r="N22" i="8"/>
  <c r="AP22" i="8" s="1"/>
  <c r="N100" i="8"/>
  <c r="AP100" i="8" s="1"/>
  <c r="N74" i="8"/>
  <c r="AP74" i="8" s="1"/>
  <c r="N23" i="8"/>
  <c r="AP23" i="8" s="1"/>
  <c r="N24" i="8"/>
  <c r="AP24" i="8" s="1"/>
  <c r="AC32" i="5"/>
  <c r="AD31" i="5"/>
  <c r="AE31" i="5"/>
  <c r="G21" i="8"/>
  <c r="AI21" i="8" s="1"/>
  <c r="G49" i="8"/>
  <c r="AI49" i="8" s="1"/>
  <c r="G12" i="8"/>
  <c r="AI12" i="8" s="1"/>
  <c r="G48" i="8"/>
  <c r="AI48" i="8" s="1"/>
  <c r="G17" i="8"/>
  <c r="AI17" i="8" s="1"/>
  <c r="G75" i="8"/>
  <c r="AI75" i="8" s="1"/>
  <c r="G96" i="8"/>
  <c r="AI96" i="8" s="1"/>
  <c r="G50" i="8"/>
  <c r="AI50" i="8" s="1"/>
  <c r="G10" i="8"/>
  <c r="AI10" i="8" s="1"/>
  <c r="G31" i="8"/>
  <c r="AI31" i="8" s="1"/>
  <c r="G92" i="8"/>
  <c r="AI92" i="8" s="1"/>
  <c r="G101" i="8"/>
  <c r="AI101" i="8" s="1"/>
  <c r="G45" i="8"/>
  <c r="AI45" i="8" s="1"/>
  <c r="G34" i="8"/>
  <c r="AI34" i="8" s="1"/>
  <c r="G94" i="8"/>
  <c r="AI94" i="8" s="1"/>
  <c r="G55" i="8"/>
  <c r="AI55" i="8" s="1"/>
  <c r="G73" i="8"/>
  <c r="AI73" i="8" s="1"/>
  <c r="G66" i="8"/>
  <c r="AI66" i="8" s="1"/>
  <c r="G42" i="8"/>
  <c r="AI42" i="8" s="1"/>
  <c r="G106" i="8"/>
  <c r="AI106" i="8" s="1"/>
  <c r="G26" i="8"/>
  <c r="AI26" i="8" s="1"/>
  <c r="G71" i="8"/>
  <c r="AI71" i="8" s="1"/>
  <c r="G24" i="8"/>
  <c r="AI24" i="8" s="1"/>
  <c r="G104" i="8"/>
  <c r="AI104" i="8" s="1"/>
  <c r="G16" i="8"/>
  <c r="AI16" i="8" s="1"/>
  <c r="G38" i="8"/>
  <c r="AI38" i="8" s="1"/>
  <c r="G52" i="8"/>
  <c r="AI52" i="8" s="1"/>
  <c r="G76" i="8"/>
  <c r="AI76" i="8" s="1"/>
  <c r="G13" i="8"/>
  <c r="AI13" i="8" s="1"/>
  <c r="G56" i="8"/>
  <c r="AI56" i="8" s="1"/>
  <c r="G81" i="8"/>
  <c r="AI81" i="8" s="1"/>
  <c r="G41" i="8"/>
  <c r="AI41" i="8" s="1"/>
  <c r="G95" i="8"/>
  <c r="AI95" i="8" s="1"/>
  <c r="G99" i="8"/>
  <c r="AI99" i="8" s="1"/>
  <c r="G46" i="8"/>
  <c r="AI46" i="8" s="1"/>
  <c r="G77" i="8"/>
  <c r="AI77" i="8" s="1"/>
  <c r="G20" i="8"/>
  <c r="AI20" i="8" s="1"/>
  <c r="G40" i="8"/>
  <c r="AI40" i="8" s="1"/>
  <c r="G37" i="8"/>
  <c r="AI37" i="8" s="1"/>
  <c r="G88" i="8"/>
  <c r="AI88" i="8" s="1"/>
  <c r="G74" i="8"/>
  <c r="AI74" i="8" s="1"/>
  <c r="G64" i="8"/>
  <c r="AI64" i="8" s="1"/>
  <c r="G47" i="8"/>
  <c r="AI47" i="8" s="1"/>
  <c r="G35" i="8"/>
  <c r="AI35" i="8" s="1"/>
  <c r="G89" i="8"/>
  <c r="AI89" i="8" s="1"/>
  <c r="G62" i="8"/>
  <c r="AI62" i="8" s="1"/>
  <c r="G97" i="8"/>
  <c r="AI97" i="8" s="1"/>
  <c r="G25" i="8"/>
  <c r="AI25" i="8" s="1"/>
  <c r="G93" i="8"/>
  <c r="AI93" i="8" s="1"/>
  <c r="N106" i="8"/>
  <c r="AP106" i="8" s="1"/>
  <c r="N19" i="8"/>
  <c r="AP19" i="8" s="1"/>
  <c r="N20" i="8"/>
  <c r="AP20" i="8" s="1"/>
  <c r="N35" i="8"/>
  <c r="AP35" i="8" s="1"/>
  <c r="N104" i="8"/>
  <c r="AP104" i="8" s="1"/>
  <c r="N40" i="8"/>
  <c r="AP40" i="8" s="1"/>
  <c r="N48" i="8"/>
  <c r="AP48" i="8" s="1"/>
  <c r="N101" i="8"/>
  <c r="AP101" i="8" s="1"/>
  <c r="N105" i="8"/>
  <c r="AP105" i="8" s="1"/>
  <c r="N10" i="8"/>
  <c r="AP10" i="8" s="1"/>
  <c r="BC10" i="8" s="1"/>
  <c r="N56" i="8"/>
  <c r="AP56" i="8" s="1"/>
  <c r="N53" i="8"/>
  <c r="AP53" i="8" s="1"/>
  <c r="N109" i="8"/>
  <c r="AP109" i="8" s="1"/>
  <c r="N33" i="8"/>
  <c r="AP33" i="8" s="1"/>
  <c r="N108" i="8"/>
  <c r="AP108" i="8" s="1"/>
  <c r="N27" i="8"/>
  <c r="AP27" i="8" s="1"/>
  <c r="N41" i="8"/>
  <c r="AP41" i="8" s="1"/>
  <c r="N59" i="8"/>
  <c r="AP59" i="8" s="1"/>
  <c r="N78" i="8"/>
  <c r="AP78" i="8" s="1"/>
  <c r="N70" i="8"/>
  <c r="AP70" i="8" s="1"/>
  <c r="N14" i="8"/>
  <c r="AP14" i="8" s="1"/>
  <c r="N85" i="8"/>
  <c r="AP85" i="8" s="1"/>
  <c r="N86" i="8"/>
  <c r="AP86" i="8" s="1"/>
  <c r="N83" i="8"/>
  <c r="AP83" i="8" s="1"/>
  <c r="N81" i="8"/>
  <c r="AP81" i="8" s="1"/>
  <c r="N45" i="8"/>
  <c r="AP45" i="8" s="1"/>
  <c r="N84" i="8"/>
  <c r="AP84" i="8" s="1"/>
  <c r="N82" i="8"/>
  <c r="AP82" i="8" s="1"/>
  <c r="N60" i="8"/>
  <c r="AP60" i="8" s="1"/>
  <c r="N58" i="8"/>
  <c r="AP58" i="8" s="1"/>
  <c r="N29" i="8"/>
  <c r="AP29" i="8" s="1"/>
  <c r="N55" i="8"/>
  <c r="AP55" i="8" s="1"/>
  <c r="N47" i="8"/>
  <c r="AP47" i="8" s="1"/>
  <c r="N69" i="8"/>
  <c r="AP69" i="8" s="1"/>
  <c r="N12" i="8"/>
  <c r="AP12" i="8" s="1"/>
  <c r="N90" i="8"/>
  <c r="AP90" i="8" s="1"/>
  <c r="N99" i="8"/>
  <c r="AP99" i="8" s="1"/>
  <c r="N52" i="8"/>
  <c r="AP52" i="8" s="1"/>
  <c r="N11" i="8"/>
  <c r="AP11" i="8" s="1"/>
  <c r="N92" i="8"/>
  <c r="AP92" i="8" s="1"/>
  <c r="N50" i="8"/>
  <c r="AP50" i="8" s="1"/>
  <c r="N80" i="8"/>
  <c r="AP80" i="8" s="1"/>
  <c r="N79" i="8"/>
  <c r="AP79" i="8" s="1"/>
  <c r="N34" i="8"/>
  <c r="AP34" i="8" s="1"/>
  <c r="N25" i="8"/>
  <c r="AP25" i="8" s="1"/>
  <c r="N97" i="8"/>
  <c r="AP97" i="8" s="1"/>
  <c r="N26" i="8"/>
  <c r="AP26" i="8" s="1"/>
  <c r="N65" i="8"/>
  <c r="AP65" i="8" s="1"/>
  <c r="N107" i="8"/>
  <c r="AP107" i="8" s="1"/>
  <c r="AA6" i="8"/>
  <c r="DD40" i="5"/>
  <c r="F42" i="7"/>
  <c r="F34" i="7"/>
  <c r="F70" i="7" s="1"/>
  <c r="O70" i="7" s="1"/>
  <c r="D41" i="7"/>
  <c r="D33" i="7"/>
  <c r="D69" i="7" s="1"/>
  <c r="M69" i="7" s="1"/>
  <c r="C43" i="7"/>
  <c r="C35" i="7"/>
  <c r="C71" i="7" s="1"/>
  <c r="L71" i="7" s="1"/>
  <c r="F41" i="7"/>
  <c r="F33" i="7"/>
  <c r="F69" i="7" s="1"/>
  <c r="O69" i="7" s="1"/>
  <c r="F43" i="7"/>
  <c r="F35" i="7"/>
  <c r="F71" i="7" s="1"/>
  <c r="O71" i="7" s="1"/>
  <c r="DE3" i="5"/>
  <c r="DO7" i="5" s="1"/>
  <c r="DF3" i="5"/>
  <c r="DP7" i="5" s="1"/>
  <c r="AN50" i="6"/>
  <c r="Z82" i="8"/>
  <c r="AL51" i="6"/>
  <c r="DX44" i="5"/>
  <c r="DD31" i="5"/>
  <c r="DD7" i="5"/>
  <c r="DD15" i="5"/>
  <c r="X69" i="8"/>
  <c r="AK60" i="8"/>
  <c r="BB60" i="8" s="1"/>
  <c r="AK69" i="8"/>
  <c r="BB69" i="8" s="1"/>
  <c r="AK66" i="8"/>
  <c r="AZ66" i="8" s="1"/>
  <c r="Z72" i="8"/>
  <c r="X67" i="8"/>
  <c r="Y69" i="8"/>
  <c r="X92" i="8"/>
  <c r="Y18" i="8"/>
  <c r="Y50" i="8"/>
  <c r="X49" i="8"/>
  <c r="Z80" i="8"/>
  <c r="DD45" i="5"/>
  <c r="AK14" i="8"/>
  <c r="BB14" i="8" s="1"/>
  <c r="AS51" i="15"/>
  <c r="Z11" i="8"/>
  <c r="Y29" i="8"/>
  <c r="Y48" i="8"/>
  <c r="AK41" i="8"/>
  <c r="AZ41" i="8" s="1"/>
  <c r="X51" i="8"/>
  <c r="AK24" i="8"/>
  <c r="BB24" i="8" s="1"/>
  <c r="Y23" i="8"/>
  <c r="AK28" i="8"/>
  <c r="AZ28" i="8" s="1"/>
  <c r="Z50" i="8"/>
  <c r="AK91" i="8"/>
  <c r="BB91" i="8" s="1"/>
  <c r="AK42" i="8"/>
  <c r="BB42" i="8" s="1"/>
  <c r="Z45" i="8"/>
  <c r="X24" i="8"/>
  <c r="X68" i="8"/>
  <c r="Z107" i="8"/>
  <c r="X66" i="8"/>
  <c r="Z28" i="8"/>
  <c r="Y105" i="8"/>
  <c r="X81" i="8"/>
  <c r="Y103" i="8"/>
  <c r="Y60" i="8"/>
  <c r="Y77" i="8"/>
  <c r="AK50" i="8"/>
  <c r="AZ50" i="8" s="1"/>
  <c r="Z49" i="8"/>
  <c r="Z19" i="8"/>
  <c r="X33" i="8"/>
  <c r="Z110" i="8"/>
  <c r="Y89" i="8"/>
  <c r="Z15" i="8"/>
  <c r="Y65" i="8"/>
  <c r="Y56" i="8"/>
  <c r="X37" i="8"/>
  <c r="X35" i="8"/>
  <c r="X11" i="8"/>
  <c r="Z17" i="8"/>
  <c r="Z27" i="8"/>
  <c r="Y75" i="8"/>
  <c r="Y42" i="8"/>
  <c r="Z31" i="8"/>
  <c r="X15" i="8"/>
  <c r="Z98" i="8"/>
  <c r="Z73" i="8"/>
  <c r="Y20" i="8"/>
  <c r="AK37" i="8"/>
  <c r="AZ37" i="8" s="1"/>
  <c r="Z10" i="8"/>
  <c r="Y11" i="8"/>
  <c r="Y83" i="8"/>
  <c r="AK27" i="8"/>
  <c r="AZ27" i="8" s="1"/>
  <c r="X57" i="8"/>
  <c r="AK48" i="8"/>
  <c r="AZ48" i="8" s="1"/>
  <c r="X99" i="8"/>
  <c r="Z24" i="8"/>
  <c r="AK87" i="8"/>
  <c r="BA87" i="8" s="1"/>
  <c r="Z68" i="8"/>
  <c r="AK96" i="8"/>
  <c r="AZ96" i="8" s="1"/>
  <c r="Y107" i="8"/>
  <c r="Z66" i="8"/>
  <c r="X44" i="8"/>
  <c r="X28" i="8"/>
  <c r="Y92" i="8"/>
  <c r="Y22" i="8"/>
  <c r="AK103" i="8"/>
  <c r="BB103" i="8" s="1"/>
  <c r="X60" i="8"/>
  <c r="Y36" i="8"/>
  <c r="X18" i="8"/>
  <c r="X84" i="8"/>
  <c r="X82" i="8"/>
  <c r="AK49" i="8"/>
  <c r="AZ49" i="8" s="1"/>
  <c r="Z53" i="8"/>
  <c r="Y74" i="8"/>
  <c r="AK30" i="8"/>
  <c r="BB30" i="8" s="1"/>
  <c r="AK108" i="8"/>
  <c r="BB108" i="8" s="1"/>
  <c r="Z106" i="8"/>
  <c r="AK34" i="8"/>
  <c r="AZ34" i="8" s="1"/>
  <c r="Y71" i="8"/>
  <c r="X75" i="8"/>
  <c r="AK89" i="8"/>
  <c r="BA89" i="8" s="1"/>
  <c r="Z42" i="8"/>
  <c r="Y31" i="8"/>
  <c r="Y15" i="8"/>
  <c r="Y98" i="8"/>
  <c r="X65" i="8"/>
  <c r="Z56" i="8"/>
  <c r="AK73" i="8"/>
  <c r="BA73" i="8" s="1"/>
  <c r="Y45" i="8"/>
  <c r="AK20" i="8"/>
  <c r="AZ20" i="8" s="1"/>
  <c r="Y37" i="8"/>
  <c r="Y10" i="8"/>
  <c r="Z35" i="8"/>
  <c r="Y17" i="8"/>
  <c r="AK83" i="8"/>
  <c r="BB83" i="8" s="1"/>
  <c r="AK29" i="8"/>
  <c r="AZ29" i="8" s="1"/>
  <c r="X27" i="8"/>
  <c r="AK57" i="8"/>
  <c r="AZ57" i="8" s="1"/>
  <c r="Z48" i="8"/>
  <c r="Y99" i="8"/>
  <c r="Z41" i="8"/>
  <c r="Z51" i="8"/>
  <c r="AE87" i="8"/>
  <c r="AX87" i="8" s="1"/>
  <c r="DD37" i="5"/>
  <c r="Y87" i="8"/>
  <c r="AK67" i="8"/>
  <c r="AZ67" i="8" s="1"/>
  <c r="Y68" i="8"/>
  <c r="Z23" i="8"/>
  <c r="Y96" i="8"/>
  <c r="AK107" i="8"/>
  <c r="AZ107" i="8" s="1"/>
  <c r="AK44" i="8"/>
  <c r="AZ44" i="8" s="1"/>
  <c r="X105" i="8"/>
  <c r="AK92" i="8"/>
  <c r="BB92" i="8" s="1"/>
  <c r="AK81" i="8"/>
  <c r="AZ81" i="8" s="1"/>
  <c r="X22" i="8"/>
  <c r="X103" i="8"/>
  <c r="AK36" i="8"/>
  <c r="BB36" i="8" s="1"/>
  <c r="AK77" i="8"/>
  <c r="AZ77" i="8" s="1"/>
  <c r="Z18" i="8"/>
  <c r="AK72" i="8"/>
  <c r="BA72" i="8" s="1"/>
  <c r="Y84" i="8"/>
  <c r="AK82" i="8"/>
  <c r="BB82" i="8" s="1"/>
  <c r="Y53" i="8"/>
  <c r="V79" i="8"/>
  <c r="Z32" i="8"/>
  <c r="AK25" i="8"/>
  <c r="AZ25" i="8" s="1"/>
  <c r="Z43" i="8"/>
  <c r="Y54" i="8"/>
  <c r="Z88" i="8"/>
  <c r="X40" i="8"/>
  <c r="AK62" i="8"/>
  <c r="BA62" i="8" s="1"/>
  <c r="Z64" i="8"/>
  <c r="AK46" i="8"/>
  <c r="BA46" i="8" s="1"/>
  <c r="AK93" i="8"/>
  <c r="AZ93" i="8" s="1"/>
  <c r="X95" i="8"/>
  <c r="X47" i="8"/>
  <c r="Y102" i="8"/>
  <c r="DD33" i="5"/>
  <c r="Z75" i="8"/>
  <c r="Z89" i="8"/>
  <c r="X31" i="8"/>
  <c r="X98" i="8"/>
  <c r="Z65" i="8"/>
  <c r="AK56" i="8"/>
  <c r="BB56" i="8" s="1"/>
  <c r="X73" i="8"/>
  <c r="X45" i="8"/>
  <c r="X20" i="8"/>
  <c r="AK10" i="8"/>
  <c r="AZ10" i="8" s="1"/>
  <c r="Y35" i="8"/>
  <c r="X17" i="8"/>
  <c r="Z83" i="8"/>
  <c r="X29" i="8"/>
  <c r="Y57" i="8"/>
  <c r="AK99" i="8"/>
  <c r="BB99" i="8" s="1"/>
  <c r="Y41" i="8"/>
  <c r="Y51" i="8"/>
  <c r="X109" i="8"/>
  <c r="Y97" i="8"/>
  <c r="Z78" i="8"/>
  <c r="AK100" i="8"/>
  <c r="BB100" i="8" s="1"/>
  <c r="X59" i="8"/>
  <c r="AK13" i="8"/>
  <c r="BB13" i="8" s="1"/>
  <c r="X70" i="8"/>
  <c r="Z58" i="8"/>
  <c r="Z16" i="8"/>
  <c r="Z76" i="8"/>
  <c r="AK94" i="8"/>
  <c r="BA94" i="8" s="1"/>
  <c r="Z86" i="8"/>
  <c r="X90" i="8"/>
  <c r="Y104" i="8"/>
  <c r="Y85" i="8"/>
  <c r="Z101" i="8"/>
  <c r="Y26" i="8"/>
  <c r="X79" i="8"/>
  <c r="Z38" i="8"/>
  <c r="AK55" i="8"/>
  <c r="AZ55" i="8" s="1"/>
  <c r="AK39" i="8"/>
  <c r="BB39" i="8" s="1"/>
  <c r="Z61" i="8"/>
  <c r="Z63" i="8"/>
  <c r="Z12" i="8"/>
  <c r="Z52" i="8"/>
  <c r="AE51" i="6"/>
  <c r="AU51" i="6"/>
  <c r="DD29" i="5"/>
  <c r="DD21" i="5"/>
  <c r="DD17" i="5"/>
  <c r="DD23" i="5"/>
  <c r="Z87" i="8"/>
  <c r="Z67" i="8"/>
  <c r="X23" i="8"/>
  <c r="Z96" i="8"/>
  <c r="Z44" i="8"/>
  <c r="AK105" i="8"/>
  <c r="AZ105" i="8" s="1"/>
  <c r="Y81" i="8"/>
  <c r="Z22" i="8"/>
  <c r="X36" i="8"/>
  <c r="X77" i="8"/>
  <c r="X72" i="8"/>
  <c r="AK84" i="8"/>
  <c r="BB84" i="8" s="1"/>
  <c r="AK53" i="8"/>
  <c r="BB53" i="8" s="1"/>
  <c r="AE76" i="8"/>
  <c r="AX76" i="8" s="1"/>
  <c r="AK32" i="8"/>
  <c r="BA32" i="8" s="1"/>
  <c r="X74" i="8"/>
  <c r="Y25" i="8"/>
  <c r="X19" i="8"/>
  <c r="AK43" i="8"/>
  <c r="BA43" i="8" s="1"/>
  <c r="Y30" i="8"/>
  <c r="X54" i="8"/>
  <c r="X14" i="8"/>
  <c r="Y88" i="8"/>
  <c r="Y108" i="8"/>
  <c r="Z40" i="8"/>
  <c r="Y33" i="8"/>
  <c r="Y62" i="8"/>
  <c r="AK106" i="8"/>
  <c r="AZ106" i="8" s="1"/>
  <c r="X64" i="8"/>
  <c r="Y91" i="8"/>
  <c r="Z46" i="8"/>
  <c r="Z34" i="8"/>
  <c r="X93" i="8"/>
  <c r="Y110" i="8"/>
  <c r="AK95" i="8"/>
  <c r="BB95" i="8" s="1"/>
  <c r="X71" i="8"/>
  <c r="AK47" i="8"/>
  <c r="BA47" i="8" s="1"/>
  <c r="AK80" i="8"/>
  <c r="BA80" i="8" s="1"/>
  <c r="Z102" i="8"/>
  <c r="AB51" i="15"/>
  <c r="DD18" i="5"/>
  <c r="DN13" i="5" s="1"/>
  <c r="AE31" i="8"/>
  <c r="AX31" i="8" s="1"/>
  <c r="AE58" i="8"/>
  <c r="AX58" i="8" s="1"/>
  <c r="Y109" i="8"/>
  <c r="X97" i="8"/>
  <c r="AK78" i="8"/>
  <c r="BB78" i="8" s="1"/>
  <c r="X100" i="8"/>
  <c r="AK59" i="8"/>
  <c r="BB59" i="8" s="1"/>
  <c r="Z13" i="8"/>
  <c r="Y70" i="8"/>
  <c r="AK58" i="8"/>
  <c r="BA58" i="8" s="1"/>
  <c r="Y16" i="8"/>
  <c r="X76" i="8"/>
  <c r="X94" i="8"/>
  <c r="X86" i="8"/>
  <c r="AK90" i="8"/>
  <c r="AZ90" i="8" s="1"/>
  <c r="AK104" i="8"/>
  <c r="BB104" i="8" s="1"/>
  <c r="AK85" i="8"/>
  <c r="AZ85" i="8" s="1"/>
  <c r="X101" i="8"/>
  <c r="AK26" i="8"/>
  <c r="BB26" i="8" s="1"/>
  <c r="AK79" i="8"/>
  <c r="BB79" i="8" s="1"/>
  <c r="AK38" i="8"/>
  <c r="BB38" i="8" s="1"/>
  <c r="Y55" i="8"/>
  <c r="X39" i="8"/>
  <c r="Y61" i="8"/>
  <c r="Y63" i="8"/>
  <c r="Y12" i="8"/>
  <c r="Y52" i="8"/>
  <c r="DF2" i="5"/>
  <c r="DP3" i="5" s="1"/>
  <c r="AJ51" i="15"/>
  <c r="W52" i="6" a="1"/>
  <c r="W52" i="6" s="1"/>
  <c r="AV51" i="6"/>
  <c r="V32" i="8"/>
  <c r="V20" i="8"/>
  <c r="AE101" i="8"/>
  <c r="AX101" i="8" s="1"/>
  <c r="Z109" i="8"/>
  <c r="AK97" i="8"/>
  <c r="BA97" i="8" s="1"/>
  <c r="X78" i="8"/>
  <c r="Z100" i="8"/>
  <c r="Z59" i="8"/>
  <c r="X13" i="8"/>
  <c r="AK70" i="8"/>
  <c r="BA70" i="8" s="1"/>
  <c r="X58" i="8"/>
  <c r="AK16" i="8"/>
  <c r="AZ16" i="8" s="1"/>
  <c r="Y76" i="8"/>
  <c r="Y94" i="8"/>
  <c r="Y86" i="8"/>
  <c r="Z90" i="8"/>
  <c r="X104" i="8"/>
  <c r="X85" i="8"/>
  <c r="AK101" i="8"/>
  <c r="BB101" i="8" s="1"/>
  <c r="Z26" i="8"/>
  <c r="Z79" i="8"/>
  <c r="Y38" i="8"/>
  <c r="X55" i="8"/>
  <c r="Z39" i="8"/>
  <c r="X61" i="8"/>
  <c r="AK63" i="8"/>
  <c r="BB63" i="8" s="1"/>
  <c r="X12" i="8"/>
  <c r="AK52" i="8"/>
  <c r="BB52" i="8" s="1"/>
  <c r="U52" i="15" a="1"/>
  <c r="U52" i="15" s="1"/>
  <c r="AT52" i="15" s="1"/>
  <c r="AT51" i="15"/>
  <c r="AC51" i="15"/>
  <c r="AE68" i="8"/>
  <c r="AX68" i="8" s="1"/>
  <c r="AE89" i="8"/>
  <c r="AX89" i="8" s="1"/>
  <c r="X32" i="8"/>
  <c r="AK74" i="8"/>
  <c r="BB74" i="8" s="1"/>
  <c r="Z25" i="8"/>
  <c r="Y19" i="8"/>
  <c r="Y43" i="8"/>
  <c r="X30" i="8"/>
  <c r="AK54" i="8"/>
  <c r="BB54" i="8" s="1"/>
  <c r="Y14" i="8"/>
  <c r="X88" i="8"/>
  <c r="X108" i="8"/>
  <c r="Y40" i="8"/>
  <c r="Z33" i="8"/>
  <c r="Z62" i="8"/>
  <c r="Y106" i="8"/>
  <c r="Y64" i="8"/>
  <c r="Z91" i="8"/>
  <c r="X46" i="8"/>
  <c r="Y34" i="8"/>
  <c r="Y93" i="8"/>
  <c r="X110" i="8"/>
  <c r="Y95" i="8"/>
  <c r="Z71" i="8"/>
  <c r="Y47" i="8"/>
  <c r="Y80" i="8"/>
  <c r="AK102" i="8"/>
  <c r="BA102" i="8" s="1"/>
  <c r="DE2" i="5"/>
  <c r="DO3" i="5" s="1"/>
  <c r="AE86" i="8"/>
  <c r="AX86" i="8" s="1"/>
  <c r="DX6" i="5"/>
  <c r="DX23" i="5"/>
  <c r="CN3" i="5"/>
  <c r="CN2" i="5"/>
  <c r="DD8" i="5"/>
  <c r="DN12" i="5" s="1"/>
  <c r="DD36" i="5"/>
  <c r="DX10" i="5"/>
  <c r="DX26" i="5"/>
  <c r="DD24" i="5"/>
  <c r="F6" i="8"/>
  <c r="DD41" i="5"/>
  <c r="Q39" i="8"/>
  <c r="AS39" i="8" s="1"/>
  <c r="Q71" i="8"/>
  <c r="AS71" i="8" s="1"/>
  <c r="Q101" i="8"/>
  <c r="AS101" i="8" s="1"/>
  <c r="Q107" i="8"/>
  <c r="AS107" i="8" s="1"/>
  <c r="Q77" i="8"/>
  <c r="AS77" i="8" s="1"/>
  <c r="Q27" i="8"/>
  <c r="AS27" i="8" s="1"/>
  <c r="Q42" i="8"/>
  <c r="AS42" i="8" s="1"/>
  <c r="Q37" i="8"/>
  <c r="AS37" i="8" s="1"/>
  <c r="Q69" i="8"/>
  <c r="AS69" i="8" s="1"/>
  <c r="Q90" i="8"/>
  <c r="AS90" i="8" s="1"/>
  <c r="Q47" i="8"/>
  <c r="AS47" i="8" s="1"/>
  <c r="Q99" i="8"/>
  <c r="AS99" i="8" s="1"/>
  <c r="Q79" i="8"/>
  <c r="AS79" i="8" s="1"/>
  <c r="Q57" i="8"/>
  <c r="AS57" i="8" s="1"/>
  <c r="Q65" i="8"/>
  <c r="AS65" i="8" s="1"/>
  <c r="Q98" i="8"/>
  <c r="AS98" i="8" s="1"/>
  <c r="Q81" i="8"/>
  <c r="AS81" i="8" s="1"/>
  <c r="Q59" i="8"/>
  <c r="AS59" i="8" s="1"/>
  <c r="Q20" i="8"/>
  <c r="AS20" i="8" s="1"/>
  <c r="Q53" i="8"/>
  <c r="AS53" i="8" s="1"/>
  <c r="Q86" i="8"/>
  <c r="AS86" i="8" s="1"/>
  <c r="Q52" i="8"/>
  <c r="AS52" i="8" s="1"/>
  <c r="Q33" i="8"/>
  <c r="AS33" i="8" s="1"/>
  <c r="Q48" i="8"/>
  <c r="AS48" i="8" s="1"/>
  <c r="Q51" i="8"/>
  <c r="AS51" i="8" s="1"/>
  <c r="Q23" i="8"/>
  <c r="AS23" i="8" s="1"/>
  <c r="Q85" i="8"/>
  <c r="AS85" i="8" s="1"/>
  <c r="Q110" i="8"/>
  <c r="AS110" i="8" s="1"/>
  <c r="Q83" i="8"/>
  <c r="AS83" i="8" s="1"/>
  <c r="Q72" i="8"/>
  <c r="AS72" i="8" s="1"/>
  <c r="Q70" i="8"/>
  <c r="AS70" i="8" s="1"/>
  <c r="Q54" i="8"/>
  <c r="AS54" i="8" s="1"/>
  <c r="Q56" i="8"/>
  <c r="AS56" i="8" s="1"/>
  <c r="Q89" i="8"/>
  <c r="AS89" i="8" s="1"/>
  <c r="Q78" i="8"/>
  <c r="AS78" i="8" s="1"/>
  <c r="Q93" i="8"/>
  <c r="AS93" i="8" s="1"/>
  <c r="Q55" i="8"/>
  <c r="AS55" i="8" s="1"/>
  <c r="Q109" i="8"/>
  <c r="AS109" i="8" s="1"/>
  <c r="Q29" i="8"/>
  <c r="AS29" i="8" s="1"/>
  <c r="Q73" i="8"/>
  <c r="AS73" i="8" s="1"/>
  <c r="Q26" i="8"/>
  <c r="AS26" i="8" s="1"/>
  <c r="Q24" i="8"/>
  <c r="AS24" i="8" s="1"/>
  <c r="Q50" i="8"/>
  <c r="AS50" i="8" s="1"/>
  <c r="Q28" i="8"/>
  <c r="AS28" i="8" s="1"/>
  <c r="Q38" i="8"/>
  <c r="AS38" i="8" s="1"/>
  <c r="Q11" i="8"/>
  <c r="AS11" i="8" s="1"/>
  <c r="Q67" i="8"/>
  <c r="AS67" i="8" s="1"/>
  <c r="Q82" i="8"/>
  <c r="AS82" i="8" s="1"/>
  <c r="Q80" i="8"/>
  <c r="AS80" i="8" s="1"/>
  <c r="Q32" i="8"/>
  <c r="AS32" i="8" s="1"/>
  <c r="Q84" i="8"/>
  <c r="AS84" i="8" s="1"/>
  <c r="Q64" i="8"/>
  <c r="AS64" i="8" s="1"/>
  <c r="Q88" i="8"/>
  <c r="AS88" i="8" s="1"/>
  <c r="Q43" i="8"/>
  <c r="AS43" i="8" s="1"/>
  <c r="Q100" i="8"/>
  <c r="AS100" i="8" s="1"/>
  <c r="Q96" i="8"/>
  <c r="AS96" i="8" s="1"/>
  <c r="Q97" i="8"/>
  <c r="AS97" i="8" s="1"/>
  <c r="Q95" i="8"/>
  <c r="AS95" i="8" s="1"/>
  <c r="Q13" i="8"/>
  <c r="AS13" i="8" s="1"/>
  <c r="Q49" i="8"/>
  <c r="AS49" i="8" s="1"/>
  <c r="Q10" i="8"/>
  <c r="AS10" i="8" s="1"/>
  <c r="BD10" i="8" s="1"/>
  <c r="Q45" i="8"/>
  <c r="AS45" i="8" s="1"/>
  <c r="Q35" i="8"/>
  <c r="AS35" i="8" s="1"/>
  <c r="Q106" i="8"/>
  <c r="AS106" i="8" s="1"/>
  <c r="Q41" i="8"/>
  <c r="AS41" i="8" s="1"/>
  <c r="Q12" i="8"/>
  <c r="AS12" i="8" s="1"/>
  <c r="Q58" i="8"/>
  <c r="AS58" i="8" s="1"/>
  <c r="Q108" i="8"/>
  <c r="AS108" i="8" s="1"/>
  <c r="Q105" i="8"/>
  <c r="AS105" i="8" s="1"/>
  <c r="Q68" i="8"/>
  <c r="AS68" i="8" s="1"/>
  <c r="Q44" i="8"/>
  <c r="AS44" i="8" s="1"/>
  <c r="Q76" i="8"/>
  <c r="AS76" i="8" s="1"/>
  <c r="Q62" i="8"/>
  <c r="AS62" i="8" s="1"/>
  <c r="Q14" i="8"/>
  <c r="AS14" i="8" s="1"/>
  <c r="Q34" i="8"/>
  <c r="AS34" i="8" s="1"/>
  <c r="Q87" i="8"/>
  <c r="AS87" i="8" s="1"/>
  <c r="Q15" i="8"/>
  <c r="AS15" i="8" s="1"/>
  <c r="Q46" i="8"/>
  <c r="AS46" i="8" s="1"/>
  <c r="Q31" i="8"/>
  <c r="AS31" i="8" s="1"/>
  <c r="Q94" i="8"/>
  <c r="AS94" i="8" s="1"/>
  <c r="Q60" i="8"/>
  <c r="AS60" i="8" s="1"/>
  <c r="Q92" i="8"/>
  <c r="AS92" i="8" s="1"/>
  <c r="Q30" i="8"/>
  <c r="AS30" i="8" s="1"/>
  <c r="Q63" i="8"/>
  <c r="AS63" i="8" s="1"/>
  <c r="Q40" i="8"/>
  <c r="AS40" i="8" s="1"/>
  <c r="Q61" i="8"/>
  <c r="AS61" i="8" s="1"/>
  <c r="Q102" i="8"/>
  <c r="AS102" i="8" s="1"/>
  <c r="Q91" i="8"/>
  <c r="AS91" i="8" s="1"/>
  <c r="Q75" i="8"/>
  <c r="AS75" i="8" s="1"/>
  <c r="Q103" i="8"/>
  <c r="AS103" i="8" s="1"/>
  <c r="Q66" i="8"/>
  <c r="AS66" i="8" s="1"/>
  <c r="Q16" i="8"/>
  <c r="AS16" i="8" s="1"/>
  <c r="Q18" i="8"/>
  <c r="AS18" i="8" s="1"/>
  <c r="Q104" i="8"/>
  <c r="AS104" i="8" s="1"/>
  <c r="Q25" i="8"/>
  <c r="AS25" i="8" s="1"/>
  <c r="Q22" i="8"/>
  <c r="AS22" i="8" s="1"/>
  <c r="Q19" i="8"/>
  <c r="AS19" i="8" s="1"/>
  <c r="Q21" i="8"/>
  <c r="AS21" i="8" s="1"/>
  <c r="Q17" i="8"/>
  <c r="AS17" i="8" s="1"/>
  <c r="Q36" i="8"/>
  <c r="AS36" i="8" s="1"/>
  <c r="Q74" i="8"/>
  <c r="AS74" i="8" s="1"/>
  <c r="DD16" i="5"/>
  <c r="DD32" i="5"/>
  <c r="DX21" i="5"/>
  <c r="DX47" i="5"/>
  <c r="DX46" i="5"/>
  <c r="DX45" i="5"/>
  <c r="DX31" i="5"/>
  <c r="DX33" i="5"/>
  <c r="DD47" i="5"/>
  <c r="DX12" i="5"/>
  <c r="DX32" i="5"/>
  <c r="DX16" i="5"/>
  <c r="DX20" i="5"/>
  <c r="DX9" i="5"/>
  <c r="DX19" i="5"/>
  <c r="DX13" i="5"/>
  <c r="DX15" i="5"/>
  <c r="DX25" i="5"/>
  <c r="DD44" i="5"/>
  <c r="DD28" i="5"/>
  <c r="DN14" i="5" s="1"/>
  <c r="DX11" i="5"/>
  <c r="DX7" i="5"/>
  <c r="DD11" i="5"/>
  <c r="DX8" i="5"/>
  <c r="DX40" i="5"/>
  <c r="DX37" i="5"/>
  <c r="DX38" i="5"/>
  <c r="DX42" i="5"/>
  <c r="DX41" i="5"/>
  <c r="DX39" i="5"/>
  <c r="DX36" i="5"/>
  <c r="DX43" i="5"/>
  <c r="DX30" i="5"/>
  <c r="DX34" i="5"/>
  <c r="DX35" i="5"/>
  <c r="DD35" i="5"/>
  <c r="DX29" i="5"/>
  <c r="DX28" i="5"/>
  <c r="DX27" i="5"/>
  <c r="DX24" i="5"/>
  <c r="DX22" i="5"/>
  <c r="DD27" i="5"/>
  <c r="DX18" i="5"/>
  <c r="DX14" i="5"/>
  <c r="DX17" i="5"/>
  <c r="DD19" i="5"/>
  <c r="DD43" i="5"/>
  <c r="DM9" i="5"/>
  <c r="V90" i="8"/>
  <c r="AE65" i="8"/>
  <c r="AX65" i="8" s="1"/>
  <c r="AE64" i="8"/>
  <c r="AX64" i="8" s="1"/>
  <c r="AE57" i="8"/>
  <c r="AX57" i="8" s="1"/>
  <c r="V83" i="8"/>
  <c r="V39" i="8"/>
  <c r="AE24" i="8"/>
  <c r="AX24" i="8" s="1"/>
  <c r="AE78" i="8"/>
  <c r="AX78" i="8" s="1"/>
  <c r="V106" i="8"/>
  <c r="AE23" i="8"/>
  <c r="AX23" i="8" s="1"/>
  <c r="AE55" i="8"/>
  <c r="AX55" i="8" s="1"/>
  <c r="AE19" i="8"/>
  <c r="AX19" i="8" s="1"/>
  <c r="V67" i="8"/>
  <c r="AE48" i="8"/>
  <c r="AX48" i="8" s="1"/>
  <c r="AE104" i="8"/>
  <c r="AX104" i="8" s="1"/>
  <c r="V44" i="8"/>
  <c r="V22" i="8"/>
  <c r="AE88" i="8"/>
  <c r="AX88" i="8" s="1"/>
  <c r="V26" i="8"/>
  <c r="V74" i="8"/>
  <c r="AE56" i="8"/>
  <c r="AX56" i="8" s="1"/>
  <c r="AE18" i="8"/>
  <c r="AX18" i="8" s="1"/>
  <c r="V91" i="8"/>
  <c r="V34" i="8"/>
  <c r="AE60" i="8"/>
  <c r="AX60" i="8" s="1"/>
  <c r="AE107" i="8"/>
  <c r="AX107" i="8" s="1"/>
  <c r="V96" i="8"/>
  <c r="V36" i="8"/>
  <c r="V66" i="8"/>
  <c r="V77" i="8"/>
  <c r="V73" i="8"/>
  <c r="AE12" i="8"/>
  <c r="AX12" i="8" s="1"/>
  <c r="V33" i="8"/>
  <c r="V85" i="8"/>
  <c r="V95" i="8"/>
  <c r="AE13" i="8"/>
  <c r="AX13" i="8" s="1"/>
  <c r="V99" i="8"/>
  <c r="V92" i="8"/>
  <c r="V93" i="8"/>
  <c r="AE51" i="8"/>
  <c r="AX51" i="8" s="1"/>
  <c r="AE45" i="8"/>
  <c r="AX45" i="8" s="1"/>
  <c r="V80" i="8"/>
  <c r="AE109" i="8"/>
  <c r="AX109" i="8" s="1"/>
  <c r="AE42" i="8"/>
  <c r="AX42" i="8" s="1"/>
  <c r="AE11" i="8"/>
  <c r="AX11" i="8" s="1"/>
  <c r="V59" i="8"/>
  <c r="AE14" i="8"/>
  <c r="AX14" i="8" s="1"/>
  <c r="V47" i="8"/>
  <c r="V16" i="8"/>
  <c r="AE102" i="8"/>
  <c r="AX102" i="8" s="1"/>
  <c r="V61" i="8"/>
  <c r="V28" i="8"/>
  <c r="AE27" i="8"/>
  <c r="AX27" i="8" s="1"/>
  <c r="AE100" i="8"/>
  <c r="AX100" i="8" s="1"/>
  <c r="AE94" i="8"/>
  <c r="AX94" i="8" s="1"/>
  <c r="AE108" i="8"/>
  <c r="AX108" i="8" s="1"/>
  <c r="AE50" i="8"/>
  <c r="AX50" i="8" s="1"/>
  <c r="AE75" i="8"/>
  <c r="AX75" i="8" s="1"/>
  <c r="V72" i="8"/>
  <c r="V81" i="8"/>
  <c r="V62" i="8"/>
  <c r="AE98" i="8"/>
  <c r="AX98" i="8" s="1"/>
  <c r="V25" i="8"/>
  <c r="AE40" i="8"/>
  <c r="AX40" i="8" s="1"/>
  <c r="V52" i="8"/>
  <c r="V37" i="8"/>
  <c r="V103" i="8"/>
  <c r="AE49" i="8"/>
  <c r="AX49" i="8" s="1"/>
  <c r="V69" i="8"/>
  <c r="AE63" i="8"/>
  <c r="AX63" i="8" s="1"/>
  <c r="AE38" i="8"/>
  <c r="AX38" i="8" s="1"/>
  <c r="V21" i="8"/>
  <c r="V53" i="8"/>
  <c r="V84" i="8"/>
  <c r="V15" i="8"/>
  <c r="AE29" i="8"/>
  <c r="AX29" i="8" s="1"/>
  <c r="V70" i="8"/>
  <c r="AE41" i="8"/>
  <c r="AX41" i="8" s="1"/>
  <c r="V17" i="8"/>
  <c r="AE46" i="8"/>
  <c r="AX46" i="8" s="1"/>
  <c r="V97" i="8"/>
  <c r="V54" i="8"/>
  <c r="AE105" i="8"/>
  <c r="AX105" i="8" s="1"/>
  <c r="AE35" i="8"/>
  <c r="AX35" i="8" s="1"/>
  <c r="AE110" i="8"/>
  <c r="AX110" i="8" s="1"/>
  <c r="V43" i="8"/>
  <c r="V30" i="8"/>
  <c r="AE82" i="8"/>
  <c r="AX82" i="8" s="1"/>
  <c r="V10" i="8"/>
  <c r="DO9" i="5"/>
  <c r="AZ75" i="8"/>
  <c r="BB75" i="8"/>
  <c r="BA75" i="8"/>
  <c r="AZ17" i="8"/>
  <c r="BA17" i="8"/>
  <c r="BB17" i="8"/>
  <c r="AZ51" i="8"/>
  <c r="BB51" i="8"/>
  <c r="BA51" i="8"/>
  <c r="AZ68" i="8"/>
  <c r="BB68" i="8"/>
  <c r="BA68" i="8"/>
  <c r="AZ23" i="8"/>
  <c r="BB23" i="8"/>
  <c r="BA23" i="8"/>
  <c r="BB11" i="8"/>
  <c r="AZ11" i="8"/>
  <c r="BA11" i="8"/>
  <c r="BB22" i="8"/>
  <c r="BA22" i="8"/>
  <c r="AZ22" i="8"/>
  <c r="BA18" i="8"/>
  <c r="BB18" i="8"/>
  <c r="AZ18" i="8"/>
  <c r="AP31" i="8"/>
  <c r="BB109" i="8"/>
  <c r="AZ109" i="8"/>
  <c r="BA109" i="8"/>
  <c r="BB19" i="8"/>
  <c r="AZ19" i="8"/>
  <c r="BA19" i="8"/>
  <c r="BB88" i="8"/>
  <c r="AZ88" i="8"/>
  <c r="BA88" i="8"/>
  <c r="BA76" i="8"/>
  <c r="BB76" i="8"/>
  <c r="AZ76" i="8"/>
  <c r="BB40" i="8"/>
  <c r="AZ40" i="8"/>
  <c r="BA40" i="8"/>
  <c r="AZ33" i="8"/>
  <c r="BB33" i="8"/>
  <c r="BA33" i="8"/>
  <c r="BB86" i="8"/>
  <c r="AZ86" i="8"/>
  <c r="BA86" i="8"/>
  <c r="BB64" i="8"/>
  <c r="AZ64" i="8"/>
  <c r="BA64" i="8"/>
  <c r="BB110" i="8"/>
  <c r="BA110" i="8"/>
  <c r="AZ110" i="8"/>
  <c r="AZ71" i="8"/>
  <c r="BA71" i="8"/>
  <c r="BB71" i="8"/>
  <c r="BB61" i="8"/>
  <c r="AZ61" i="8"/>
  <c r="BA61" i="8"/>
  <c r="BB12" i="8"/>
  <c r="AZ12" i="8"/>
  <c r="BA12" i="8"/>
  <c r="DM6" i="5"/>
  <c r="DM8" i="5"/>
  <c r="BA31" i="8"/>
  <c r="BB31" i="8"/>
  <c r="AZ31" i="8"/>
  <c r="BB15" i="8"/>
  <c r="BA15" i="8"/>
  <c r="AZ15" i="8"/>
  <c r="AZ98" i="8"/>
  <c r="BB98" i="8"/>
  <c r="BA98" i="8"/>
  <c r="BB65" i="8"/>
  <c r="BA65" i="8"/>
  <c r="AZ65" i="8"/>
  <c r="BA45" i="8"/>
  <c r="BB45" i="8"/>
  <c r="AZ45" i="8"/>
  <c r="BB35" i="8"/>
  <c r="AZ35" i="8"/>
  <c r="BA35" i="8"/>
  <c r="DH2" i="5"/>
  <c r="DR4" i="5" s="1"/>
  <c r="DH3" i="5"/>
  <c r="AZ21" i="8"/>
  <c r="BB21" i="8"/>
  <c r="BA21" i="8"/>
  <c r="DM2" i="5"/>
  <c r="DM4" i="5"/>
  <c r="DM5" i="5"/>
  <c r="P39" i="8"/>
  <c r="P65" i="8"/>
  <c r="P14" i="8"/>
  <c r="AR14" i="8" s="1"/>
  <c r="P79" i="8"/>
  <c r="P22" i="8"/>
  <c r="AR22" i="8" s="1"/>
  <c r="P50" i="8"/>
  <c r="P59" i="8"/>
  <c r="P70" i="8"/>
  <c r="P58" i="8"/>
  <c r="P36" i="8"/>
  <c r="P23" i="8"/>
  <c r="AR23" i="8" s="1"/>
  <c r="P91" i="8"/>
  <c r="P31" i="8"/>
  <c r="P61" i="8"/>
  <c r="P109" i="8"/>
  <c r="P110" i="8"/>
  <c r="P100" i="8"/>
  <c r="P13" i="8"/>
  <c r="AR13" i="8" s="1"/>
  <c r="P47" i="8"/>
  <c r="P66" i="8"/>
  <c r="P78" i="8"/>
  <c r="P93" i="8"/>
  <c r="P24" i="8"/>
  <c r="AR24" i="8" s="1"/>
  <c r="P48" i="8"/>
  <c r="P80" i="8"/>
  <c r="P87" i="8"/>
  <c r="P46" i="8"/>
  <c r="P33" i="8"/>
  <c r="P96" i="8"/>
  <c r="P32" i="8"/>
  <c r="P11" i="8"/>
  <c r="AR11" i="8" s="1"/>
  <c r="P90" i="8"/>
  <c r="P15" i="8"/>
  <c r="AR15" i="8" s="1"/>
  <c r="P67" i="8"/>
  <c r="P94" i="8"/>
  <c r="P16" i="8"/>
  <c r="AR16" i="8" s="1"/>
  <c r="P43" i="8"/>
  <c r="P71" i="8"/>
  <c r="P88" i="8"/>
  <c r="P21" i="8"/>
  <c r="AR21" i="8" s="1"/>
  <c r="P41" i="8"/>
  <c r="P68" i="8"/>
  <c r="P28" i="8"/>
  <c r="P63" i="8"/>
  <c r="P30" i="8"/>
  <c r="P74" i="8"/>
  <c r="P56" i="8"/>
  <c r="P10" i="8"/>
  <c r="AR10" i="8" s="1"/>
  <c r="P98" i="8"/>
  <c r="P42" i="8"/>
  <c r="P49" i="8"/>
  <c r="P44" i="8"/>
  <c r="P75" i="8"/>
  <c r="P101" i="8"/>
  <c r="P37" i="8"/>
  <c r="P20" i="8"/>
  <c r="AR20" i="8" s="1"/>
  <c r="P54" i="8"/>
  <c r="P62" i="8"/>
  <c r="P83" i="8"/>
  <c r="P17" i="8"/>
  <c r="AR17" i="8" s="1"/>
  <c r="P99" i="8"/>
  <c r="P107" i="8"/>
  <c r="P12" i="8"/>
  <c r="AR12" i="8" s="1"/>
  <c r="P60" i="8"/>
  <c r="P76" i="8"/>
  <c r="P86" i="8"/>
  <c r="P92" i="8"/>
  <c r="P97" i="8"/>
  <c r="P19" i="8"/>
  <c r="AR19" i="8" s="1"/>
  <c r="P26" i="8"/>
  <c r="P105" i="8"/>
  <c r="P89" i="8"/>
  <c r="P106" i="8"/>
  <c r="P52" i="8"/>
  <c r="P85" i="8"/>
  <c r="P72" i="8"/>
  <c r="P84" i="8"/>
  <c r="P51" i="8"/>
  <c r="P35" i="8"/>
  <c r="P53" i="8"/>
  <c r="P103" i="8"/>
  <c r="P57" i="8"/>
  <c r="P73" i="8"/>
  <c r="P108" i="8"/>
  <c r="P81" i="8"/>
  <c r="P69" i="8"/>
  <c r="P45" i="8"/>
  <c r="P95" i="8"/>
  <c r="P29" i="8"/>
  <c r="P34" i="8"/>
  <c r="P55" i="8"/>
  <c r="P40" i="8"/>
  <c r="P82" i="8"/>
  <c r="P102" i="8"/>
  <c r="P104" i="8"/>
  <c r="P77" i="8"/>
  <c r="P38" i="8"/>
  <c r="P27" i="8"/>
  <c r="P25" i="8"/>
  <c r="AR25" i="8" s="1"/>
  <c r="P18" i="8"/>
  <c r="AR18" i="8" s="1"/>
  <c r="P64" i="8"/>
  <c r="X53" i="6" a="1"/>
  <c r="X53" i="6" s="1"/>
  <c r="AF52" i="6"/>
  <c r="AN52" i="6" s="1"/>
  <c r="AL52" i="6" l="1"/>
  <c r="AD52" i="6"/>
  <c r="DO5" i="5"/>
  <c r="DQ9" i="5"/>
  <c r="V53" i="15" a="1"/>
  <c r="V53" i="15" s="1"/>
  <c r="V54" i="15" s="1" a="1"/>
  <c r="V54" i="15" s="1"/>
  <c r="DQ5" i="5"/>
  <c r="EF32" i="5"/>
  <c r="EJ32" i="5" a="1"/>
  <c r="EJ32" i="5" s="1"/>
  <c r="EI32" i="5" a="1"/>
  <c r="EI32" i="5" s="1"/>
  <c r="EH32" i="5" a="1"/>
  <c r="EH32" i="5" s="1"/>
  <c r="EK32" i="5" a="1"/>
  <c r="EK32" i="5" s="1"/>
  <c r="EG32" i="5"/>
  <c r="AA10" i="8"/>
  <c r="AC33" i="5"/>
  <c r="AD32" i="5"/>
  <c r="AE32" i="5"/>
  <c r="C34" i="7"/>
  <c r="C70" i="7" s="1"/>
  <c r="L70" i="7" s="1"/>
  <c r="C42" i="7"/>
  <c r="BA91" i="8"/>
  <c r="DP9" i="5"/>
  <c r="BA60" i="8"/>
  <c r="BB66" i="8"/>
  <c r="BB57" i="8"/>
  <c r="BA29" i="8"/>
  <c r="BA41" i="8"/>
  <c r="AZ69" i="8"/>
  <c r="BA93" i="8"/>
  <c r="BB25" i="8"/>
  <c r="BA27" i="8"/>
  <c r="AZ24" i="8"/>
  <c r="BB41" i="8"/>
  <c r="BA28" i="8"/>
  <c r="BA69" i="8"/>
  <c r="AZ60" i="8"/>
  <c r="BA66" i="8"/>
  <c r="BA34" i="8"/>
  <c r="BA108" i="8"/>
  <c r="BA49" i="8"/>
  <c r="BA48" i="8"/>
  <c r="BA20" i="8"/>
  <c r="BB28" i="8"/>
  <c r="BB81" i="8"/>
  <c r="BB47" i="8"/>
  <c r="BA14" i="8"/>
  <c r="U53" i="15" a="1"/>
  <c r="U53" i="15" s="1"/>
  <c r="AT53" i="15" s="1"/>
  <c r="AZ14" i="8"/>
  <c r="AZ30" i="8"/>
  <c r="AC52" i="15"/>
  <c r="AV52" i="6"/>
  <c r="AS52" i="15"/>
  <c r="AJ52" i="15"/>
  <c r="BA50" i="8"/>
  <c r="BB96" i="8"/>
  <c r="AZ95" i="8"/>
  <c r="BB34" i="8"/>
  <c r="AZ91" i="8"/>
  <c r="BB58" i="8"/>
  <c r="BA13" i="8"/>
  <c r="BA100" i="8"/>
  <c r="BB27" i="8"/>
  <c r="BA24" i="8"/>
  <c r="BB48" i="8"/>
  <c r="BA37" i="8"/>
  <c r="BB20" i="8"/>
  <c r="BB73" i="8"/>
  <c r="BA99" i="8"/>
  <c r="BA103" i="8"/>
  <c r="BA42" i="8"/>
  <c r="AZ84" i="8"/>
  <c r="BB50" i="8"/>
  <c r="AZ42" i="8"/>
  <c r="BA39" i="8"/>
  <c r="AZ38" i="8"/>
  <c r="BA26" i="8"/>
  <c r="BB62" i="8"/>
  <c r="BB44" i="8"/>
  <c r="AZ46" i="8"/>
  <c r="BB85" i="8"/>
  <c r="AZ94" i="8"/>
  <c r="AZ59" i="8"/>
  <c r="AZ87" i="8"/>
  <c r="BA83" i="8"/>
  <c r="AZ92" i="8"/>
  <c r="AZ89" i="8"/>
  <c r="BA96" i="8"/>
  <c r="AZ79" i="8"/>
  <c r="AZ108" i="8"/>
  <c r="BB43" i="8"/>
  <c r="BA25" i="8"/>
  <c r="BB49" i="8"/>
  <c r="BA57" i="8"/>
  <c r="BB29" i="8"/>
  <c r="BB37" i="8"/>
  <c r="AZ73" i="8"/>
  <c r="AZ72" i="8"/>
  <c r="AZ103" i="8"/>
  <c r="BC13" i="8"/>
  <c r="BB80" i="8"/>
  <c r="AZ39" i="8"/>
  <c r="BB46" i="8"/>
  <c r="BA106" i="8"/>
  <c r="AZ62" i="8"/>
  <c r="BA30" i="8"/>
  <c r="BB87" i="8"/>
  <c r="BA101" i="8"/>
  <c r="AZ97" i="8"/>
  <c r="AZ83" i="8"/>
  <c r="BB105" i="8"/>
  <c r="BB89" i="8"/>
  <c r="AZ36" i="8"/>
  <c r="AZ80" i="8"/>
  <c r="AZ26" i="8"/>
  <c r="BB106" i="8"/>
  <c r="BA90" i="8"/>
  <c r="BB94" i="8"/>
  <c r="BA59" i="8"/>
  <c r="AZ78" i="8"/>
  <c r="BA44" i="8"/>
  <c r="AZ74" i="8"/>
  <c r="BA92" i="8"/>
  <c r="BA36" i="8"/>
  <c r="AZ102" i="8"/>
  <c r="BA63" i="8"/>
  <c r="BB16" i="8"/>
  <c r="AZ70" i="8"/>
  <c r="AZ82" i="8"/>
  <c r="BA107" i="8"/>
  <c r="BB72" i="8"/>
  <c r="BA77" i="8"/>
  <c r="BB10" i="8"/>
  <c r="BB67" i="8"/>
  <c r="AU52" i="6"/>
  <c r="AZ47" i="8"/>
  <c r="BA95" i="8"/>
  <c r="BB55" i="8"/>
  <c r="BB93" i="8"/>
  <c r="AZ104" i="8"/>
  <c r="AZ100" i="8"/>
  <c r="AZ32" i="8"/>
  <c r="BA53" i="8"/>
  <c r="BA82" i="8"/>
  <c r="BB107" i="8"/>
  <c r="AZ99" i="8"/>
  <c r="BB77" i="8"/>
  <c r="BA10" i="8"/>
  <c r="BA81" i="8"/>
  <c r="BA56" i="8"/>
  <c r="BA67" i="8"/>
  <c r="W53" i="6" a="1"/>
  <c r="W53" i="6" s="1"/>
  <c r="BA55" i="8"/>
  <c r="BA79" i="8"/>
  <c r="BA104" i="8"/>
  <c r="AZ58" i="8"/>
  <c r="AZ13" i="8"/>
  <c r="AZ43" i="8"/>
  <c r="BB32" i="8"/>
  <c r="AZ53" i="8"/>
  <c r="AZ56" i="8"/>
  <c r="BA38" i="8"/>
  <c r="BA85" i="8"/>
  <c r="BB90" i="8"/>
  <c r="BA78" i="8"/>
  <c r="AB52" i="15"/>
  <c r="AK52" i="15"/>
  <c r="AZ101" i="8"/>
  <c r="BB97" i="8"/>
  <c r="BA84" i="8"/>
  <c r="BA105" i="8"/>
  <c r="AM52" i="6"/>
  <c r="AE52" i="6"/>
  <c r="AZ52" i="8"/>
  <c r="BB102" i="8"/>
  <c r="AZ63" i="8"/>
  <c r="BA16" i="8"/>
  <c r="BB70" i="8"/>
  <c r="AZ54" i="8"/>
  <c r="DP5" i="5"/>
  <c r="BA52" i="8"/>
  <c r="BA54" i="8"/>
  <c r="BA74" i="8"/>
  <c r="AA21" i="8"/>
  <c r="AA18" i="8"/>
  <c r="AA12" i="8"/>
  <c r="AA14" i="8"/>
  <c r="AA24" i="8"/>
  <c r="AA23" i="8"/>
  <c r="AA22" i="8"/>
  <c r="AA16" i="8"/>
  <c r="AA13" i="8"/>
  <c r="AA15" i="8"/>
  <c r="AA17" i="8"/>
  <c r="AA11" i="8"/>
  <c r="AA20" i="8"/>
  <c r="AA19" i="8"/>
  <c r="F90" i="8"/>
  <c r="F46" i="8"/>
  <c r="F58" i="8"/>
  <c r="F65" i="8"/>
  <c r="F110" i="8"/>
  <c r="F27" i="8"/>
  <c r="F86" i="8"/>
  <c r="F52" i="8"/>
  <c r="F79" i="8"/>
  <c r="F31" i="8"/>
  <c r="F63" i="8"/>
  <c r="F53" i="8"/>
  <c r="F77" i="8"/>
  <c r="F10" i="8"/>
  <c r="F104" i="8"/>
  <c r="F101" i="8"/>
  <c r="F39" i="8"/>
  <c r="F43" i="8"/>
  <c r="F37" i="8"/>
  <c r="F40" i="8"/>
  <c r="F30" i="8"/>
  <c r="F49" i="8"/>
  <c r="F36" i="8"/>
  <c r="F44" i="8"/>
  <c r="F47" i="8"/>
  <c r="F18" i="8"/>
  <c r="F94" i="8"/>
  <c r="F14" i="8"/>
  <c r="F80" i="8"/>
  <c r="F15" i="8"/>
  <c r="F45" i="8"/>
  <c r="F48" i="8"/>
  <c r="F22" i="8"/>
  <c r="F67" i="8"/>
  <c r="F108" i="8"/>
  <c r="F61" i="8"/>
  <c r="F59" i="8"/>
  <c r="F64" i="8"/>
  <c r="F51" i="8"/>
  <c r="F16" i="8"/>
  <c r="F11" i="8"/>
  <c r="F107" i="8"/>
  <c r="F25" i="8"/>
  <c r="F74" i="8"/>
  <c r="F54" i="8"/>
  <c r="F99" i="8"/>
  <c r="F56" i="8"/>
  <c r="F60" i="8"/>
  <c r="F105" i="8"/>
  <c r="F69" i="8"/>
  <c r="F109" i="8"/>
  <c r="F13" i="8"/>
  <c r="F50" i="8"/>
  <c r="F92" i="8"/>
  <c r="F29" i="8"/>
  <c r="F89" i="8"/>
  <c r="F91" i="8"/>
  <c r="F87" i="8"/>
  <c r="F62" i="8"/>
  <c r="F35" i="8"/>
  <c r="F34" i="8"/>
  <c r="F81" i="8"/>
  <c r="F100" i="8"/>
  <c r="F41" i="8"/>
  <c r="F73" i="8"/>
  <c r="F68" i="8"/>
  <c r="F96" i="8"/>
  <c r="F95" i="8"/>
  <c r="F85" i="8"/>
  <c r="F28" i="8"/>
  <c r="F21" i="8"/>
  <c r="F88" i="8"/>
  <c r="F57" i="8"/>
  <c r="F23" i="8"/>
  <c r="F26" i="8"/>
  <c r="F83" i="8"/>
  <c r="F102" i="8"/>
  <c r="F38" i="8"/>
  <c r="F97" i="8"/>
  <c r="F82" i="8"/>
  <c r="F12" i="8"/>
  <c r="F33" i="8"/>
  <c r="F75" i="8"/>
  <c r="F70" i="8"/>
  <c r="F19" i="8"/>
  <c r="F66" i="8"/>
  <c r="F71" i="8"/>
  <c r="F32" i="8"/>
  <c r="W6" i="8"/>
  <c r="F55" i="8"/>
  <c r="F103" i="8"/>
  <c r="F20" i="8"/>
  <c r="F42" i="8"/>
  <c r="F106" i="8"/>
  <c r="F84" i="8"/>
  <c r="F72" i="8"/>
  <c r="F78" i="8"/>
  <c r="F76" i="8"/>
  <c r="F24" i="8"/>
  <c r="F98" i="8"/>
  <c r="F17" i="8"/>
  <c r="F93" i="8"/>
  <c r="BC11" i="8"/>
  <c r="AA25" i="8"/>
  <c r="BC18" i="8"/>
  <c r="BC25" i="8"/>
  <c r="BC12" i="8"/>
  <c r="BC24" i="8"/>
  <c r="AR40" i="8"/>
  <c r="BC40" i="8" s="1"/>
  <c r="AA40" i="8"/>
  <c r="AR53" i="8"/>
  <c r="BC53" i="8" s="1"/>
  <c r="AA53" i="8"/>
  <c r="AR26" i="8"/>
  <c r="BC26" i="8" s="1"/>
  <c r="AA26" i="8"/>
  <c r="AR101" i="8"/>
  <c r="BC101" i="8" s="1"/>
  <c r="AA101" i="8"/>
  <c r="AR44" i="8"/>
  <c r="BC44" i="8" s="1"/>
  <c r="AA44" i="8"/>
  <c r="AR74" i="8"/>
  <c r="BC74" i="8" s="1"/>
  <c r="AA74" i="8"/>
  <c r="AR63" i="8"/>
  <c r="BC63" i="8" s="1"/>
  <c r="AA63" i="8"/>
  <c r="AR68" i="8"/>
  <c r="BC68" i="8" s="1"/>
  <c r="AA68" i="8"/>
  <c r="AR71" i="8"/>
  <c r="BC71" i="8" s="1"/>
  <c r="AA71" i="8"/>
  <c r="AR67" i="8"/>
  <c r="BC67" i="8" s="1"/>
  <c r="AA67" i="8"/>
  <c r="AR90" i="8"/>
  <c r="BC90" i="8" s="1"/>
  <c r="AA90" i="8"/>
  <c r="AR32" i="8"/>
  <c r="BC32" i="8" s="1"/>
  <c r="AA32" i="8"/>
  <c r="AR33" i="8"/>
  <c r="BC33" i="8" s="1"/>
  <c r="AA33" i="8"/>
  <c r="AR87" i="8"/>
  <c r="BC87" i="8" s="1"/>
  <c r="AA87" i="8"/>
  <c r="AR48" i="8"/>
  <c r="BC48" i="8" s="1"/>
  <c r="AA48" i="8"/>
  <c r="AR93" i="8"/>
  <c r="BC93" i="8" s="1"/>
  <c r="AA93" i="8"/>
  <c r="AR66" i="8"/>
  <c r="BC66" i="8" s="1"/>
  <c r="AA66" i="8"/>
  <c r="AR110" i="8"/>
  <c r="BC110" i="8" s="1"/>
  <c r="AA110" i="8"/>
  <c r="AR61" i="8"/>
  <c r="BC61" i="8" s="1"/>
  <c r="AA61" i="8"/>
  <c r="AR91" i="8"/>
  <c r="BC91" i="8" s="1"/>
  <c r="AA91" i="8"/>
  <c r="AR36" i="8"/>
  <c r="BC36" i="8" s="1"/>
  <c r="AA36" i="8"/>
  <c r="AR70" i="8"/>
  <c r="BC70" i="8" s="1"/>
  <c r="AA70" i="8"/>
  <c r="AR50" i="8"/>
  <c r="BC50" i="8" s="1"/>
  <c r="AA50" i="8"/>
  <c r="AR79" i="8"/>
  <c r="BC79" i="8" s="1"/>
  <c r="AA79" i="8"/>
  <c r="AR65" i="8"/>
  <c r="BC65" i="8" s="1"/>
  <c r="AA65" i="8"/>
  <c r="AR27" i="8"/>
  <c r="BC27" i="8" s="1"/>
  <c r="AA27" i="8"/>
  <c r="AR77" i="8"/>
  <c r="BC77" i="8" s="1"/>
  <c r="AA77" i="8"/>
  <c r="AR102" i="8"/>
  <c r="BC102" i="8" s="1"/>
  <c r="AA102" i="8"/>
  <c r="AR34" i="8"/>
  <c r="BC34" i="8" s="1"/>
  <c r="AA34" i="8"/>
  <c r="AR95" i="8"/>
  <c r="BC95" i="8" s="1"/>
  <c r="AA95" i="8"/>
  <c r="AR69" i="8"/>
  <c r="BC69" i="8" s="1"/>
  <c r="AA69" i="8"/>
  <c r="AR108" i="8"/>
  <c r="BC108" i="8" s="1"/>
  <c r="AA108" i="8"/>
  <c r="AR57" i="8"/>
  <c r="BC57" i="8" s="1"/>
  <c r="AA57" i="8"/>
  <c r="AR51" i="8"/>
  <c r="BC51" i="8" s="1"/>
  <c r="AA51" i="8"/>
  <c r="AR72" i="8"/>
  <c r="BC72" i="8" s="1"/>
  <c r="AA72" i="8"/>
  <c r="AR52" i="8"/>
  <c r="BC52" i="8" s="1"/>
  <c r="AA52" i="8"/>
  <c r="AR89" i="8"/>
  <c r="BC89" i="8" s="1"/>
  <c r="AA89" i="8"/>
  <c r="AR97" i="8"/>
  <c r="BC97" i="8" s="1"/>
  <c r="AA97" i="8"/>
  <c r="AR86" i="8"/>
  <c r="BC86" i="8" s="1"/>
  <c r="AA86" i="8"/>
  <c r="AR60" i="8"/>
  <c r="BC60" i="8" s="1"/>
  <c r="AA60" i="8"/>
  <c r="AR107" i="8"/>
  <c r="BC107" i="8" s="1"/>
  <c r="AA107" i="8"/>
  <c r="AR62" i="8"/>
  <c r="BC62" i="8" s="1"/>
  <c r="AA62" i="8"/>
  <c r="AR42" i="8"/>
  <c r="BC42" i="8" s="1"/>
  <c r="AA42" i="8"/>
  <c r="AR64" i="8"/>
  <c r="BC64" i="8" s="1"/>
  <c r="AA64" i="8"/>
  <c r="AR38" i="8"/>
  <c r="BC38" i="8" s="1"/>
  <c r="AA38" i="8"/>
  <c r="AR104" i="8"/>
  <c r="BC104" i="8" s="1"/>
  <c r="AA104" i="8"/>
  <c r="AR82" i="8"/>
  <c r="BC82" i="8" s="1"/>
  <c r="AA82" i="8"/>
  <c r="AR55" i="8"/>
  <c r="BC55" i="8" s="1"/>
  <c r="AA55" i="8"/>
  <c r="AR29" i="8"/>
  <c r="BC29" i="8" s="1"/>
  <c r="AA29" i="8"/>
  <c r="AR45" i="8"/>
  <c r="BC45" i="8" s="1"/>
  <c r="AA45" i="8"/>
  <c r="AR81" i="8"/>
  <c r="BC81" i="8" s="1"/>
  <c r="AA81" i="8"/>
  <c r="AR73" i="8"/>
  <c r="BC73" i="8" s="1"/>
  <c r="AA73" i="8"/>
  <c r="AR103" i="8"/>
  <c r="BC103" i="8" s="1"/>
  <c r="AA103" i="8"/>
  <c r="AR35" i="8"/>
  <c r="BC35" i="8" s="1"/>
  <c r="AA35" i="8"/>
  <c r="AR84" i="8"/>
  <c r="BC84" i="8" s="1"/>
  <c r="AA84" i="8"/>
  <c r="AR85" i="8"/>
  <c r="BC85" i="8" s="1"/>
  <c r="AA85" i="8"/>
  <c r="AR106" i="8"/>
  <c r="BC106" i="8" s="1"/>
  <c r="AA106" i="8"/>
  <c r="AR105" i="8"/>
  <c r="BC105" i="8" s="1"/>
  <c r="AA105" i="8"/>
  <c r="AR92" i="8"/>
  <c r="BC92" i="8" s="1"/>
  <c r="AA92" i="8"/>
  <c r="AR76" i="8"/>
  <c r="BC76" i="8" s="1"/>
  <c r="AA76" i="8"/>
  <c r="AR99" i="8"/>
  <c r="BC99" i="8" s="1"/>
  <c r="AA99" i="8"/>
  <c r="AR83" i="8"/>
  <c r="BC83" i="8" s="1"/>
  <c r="AA83" i="8"/>
  <c r="AR54" i="8"/>
  <c r="BC54" i="8" s="1"/>
  <c r="AA54" i="8"/>
  <c r="AR37" i="8"/>
  <c r="BC37" i="8" s="1"/>
  <c r="AA37" i="8"/>
  <c r="AR75" i="8"/>
  <c r="BC75" i="8" s="1"/>
  <c r="AA75" i="8"/>
  <c r="AR49" i="8"/>
  <c r="BC49" i="8" s="1"/>
  <c r="AA49" i="8"/>
  <c r="AR98" i="8"/>
  <c r="BC98" i="8" s="1"/>
  <c r="AA98" i="8"/>
  <c r="AR56" i="8"/>
  <c r="BC56" i="8" s="1"/>
  <c r="AA56" i="8"/>
  <c r="AR30" i="8"/>
  <c r="BC30" i="8" s="1"/>
  <c r="AA30" i="8"/>
  <c r="AR28" i="8"/>
  <c r="BC28" i="8" s="1"/>
  <c r="AA28" i="8"/>
  <c r="AR41" i="8"/>
  <c r="BC41" i="8" s="1"/>
  <c r="AA41" i="8"/>
  <c r="AR88" i="8"/>
  <c r="BC88" i="8" s="1"/>
  <c r="AA88" i="8"/>
  <c r="AR43" i="8"/>
  <c r="BC43" i="8" s="1"/>
  <c r="AA43" i="8"/>
  <c r="AR94" i="8"/>
  <c r="BC94" i="8" s="1"/>
  <c r="AA94" i="8"/>
  <c r="AR96" i="8"/>
  <c r="BC96" i="8" s="1"/>
  <c r="AA96" i="8"/>
  <c r="AR46" i="8"/>
  <c r="BC46" i="8" s="1"/>
  <c r="AA46" i="8"/>
  <c r="AR80" i="8"/>
  <c r="BC80" i="8" s="1"/>
  <c r="AA80" i="8"/>
  <c r="AR78" i="8"/>
  <c r="BC78" i="8" s="1"/>
  <c r="AA78" i="8"/>
  <c r="AR47" i="8"/>
  <c r="BC47" i="8" s="1"/>
  <c r="AA47" i="8"/>
  <c r="AR100" i="8"/>
  <c r="BC100" i="8" s="1"/>
  <c r="AA100" i="8"/>
  <c r="AR109" i="8"/>
  <c r="BC109" i="8" s="1"/>
  <c r="AA109" i="8"/>
  <c r="AR31" i="8"/>
  <c r="BC31" i="8" s="1"/>
  <c r="AA31" i="8"/>
  <c r="AR58" i="8"/>
  <c r="BC58" i="8" s="1"/>
  <c r="AA58" i="8"/>
  <c r="AR59" i="8"/>
  <c r="BC59" i="8" s="1"/>
  <c r="AA59" i="8"/>
  <c r="AR39" i="8"/>
  <c r="BC39" i="8" s="1"/>
  <c r="AA39" i="8"/>
  <c r="BC19" i="8"/>
  <c r="BC15" i="8"/>
  <c r="BC23" i="8"/>
  <c r="BC22" i="8"/>
  <c r="BC14" i="8"/>
  <c r="BC20" i="8"/>
  <c r="X54" i="6" a="1"/>
  <c r="X54" i="6" s="1"/>
  <c r="AF53" i="6"/>
  <c r="AN53" i="6" s="1"/>
  <c r="BC17" i="8"/>
  <c r="BC21" i="8"/>
  <c r="BC16" i="8"/>
  <c r="DR7" i="5"/>
  <c r="DR9" i="5"/>
  <c r="DR3" i="5"/>
  <c r="DR5" i="5"/>
  <c r="DR8" i="5"/>
  <c r="AL53" i="6" l="1"/>
  <c r="AD53" i="6"/>
  <c r="AD53" i="15"/>
  <c r="AL53" i="15" s="1"/>
  <c r="EI33" i="5" a="1"/>
  <c r="EI33" i="5" s="1"/>
  <c r="EJ33" i="5" a="1"/>
  <c r="EJ33" i="5" s="1"/>
  <c r="EH33" i="5" a="1"/>
  <c r="EH33" i="5" s="1"/>
  <c r="EF33" i="5"/>
  <c r="EK33" i="5" a="1"/>
  <c r="EK33" i="5" s="1"/>
  <c r="EG33" i="5"/>
  <c r="AC34" i="5"/>
  <c r="AD33" i="5"/>
  <c r="AE33" i="5"/>
  <c r="AJ53" i="15"/>
  <c r="AK53" i="15"/>
  <c r="AB53" i="15"/>
  <c r="AC53" i="15"/>
  <c r="AS53" i="15"/>
  <c r="U54" i="15" a="1"/>
  <c r="U54" i="15" s="1"/>
  <c r="AK54" i="15" s="1"/>
  <c r="AU53" i="6"/>
  <c r="W54" i="6" a="1"/>
  <c r="W54" i="6" s="1"/>
  <c r="AV53" i="6"/>
  <c r="AM53" i="6"/>
  <c r="AE53" i="6"/>
  <c r="AH93" i="8"/>
  <c r="AY93" i="8" s="1"/>
  <c r="W93" i="8"/>
  <c r="W98" i="8"/>
  <c r="AH98" i="8"/>
  <c r="AY98" i="8" s="1"/>
  <c r="W76" i="8"/>
  <c r="AH76" i="8"/>
  <c r="AY76" i="8" s="1"/>
  <c r="AH72" i="8"/>
  <c r="AY72" i="8" s="1"/>
  <c r="W72" i="8"/>
  <c r="AH106" i="8"/>
  <c r="AY106" i="8" s="1"/>
  <c r="W106" i="8"/>
  <c r="AH20" i="8"/>
  <c r="AY20" i="8" s="1"/>
  <c r="W20" i="8"/>
  <c r="AH55" i="8"/>
  <c r="AY55" i="8" s="1"/>
  <c r="W55" i="8"/>
  <c r="AH32" i="8"/>
  <c r="AY32" i="8" s="1"/>
  <c r="W32" i="8"/>
  <c r="W66" i="8"/>
  <c r="AH66" i="8"/>
  <c r="AY66" i="8" s="1"/>
  <c r="AH70" i="8"/>
  <c r="AY70" i="8" s="1"/>
  <c r="W70" i="8"/>
  <c r="W33" i="8"/>
  <c r="AH33" i="8"/>
  <c r="AY33" i="8" s="1"/>
  <c r="W82" i="8"/>
  <c r="AH82" i="8"/>
  <c r="AY82" i="8" s="1"/>
  <c r="W38" i="8"/>
  <c r="AH38" i="8"/>
  <c r="AY38" i="8" s="1"/>
  <c r="W83" i="8"/>
  <c r="AH83" i="8"/>
  <c r="AY83" i="8" s="1"/>
  <c r="W23" i="8"/>
  <c r="AH23" i="8"/>
  <c r="AY23" i="8" s="1"/>
  <c r="W88" i="8"/>
  <c r="AH88" i="8"/>
  <c r="AY88" i="8" s="1"/>
  <c r="AH28" i="8"/>
  <c r="AY28" i="8" s="1"/>
  <c r="W28" i="8"/>
  <c r="AH95" i="8"/>
  <c r="AY95" i="8" s="1"/>
  <c r="W95" i="8"/>
  <c r="AH68" i="8"/>
  <c r="AY68" i="8" s="1"/>
  <c r="W68" i="8"/>
  <c r="AH41" i="8"/>
  <c r="AY41" i="8" s="1"/>
  <c r="W41" i="8"/>
  <c r="AH81" i="8"/>
  <c r="AY81" i="8" s="1"/>
  <c r="W81" i="8"/>
  <c r="AH35" i="8"/>
  <c r="AY35" i="8" s="1"/>
  <c r="W35" i="8"/>
  <c r="W87" i="8"/>
  <c r="AH87" i="8"/>
  <c r="AY87" i="8" s="1"/>
  <c r="W89" i="8"/>
  <c r="AH89" i="8"/>
  <c r="AY89" i="8" s="1"/>
  <c r="AH92" i="8"/>
  <c r="AY92" i="8" s="1"/>
  <c r="W92" i="8"/>
  <c r="W13" i="8"/>
  <c r="AH13" i="8"/>
  <c r="AY13" i="8" s="1"/>
  <c r="W69" i="8"/>
  <c r="AH69" i="8"/>
  <c r="AY69" i="8" s="1"/>
  <c r="AH60" i="8"/>
  <c r="AY60" i="8" s="1"/>
  <c r="W60" i="8"/>
  <c r="AH99" i="8"/>
  <c r="AY99" i="8" s="1"/>
  <c r="W99" i="8"/>
  <c r="W74" i="8"/>
  <c r="AH74" i="8"/>
  <c r="AY74" i="8" s="1"/>
  <c r="W107" i="8"/>
  <c r="AH107" i="8"/>
  <c r="AY107" i="8" s="1"/>
  <c r="W16" i="8"/>
  <c r="AH16" i="8"/>
  <c r="AY16" i="8" s="1"/>
  <c r="AH64" i="8"/>
  <c r="AY64" i="8" s="1"/>
  <c r="W64" i="8"/>
  <c r="W61" i="8"/>
  <c r="AH61" i="8"/>
  <c r="AY61" i="8" s="1"/>
  <c r="AH67" i="8"/>
  <c r="AY67" i="8" s="1"/>
  <c r="W67" i="8"/>
  <c r="W48" i="8"/>
  <c r="AH48" i="8"/>
  <c r="AY48" i="8" s="1"/>
  <c r="W15" i="8"/>
  <c r="AH15" i="8"/>
  <c r="AY15" i="8" s="1"/>
  <c r="AH14" i="8"/>
  <c r="AY14" i="8" s="1"/>
  <c r="W14" i="8"/>
  <c r="AH18" i="8"/>
  <c r="AY18" i="8" s="1"/>
  <c r="W18" i="8"/>
  <c r="AH44" i="8"/>
  <c r="AY44" i="8" s="1"/>
  <c r="W44" i="8"/>
  <c r="W49" i="8"/>
  <c r="AH49" i="8"/>
  <c r="AY49" i="8" s="1"/>
  <c r="W40" i="8"/>
  <c r="AH40" i="8"/>
  <c r="AY40" i="8" s="1"/>
  <c r="AH43" i="8"/>
  <c r="AY43" i="8" s="1"/>
  <c r="W43" i="8"/>
  <c r="W101" i="8"/>
  <c r="AH101" i="8"/>
  <c r="AY101" i="8" s="1"/>
  <c r="W10" i="8"/>
  <c r="AH10" i="8"/>
  <c r="AY10" i="8" s="1"/>
  <c r="W53" i="8"/>
  <c r="AH53" i="8"/>
  <c r="AY53" i="8" s="1"/>
  <c r="W31" i="8"/>
  <c r="AH31" i="8"/>
  <c r="AY31" i="8" s="1"/>
  <c r="AH52" i="8"/>
  <c r="AY52" i="8" s="1"/>
  <c r="W52" i="8"/>
  <c r="W27" i="8"/>
  <c r="AH27" i="8"/>
  <c r="AY27" i="8" s="1"/>
  <c r="W65" i="8"/>
  <c r="AH65" i="8"/>
  <c r="AY65" i="8" s="1"/>
  <c r="W46" i="8"/>
  <c r="AH46" i="8"/>
  <c r="AY46" i="8" s="1"/>
  <c r="AH17" i="8"/>
  <c r="AY17" i="8" s="1"/>
  <c r="W17" i="8"/>
  <c r="W24" i="8"/>
  <c r="AH24" i="8"/>
  <c r="AY24" i="8" s="1"/>
  <c r="W78" i="8"/>
  <c r="AH78" i="8"/>
  <c r="AY78" i="8" s="1"/>
  <c r="W84" i="8"/>
  <c r="AH84" i="8"/>
  <c r="AY84" i="8" s="1"/>
  <c r="AH42" i="8"/>
  <c r="AY42" i="8" s="1"/>
  <c r="W42" i="8"/>
  <c r="AH103" i="8"/>
  <c r="AY103" i="8" s="1"/>
  <c r="W103" i="8"/>
  <c r="AH71" i="8"/>
  <c r="AY71" i="8" s="1"/>
  <c r="W71" i="8"/>
  <c r="W19" i="8"/>
  <c r="AH19" i="8"/>
  <c r="AY19" i="8" s="1"/>
  <c r="W75" i="8"/>
  <c r="AH75" i="8"/>
  <c r="AY75" i="8" s="1"/>
  <c r="W12" i="8"/>
  <c r="AH12" i="8"/>
  <c r="AY12" i="8" s="1"/>
  <c r="AH97" i="8"/>
  <c r="AY97" i="8" s="1"/>
  <c r="W97" i="8"/>
  <c r="AH102" i="8"/>
  <c r="AY102" i="8" s="1"/>
  <c r="W102" i="8"/>
  <c r="W26" i="8"/>
  <c r="AH26" i="8"/>
  <c r="AY26" i="8" s="1"/>
  <c r="W57" i="8"/>
  <c r="AH57" i="8"/>
  <c r="AY57" i="8" s="1"/>
  <c r="AH21" i="8"/>
  <c r="AY21" i="8" s="1"/>
  <c r="W21" i="8"/>
  <c r="AH85" i="8"/>
  <c r="AY85" i="8" s="1"/>
  <c r="W85" i="8"/>
  <c r="AH96" i="8"/>
  <c r="AY96" i="8" s="1"/>
  <c r="W96" i="8"/>
  <c r="AH73" i="8"/>
  <c r="AY73" i="8" s="1"/>
  <c r="W73" i="8"/>
  <c r="W100" i="8"/>
  <c r="AH100" i="8"/>
  <c r="AY100" i="8" s="1"/>
  <c r="W34" i="8"/>
  <c r="AH34" i="8"/>
  <c r="AY34" i="8" s="1"/>
  <c r="W62" i="8"/>
  <c r="AH62" i="8"/>
  <c r="AY62" i="8" s="1"/>
  <c r="AH91" i="8"/>
  <c r="AY91" i="8" s="1"/>
  <c r="W91" i="8"/>
  <c r="W29" i="8"/>
  <c r="AH29" i="8"/>
  <c r="AY29" i="8" s="1"/>
  <c r="W50" i="8"/>
  <c r="AH50" i="8"/>
  <c r="AY50" i="8" s="1"/>
  <c r="W109" i="8"/>
  <c r="AH109" i="8"/>
  <c r="AY109" i="8" s="1"/>
  <c r="AH105" i="8"/>
  <c r="AY105" i="8" s="1"/>
  <c r="W105" i="8"/>
  <c r="AH56" i="8"/>
  <c r="AY56" i="8" s="1"/>
  <c r="W56" i="8"/>
  <c r="AH54" i="8"/>
  <c r="AY54" i="8" s="1"/>
  <c r="W54" i="8"/>
  <c r="W25" i="8"/>
  <c r="AH25" i="8"/>
  <c r="AY25" i="8" s="1"/>
  <c r="AH11" i="8"/>
  <c r="AY11" i="8" s="1"/>
  <c r="W11" i="8"/>
  <c r="W51" i="8"/>
  <c r="AH51" i="8"/>
  <c r="AY51" i="8" s="1"/>
  <c r="AH59" i="8"/>
  <c r="AY59" i="8" s="1"/>
  <c r="W59" i="8"/>
  <c r="W108" i="8"/>
  <c r="AH108" i="8"/>
  <c r="AY108" i="8" s="1"/>
  <c r="W22" i="8"/>
  <c r="AH22" i="8"/>
  <c r="AY22" i="8" s="1"/>
  <c r="W45" i="8"/>
  <c r="AH45" i="8"/>
  <c r="AY45" i="8" s="1"/>
  <c r="W80" i="8"/>
  <c r="AH80" i="8"/>
  <c r="AY80" i="8" s="1"/>
  <c r="AH94" i="8"/>
  <c r="AY94" i="8" s="1"/>
  <c r="W94" i="8"/>
  <c r="AH47" i="8"/>
  <c r="AY47" i="8" s="1"/>
  <c r="W47" i="8"/>
  <c r="AH36" i="8"/>
  <c r="AY36" i="8" s="1"/>
  <c r="W36" i="8"/>
  <c r="AH30" i="8"/>
  <c r="AY30" i="8" s="1"/>
  <c r="W30" i="8"/>
  <c r="W37" i="8"/>
  <c r="AH37" i="8"/>
  <c r="AY37" i="8" s="1"/>
  <c r="AH39" i="8"/>
  <c r="AY39" i="8" s="1"/>
  <c r="W39" i="8"/>
  <c r="AH104" i="8"/>
  <c r="AY104" i="8" s="1"/>
  <c r="W104" i="8"/>
  <c r="AH77" i="8"/>
  <c r="AY77" i="8" s="1"/>
  <c r="W77" i="8"/>
  <c r="AH63" i="8"/>
  <c r="AY63" i="8" s="1"/>
  <c r="W63" i="8"/>
  <c r="W79" i="8"/>
  <c r="AH79" i="8"/>
  <c r="AY79" i="8" s="1"/>
  <c r="AH86" i="8"/>
  <c r="AY86" i="8" s="1"/>
  <c r="W86" i="8"/>
  <c r="W110" i="8"/>
  <c r="AH110" i="8"/>
  <c r="AY110" i="8" s="1"/>
  <c r="W58" i="8"/>
  <c r="AH58" i="8"/>
  <c r="AY58" i="8" s="1"/>
  <c r="W90" i="8"/>
  <c r="AH90" i="8"/>
  <c r="AY90" i="8" s="1"/>
  <c r="X55" i="6" a="1"/>
  <c r="X55" i="6" s="1"/>
  <c r="AF54" i="6"/>
  <c r="AN54" i="6" s="1"/>
  <c r="V55" i="15" a="1"/>
  <c r="V55" i="15" s="1"/>
  <c r="AD54" i="15"/>
  <c r="AL54" i="15" s="1"/>
  <c r="AU54" i="6" l="1"/>
  <c r="AD54" i="6"/>
  <c r="EJ34" i="5" a="1"/>
  <c r="EJ34" i="5" s="1"/>
  <c r="EI34" i="5" a="1"/>
  <c r="EI34" i="5" s="1"/>
  <c r="EF34" i="5"/>
  <c r="EH34" i="5" a="1"/>
  <c r="EH34" i="5" s="1"/>
  <c r="EK34" i="5" a="1"/>
  <c r="EK34" i="5" s="1"/>
  <c r="EG34" i="5"/>
  <c r="AC35" i="5"/>
  <c r="AD34" i="5"/>
  <c r="AE34" i="5"/>
  <c r="AM54" i="6"/>
  <c r="AJ54" i="15"/>
  <c r="AC54" i="15"/>
  <c r="AS54" i="15"/>
  <c r="U55" i="15" a="1"/>
  <c r="U55" i="15" s="1"/>
  <c r="AS55" i="15" s="1"/>
  <c r="AT54" i="15"/>
  <c r="AB54" i="15"/>
  <c r="AV54" i="6"/>
  <c r="W55" i="6" a="1"/>
  <c r="W55" i="6" s="1"/>
  <c r="AE54" i="6"/>
  <c r="AL54" i="6"/>
  <c r="V56" i="15" a="1"/>
  <c r="V56" i="15" s="1"/>
  <c r="AD55" i="15"/>
  <c r="AL55" i="15" s="1"/>
  <c r="X56" i="6" a="1"/>
  <c r="X56" i="6" s="1"/>
  <c r="AF55" i="6"/>
  <c r="AN55" i="6" s="1"/>
  <c r="AM55" i="6" l="1"/>
  <c r="AD55" i="6"/>
  <c r="EH35" i="5" a="1"/>
  <c r="EH35" i="5" s="1"/>
  <c r="EF35" i="5"/>
  <c r="EJ35" i="5" a="1"/>
  <c r="EJ35" i="5" s="1"/>
  <c r="EI35" i="5" a="1"/>
  <c r="EI35" i="5" s="1"/>
  <c r="EK35" i="5" a="1"/>
  <c r="EK35" i="5" s="1"/>
  <c r="EG35" i="5"/>
  <c r="AC36" i="5"/>
  <c r="AD35" i="5"/>
  <c r="AE35" i="5"/>
  <c r="AK55" i="15"/>
  <c r="AT55" i="15"/>
  <c r="U56" i="15" a="1"/>
  <c r="U56" i="15" s="1"/>
  <c r="AT56" i="15" s="1"/>
  <c r="AB55" i="15"/>
  <c r="AC55" i="15"/>
  <c r="AJ55" i="15"/>
  <c r="AL55" i="6"/>
  <c r="AU55" i="6"/>
  <c r="AE55" i="6"/>
  <c r="AV55" i="6"/>
  <c r="W56" i="6" a="1"/>
  <c r="W56" i="6" s="1"/>
  <c r="X57" i="6" a="1"/>
  <c r="X57" i="6" s="1"/>
  <c r="AF56" i="6"/>
  <c r="AN56" i="6" s="1"/>
  <c r="V57" i="15" a="1"/>
  <c r="V57" i="15" s="1"/>
  <c r="AD56" i="15"/>
  <c r="AL56" i="15" s="1"/>
  <c r="AU56" i="6" l="1"/>
  <c r="AD56" i="6"/>
  <c r="AJ56" i="15"/>
  <c r="EI36" i="5" a="1"/>
  <c r="EI36" i="5" s="1"/>
  <c r="EH36" i="5" a="1"/>
  <c r="EH36" i="5" s="1"/>
  <c r="EJ36" i="5" a="1"/>
  <c r="EJ36" i="5" s="1"/>
  <c r="EF36" i="5"/>
  <c r="EK36" i="5" a="1"/>
  <c r="EK36" i="5" s="1"/>
  <c r="EG36" i="5"/>
  <c r="AC37" i="5"/>
  <c r="AD36" i="5"/>
  <c r="AE36" i="5"/>
  <c r="AK56" i="15"/>
  <c r="AM56" i="6"/>
  <c r="AB56" i="15"/>
  <c r="AC56" i="15"/>
  <c r="AS56" i="15"/>
  <c r="U57" i="15" a="1"/>
  <c r="U57" i="15" s="1"/>
  <c r="AS57" i="15" s="1"/>
  <c r="W57" i="6" a="1"/>
  <c r="W57" i="6" s="1"/>
  <c r="AV56" i="6"/>
  <c r="AE56" i="6"/>
  <c r="AL56" i="6"/>
  <c r="V58" i="15" a="1"/>
  <c r="V58" i="15" s="1"/>
  <c r="AD57" i="15"/>
  <c r="AL57" i="15" s="1"/>
  <c r="X58" i="6" a="1"/>
  <c r="X58" i="6" s="1"/>
  <c r="AF57" i="6"/>
  <c r="AN57" i="6" s="1"/>
  <c r="AM57" i="6" l="1"/>
  <c r="AD57" i="6"/>
  <c r="AK57" i="15"/>
  <c r="EH37" i="5" a="1"/>
  <c r="EH37" i="5" s="1"/>
  <c r="EF37" i="5"/>
  <c r="EJ37" i="5" a="1"/>
  <c r="EJ37" i="5" s="1"/>
  <c r="EI37" i="5" a="1"/>
  <c r="EI37" i="5" s="1"/>
  <c r="EK37" i="5" a="1"/>
  <c r="EK37" i="5" s="1"/>
  <c r="EG37" i="5"/>
  <c r="AC38" i="5"/>
  <c r="AD37" i="5"/>
  <c r="AE37" i="5"/>
  <c r="AT57" i="15"/>
  <c r="U58" i="15" a="1"/>
  <c r="U58" i="15" s="1"/>
  <c r="AT58" i="15" s="1"/>
  <c r="AB57" i="15"/>
  <c r="AC57" i="15"/>
  <c r="AJ57" i="15"/>
  <c r="AE57" i="6"/>
  <c r="AV57" i="6"/>
  <c r="AL57" i="6"/>
  <c r="W58" i="6" a="1"/>
  <c r="W58" i="6" s="1"/>
  <c r="AU57" i="6"/>
  <c r="X59" i="6" a="1"/>
  <c r="X59" i="6" s="1"/>
  <c r="AF58" i="6"/>
  <c r="AN58" i="6" s="1"/>
  <c r="V59" i="15" a="1"/>
  <c r="V59" i="15" s="1"/>
  <c r="AD58" i="15"/>
  <c r="AL58" i="15" s="1"/>
  <c r="AV58" i="6" l="1"/>
  <c r="AD58" i="6"/>
  <c r="EH38" i="5" a="1"/>
  <c r="EH38" i="5" s="1"/>
  <c r="EI38" i="5" a="1"/>
  <c r="EI38" i="5" s="1"/>
  <c r="EJ38" i="5" a="1"/>
  <c r="EJ38" i="5" s="1"/>
  <c r="EF38" i="5"/>
  <c r="EK38" i="5" a="1"/>
  <c r="EK38" i="5" s="1"/>
  <c r="EG38" i="5"/>
  <c r="AC39" i="5"/>
  <c r="AD38" i="5"/>
  <c r="AE38" i="5"/>
  <c r="AJ58" i="15"/>
  <c r="AK58" i="15"/>
  <c r="AB58" i="15"/>
  <c r="AC58" i="15"/>
  <c r="AL58" i="6"/>
  <c r="AS58" i="15"/>
  <c r="U59" i="15" a="1"/>
  <c r="U59" i="15" s="1"/>
  <c r="AT59" i="15" s="1"/>
  <c r="AU58" i="6"/>
  <c r="W59" i="6" a="1"/>
  <c r="W59" i="6" s="1"/>
  <c r="AE58" i="6"/>
  <c r="AM58" i="6"/>
  <c r="V60" i="15" a="1"/>
  <c r="V60" i="15" s="1"/>
  <c r="AD59" i="15"/>
  <c r="AL59" i="15" s="1"/>
  <c r="X60" i="6" a="1"/>
  <c r="X60" i="6" s="1"/>
  <c r="AF59" i="6"/>
  <c r="AN59" i="6" s="1"/>
  <c r="AV59" i="6" l="1"/>
  <c r="AD59" i="6"/>
  <c r="AJ59" i="15"/>
  <c r="EI39" i="5" a="1"/>
  <c r="EI39" i="5" s="1"/>
  <c r="EJ39" i="5" a="1"/>
  <c r="EJ39" i="5" s="1"/>
  <c r="EF39" i="5"/>
  <c r="EH39" i="5" a="1"/>
  <c r="EH39" i="5" s="1"/>
  <c r="EK39" i="5" a="1"/>
  <c r="EK39" i="5" s="1"/>
  <c r="EG39" i="5"/>
  <c r="AC40" i="5"/>
  <c r="AD39" i="5"/>
  <c r="AE39" i="5"/>
  <c r="AK59" i="15"/>
  <c r="AB59" i="15"/>
  <c r="AC59" i="15"/>
  <c r="AS59" i="15"/>
  <c r="U60" i="15" a="1"/>
  <c r="U60" i="15" s="1"/>
  <c r="AJ60" i="15" s="1"/>
  <c r="AE59" i="6"/>
  <c r="AL59" i="6"/>
  <c r="AM59" i="6"/>
  <c r="W60" i="6" a="1"/>
  <c r="W60" i="6" s="1"/>
  <c r="AU59" i="6"/>
  <c r="X61" i="6" a="1"/>
  <c r="X61" i="6" s="1"/>
  <c r="AF60" i="6"/>
  <c r="AN60" i="6" s="1"/>
  <c r="V61" i="15" a="1"/>
  <c r="V61" i="15" s="1"/>
  <c r="AD60" i="15"/>
  <c r="AL60" i="15" s="1"/>
  <c r="AV60" i="6" l="1"/>
  <c r="AD60" i="6"/>
  <c r="EJ40" i="5" a="1"/>
  <c r="EJ40" i="5" s="1"/>
  <c r="EH40" i="5" a="1"/>
  <c r="EH40" i="5" s="1"/>
  <c r="EI40" i="5" a="1"/>
  <c r="EI40" i="5" s="1"/>
  <c r="EF40" i="5"/>
  <c r="EK40" i="5" a="1"/>
  <c r="EK40" i="5" s="1"/>
  <c r="EG40" i="5"/>
  <c r="AC41" i="5"/>
  <c r="AD40" i="5"/>
  <c r="AE40" i="5"/>
  <c r="AL60" i="6"/>
  <c r="U61" i="15" a="1"/>
  <c r="U61" i="15" s="1"/>
  <c r="AK61" i="15" s="1"/>
  <c r="AS60" i="15"/>
  <c r="AT60" i="15"/>
  <c r="AB60" i="15"/>
  <c r="AK60" i="15"/>
  <c r="AC60" i="15"/>
  <c r="AU60" i="6"/>
  <c r="W61" i="6" a="1"/>
  <c r="W61" i="6" s="1"/>
  <c r="AE60" i="6"/>
  <c r="AM60" i="6"/>
  <c r="V62" i="15" a="1"/>
  <c r="V62" i="15" s="1"/>
  <c r="AD61" i="15"/>
  <c r="AL61" i="15" s="1"/>
  <c r="X62" i="6" a="1"/>
  <c r="X62" i="6" s="1"/>
  <c r="AF61" i="6"/>
  <c r="AN61" i="6" s="1"/>
  <c r="AU61" i="6" l="1"/>
  <c r="AD61" i="6"/>
  <c r="EF41" i="5"/>
  <c r="EH41" i="5" a="1"/>
  <c r="EH41" i="5" s="1"/>
  <c r="EI41" i="5" a="1"/>
  <c r="EI41" i="5" s="1"/>
  <c r="EJ41" i="5" a="1"/>
  <c r="EJ41" i="5" s="1"/>
  <c r="EK41" i="5" a="1"/>
  <c r="EK41" i="5" s="1"/>
  <c r="EG41" i="5"/>
  <c r="AC42" i="5"/>
  <c r="AD41" i="5"/>
  <c r="AE41" i="5"/>
  <c r="AJ61" i="15"/>
  <c r="AC61" i="15"/>
  <c r="AS61" i="15"/>
  <c r="U62" i="15" a="1"/>
  <c r="U62" i="15" s="1"/>
  <c r="AJ62" i="15" s="1"/>
  <c r="AT61" i="15"/>
  <c r="AB61" i="15"/>
  <c r="AM61" i="6"/>
  <c r="AV61" i="6"/>
  <c r="W62" i="6" a="1"/>
  <c r="W62" i="6" s="1"/>
  <c r="AE61" i="6"/>
  <c r="AL61" i="6"/>
  <c r="X63" i="6" a="1"/>
  <c r="X63" i="6" s="1"/>
  <c r="AF62" i="6"/>
  <c r="AN62" i="6" s="1"/>
  <c r="V63" i="15" a="1"/>
  <c r="V63" i="15" s="1"/>
  <c r="AD62" i="15"/>
  <c r="AL62" i="15" s="1"/>
  <c r="AL62" i="6" l="1"/>
  <c r="AD62" i="6"/>
  <c r="EH42" i="5" a="1"/>
  <c r="EH42" i="5" s="1"/>
  <c r="EF42" i="5"/>
  <c r="EI42" i="5" a="1"/>
  <c r="EI42" i="5" s="1"/>
  <c r="EJ42" i="5" a="1"/>
  <c r="EJ42" i="5" s="1"/>
  <c r="EK42" i="5" a="1"/>
  <c r="EK42" i="5" s="1"/>
  <c r="EG42" i="5"/>
  <c r="AC43" i="5"/>
  <c r="AD42" i="5"/>
  <c r="AE42" i="5"/>
  <c r="U63" i="15" a="1"/>
  <c r="U63" i="15" s="1"/>
  <c r="AJ63" i="15" s="1"/>
  <c r="AK62" i="15"/>
  <c r="AT62" i="15"/>
  <c r="AS62" i="15"/>
  <c r="AB62" i="15"/>
  <c r="AC62" i="15"/>
  <c r="AU62" i="6"/>
  <c r="AM62" i="6"/>
  <c r="AV62" i="6"/>
  <c r="W63" i="6" a="1"/>
  <c r="W63" i="6" s="1"/>
  <c r="AE62" i="6"/>
  <c r="V64" i="15" a="1"/>
  <c r="V64" i="15" s="1"/>
  <c r="AD63" i="15"/>
  <c r="AL63" i="15" s="1"/>
  <c r="X64" i="6" a="1"/>
  <c r="X64" i="6" s="1"/>
  <c r="AF63" i="6"/>
  <c r="AN63" i="6" s="1"/>
  <c r="AV63" i="6" l="1"/>
  <c r="AD63" i="6"/>
  <c r="AT63" i="15"/>
  <c r="EJ43" i="5" a="1"/>
  <c r="EJ43" i="5" s="1"/>
  <c r="EF43" i="5"/>
  <c r="EH43" i="5" a="1"/>
  <c r="EH43" i="5" s="1"/>
  <c r="EI43" i="5" a="1"/>
  <c r="EI43" i="5" s="1"/>
  <c r="EK43" i="5" a="1"/>
  <c r="EK43" i="5" s="1"/>
  <c r="EG43" i="5"/>
  <c r="AC44" i="5"/>
  <c r="AD43" i="5"/>
  <c r="AE43" i="5"/>
  <c r="AB63" i="15"/>
  <c r="AK63" i="15"/>
  <c r="AL63" i="6"/>
  <c r="U64" i="15" a="1"/>
  <c r="U64" i="15" s="1"/>
  <c r="AS64" i="15" s="1"/>
  <c r="AS63" i="15"/>
  <c r="AC63" i="15"/>
  <c r="AE63" i="6"/>
  <c r="AM63" i="6"/>
  <c r="W64" i="6" a="1"/>
  <c r="W64" i="6" s="1"/>
  <c r="AU63" i="6"/>
  <c r="X65" i="6" a="1"/>
  <c r="X65" i="6" s="1"/>
  <c r="AF64" i="6"/>
  <c r="AN64" i="6" s="1"/>
  <c r="V65" i="15" a="1"/>
  <c r="V65" i="15" s="1"/>
  <c r="AD64" i="15"/>
  <c r="AL64" i="15" s="1"/>
  <c r="AM64" i="6" l="1"/>
  <c r="AD64" i="6"/>
  <c r="AK64" i="15"/>
  <c r="EJ44" i="5" a="1"/>
  <c r="EJ44" i="5" s="1"/>
  <c r="EI44" i="5" a="1"/>
  <c r="EI44" i="5" s="1"/>
  <c r="EF44" i="5"/>
  <c r="EH44" i="5" a="1"/>
  <c r="EH44" i="5" s="1"/>
  <c r="EK44" i="5" a="1"/>
  <c r="EK44" i="5" s="1"/>
  <c r="EG44" i="5"/>
  <c r="AC45" i="5"/>
  <c r="AD44" i="5"/>
  <c r="AE44" i="5"/>
  <c r="U65" i="15" a="1"/>
  <c r="U65" i="15" s="1"/>
  <c r="AJ65" i="15" s="1"/>
  <c r="AT64" i="15"/>
  <c r="AB64" i="15"/>
  <c r="AJ64" i="15"/>
  <c r="AC64" i="15"/>
  <c r="AE64" i="6"/>
  <c r="W65" i="6" a="1"/>
  <c r="W65" i="6" s="1"/>
  <c r="AV64" i="6"/>
  <c r="AU64" i="6"/>
  <c r="AL64" i="6"/>
  <c r="V66" i="15" a="1"/>
  <c r="V66" i="15" s="1"/>
  <c r="AD65" i="15"/>
  <c r="AL65" i="15" s="1"/>
  <c r="X66" i="6" a="1"/>
  <c r="X66" i="6" s="1"/>
  <c r="AF65" i="6"/>
  <c r="AN65" i="6" s="1"/>
  <c r="AL65" i="6" l="1"/>
  <c r="AD65" i="6"/>
  <c r="EI45" i="5" a="1"/>
  <c r="EI45" i="5" s="1"/>
  <c r="EJ45" i="5" a="1"/>
  <c r="EJ45" i="5" s="1"/>
  <c r="EH45" i="5" a="1"/>
  <c r="EH45" i="5" s="1"/>
  <c r="EF45" i="5"/>
  <c r="EK45" i="5" a="1"/>
  <c r="EK45" i="5" s="1"/>
  <c r="EG45" i="5"/>
  <c r="AC46" i="5"/>
  <c r="AD45" i="5"/>
  <c r="AE45" i="5"/>
  <c r="U66" i="15" a="1"/>
  <c r="U66" i="15" s="1"/>
  <c r="AT66" i="15" s="1"/>
  <c r="AS65" i="15"/>
  <c r="AT65" i="15"/>
  <c r="AB65" i="15"/>
  <c r="AK65" i="15"/>
  <c r="AC65" i="15"/>
  <c r="AM65" i="6"/>
  <c r="AV65" i="6"/>
  <c r="W66" i="6" a="1"/>
  <c r="W66" i="6" s="1"/>
  <c r="AU65" i="6"/>
  <c r="AE65" i="6"/>
  <c r="X67" i="6" a="1"/>
  <c r="X67" i="6" s="1"/>
  <c r="AF66" i="6"/>
  <c r="AN66" i="6" s="1"/>
  <c r="V67" i="15" a="1"/>
  <c r="V67" i="15" s="1"/>
  <c r="AD66" i="15"/>
  <c r="AL66" i="15" s="1"/>
  <c r="AV66" i="6" l="1"/>
  <c r="AD66" i="6"/>
  <c r="AJ66" i="15"/>
  <c r="AK66" i="15"/>
  <c r="AB66" i="15"/>
  <c r="AC66" i="15"/>
  <c r="AL66" i="6"/>
  <c r="AS66" i="15"/>
  <c r="U67" i="15" a="1"/>
  <c r="U67" i="15" s="1"/>
  <c r="AJ67" i="15" s="1"/>
  <c r="EH46" i="5" a="1"/>
  <c r="EH46" i="5" s="1"/>
  <c r="EI46" i="5" a="1"/>
  <c r="EI46" i="5" s="1"/>
  <c r="EF46" i="5"/>
  <c r="EJ46" i="5" a="1"/>
  <c r="EJ46" i="5" s="1"/>
  <c r="EK46" i="5" a="1"/>
  <c r="EK46" i="5" s="1"/>
  <c r="EG46" i="5"/>
  <c r="AC47" i="5"/>
  <c r="AD46" i="5"/>
  <c r="AE46" i="5"/>
  <c r="AU66" i="6"/>
  <c r="AE66" i="6"/>
  <c r="W67" i="6" a="1"/>
  <c r="W67" i="6" s="1"/>
  <c r="AM66" i="6"/>
  <c r="V68" i="15" a="1"/>
  <c r="V68" i="15" s="1"/>
  <c r="AD67" i="15"/>
  <c r="AL67" i="15" s="1"/>
  <c r="X68" i="6" a="1"/>
  <c r="X68" i="6" s="1"/>
  <c r="AF67" i="6"/>
  <c r="AN67" i="6" s="1"/>
  <c r="AL67" i="6" l="1"/>
  <c r="AD67" i="6"/>
  <c r="AS67" i="15"/>
  <c r="AT67" i="15"/>
  <c r="AC67" i="15"/>
  <c r="U68" i="15" a="1"/>
  <c r="U68" i="15" s="1"/>
  <c r="AT68" i="15" s="1"/>
  <c r="AB67" i="15"/>
  <c r="AK67" i="15"/>
  <c r="EJ47" i="5" a="1"/>
  <c r="EJ47" i="5" s="1"/>
  <c r="EF47" i="5"/>
  <c r="EI47" i="5" a="1"/>
  <c r="EI47" i="5" s="1"/>
  <c r="EH47" i="5" a="1"/>
  <c r="EH47" i="5" s="1"/>
  <c r="EK47" i="5" a="1"/>
  <c r="EK47" i="5" s="1"/>
  <c r="EG47" i="5"/>
  <c r="AC48" i="5"/>
  <c r="AD47" i="5"/>
  <c r="AE47" i="5"/>
  <c r="AU67" i="6"/>
  <c r="W68" i="6" a="1"/>
  <c r="W68" i="6" s="1"/>
  <c r="AV67" i="6"/>
  <c r="AE67" i="6"/>
  <c r="AM67" i="6"/>
  <c r="X69" i="6" a="1"/>
  <c r="X69" i="6" s="1"/>
  <c r="AF68" i="6"/>
  <c r="AN68" i="6" s="1"/>
  <c r="V69" i="15" a="1"/>
  <c r="V69" i="15" s="1"/>
  <c r="AD68" i="15"/>
  <c r="AL68" i="15" s="1"/>
  <c r="AL68" i="6" l="1"/>
  <c r="AD68" i="6"/>
  <c r="AJ68" i="15"/>
  <c r="AK68" i="15"/>
  <c r="AB68" i="15"/>
  <c r="AC68" i="15"/>
  <c r="AS68" i="15"/>
  <c r="U69" i="15" a="1"/>
  <c r="U69" i="15" s="1"/>
  <c r="AK69" i="15" s="1"/>
  <c r="EG48" i="5"/>
  <c r="EF48" i="5"/>
  <c r="EK48" i="5" a="1"/>
  <c r="EK48" i="5" s="1"/>
  <c r="EH48" i="5" a="1"/>
  <c r="EH48" i="5" s="1"/>
  <c r="EJ48" i="5" a="1"/>
  <c r="EJ48" i="5" s="1"/>
  <c r="EI48" i="5" a="1"/>
  <c r="EI48" i="5" s="1"/>
  <c r="AD48" i="5"/>
  <c r="AE48" i="5"/>
  <c r="AM68" i="6"/>
  <c r="AV68" i="6"/>
  <c r="W69" i="6" a="1"/>
  <c r="W69" i="6" s="1"/>
  <c r="AU68" i="6"/>
  <c r="AE68" i="6"/>
  <c r="V70" i="15" a="1"/>
  <c r="V70" i="15" s="1"/>
  <c r="AD69" i="15"/>
  <c r="AL69" i="15" s="1"/>
  <c r="X70" i="6" a="1"/>
  <c r="X70" i="6" s="1"/>
  <c r="AF69" i="6"/>
  <c r="AN69" i="6" s="1"/>
  <c r="AL69" i="6" l="1"/>
  <c r="AD69" i="6"/>
  <c r="AT69" i="15"/>
  <c r="U70" i="15" a="1"/>
  <c r="U70" i="15" s="1"/>
  <c r="AK70" i="15" s="1"/>
  <c r="AS69" i="15"/>
  <c r="AB69" i="15"/>
  <c r="AC69" i="15"/>
  <c r="AJ69" i="15"/>
  <c r="AM69" i="6"/>
  <c r="W70" i="6" a="1"/>
  <c r="W70" i="6" s="1"/>
  <c r="AV69" i="6"/>
  <c r="AU69" i="6"/>
  <c r="AE69" i="6"/>
  <c r="X71" i="6" a="1"/>
  <c r="X71" i="6" s="1"/>
  <c r="AF70" i="6"/>
  <c r="AN70" i="6" s="1"/>
  <c r="V71" i="15" a="1"/>
  <c r="V71" i="15" s="1"/>
  <c r="AD70" i="15"/>
  <c r="AL70" i="15" s="1"/>
  <c r="AV70" i="6" l="1"/>
  <c r="AD70" i="6"/>
  <c r="AL70" i="6"/>
  <c r="AJ70" i="15"/>
  <c r="AC70" i="15"/>
  <c r="AS70" i="15"/>
  <c r="U71" i="15" a="1"/>
  <c r="U71" i="15" s="1"/>
  <c r="AJ71" i="15" s="1"/>
  <c r="AT70" i="15"/>
  <c r="AB70" i="15"/>
  <c r="AE70" i="6"/>
  <c r="W71" i="6" a="1"/>
  <c r="W71" i="6" s="1"/>
  <c r="AU70" i="6"/>
  <c r="AM70" i="6"/>
  <c r="V72" i="15" a="1"/>
  <c r="V72" i="15" s="1"/>
  <c r="AD71" i="15"/>
  <c r="AL71" i="15" s="1"/>
  <c r="X72" i="6" a="1"/>
  <c r="X72" i="6" s="1"/>
  <c r="AF71" i="6"/>
  <c r="AN71" i="6" s="1"/>
  <c r="AL71" i="6" l="1"/>
  <c r="AD71" i="6"/>
  <c r="AB71" i="15"/>
  <c r="U72" i="15" a="1"/>
  <c r="U72" i="15" s="1"/>
  <c r="AK72" i="15" s="1"/>
  <c r="AS71" i="15"/>
  <c r="AT71" i="15"/>
  <c r="AK71" i="15"/>
  <c r="AC71" i="15"/>
  <c r="AM71" i="6"/>
  <c r="AE71" i="6"/>
  <c r="AV71" i="6"/>
  <c r="W72" i="6" a="1"/>
  <c r="W72" i="6" s="1"/>
  <c r="AU71" i="6"/>
  <c r="X73" i="6" a="1"/>
  <c r="X73" i="6" s="1"/>
  <c r="AF72" i="6"/>
  <c r="AN72" i="6" s="1"/>
  <c r="V73" i="15" a="1"/>
  <c r="V73" i="15" s="1"/>
  <c r="AD72" i="15"/>
  <c r="AL72" i="15" s="1"/>
  <c r="AU72" i="6" l="1"/>
  <c r="AD72" i="6"/>
  <c r="AM72" i="6"/>
  <c r="AC72" i="15"/>
  <c r="AJ72" i="15"/>
  <c r="AS72" i="15"/>
  <c r="U73" i="15" a="1"/>
  <c r="U73" i="15" s="1"/>
  <c r="AT73" i="15" s="1"/>
  <c r="AT72" i="15"/>
  <c r="AB72" i="15"/>
  <c r="AL72" i="6"/>
  <c r="AE72" i="6"/>
  <c r="AV72" i="6"/>
  <c r="W73" i="6" a="1"/>
  <c r="W73" i="6" s="1"/>
  <c r="V74" i="15" a="1"/>
  <c r="V74" i="15" s="1"/>
  <c r="AD73" i="15"/>
  <c r="AL73" i="15" s="1"/>
  <c r="X74" i="6" a="1"/>
  <c r="X74" i="6" s="1"/>
  <c r="AF73" i="6"/>
  <c r="AN73" i="6" s="1"/>
  <c r="AL73" i="6" l="1"/>
  <c r="AD73" i="6"/>
  <c r="AJ73" i="15"/>
  <c r="AK73" i="15"/>
  <c r="AB73" i="15"/>
  <c r="AC73" i="15"/>
  <c r="AS73" i="15"/>
  <c r="U74" i="15" a="1"/>
  <c r="U74" i="15" s="1"/>
  <c r="AJ74" i="15" s="1"/>
  <c r="AM73" i="6"/>
  <c r="AV73" i="6"/>
  <c r="W74" i="6" a="1"/>
  <c r="W74" i="6" s="1"/>
  <c r="AU73" i="6"/>
  <c r="AE73" i="6"/>
  <c r="X75" i="6" a="1"/>
  <c r="X75" i="6" s="1"/>
  <c r="AF74" i="6"/>
  <c r="AN74" i="6" s="1"/>
  <c r="V75" i="15" a="1"/>
  <c r="V75" i="15" s="1"/>
  <c r="AD74" i="15"/>
  <c r="AL74" i="15" s="1"/>
  <c r="AV74" i="6" l="1"/>
  <c r="AD74" i="6"/>
  <c r="AS74" i="15"/>
  <c r="AL74" i="6"/>
  <c r="U75" i="15" a="1"/>
  <c r="U75" i="15" s="1"/>
  <c r="AC75" i="15" s="1"/>
  <c r="AT74" i="15"/>
  <c r="AB74" i="15"/>
  <c r="AK74" i="15"/>
  <c r="AC74" i="15"/>
  <c r="AU74" i="6"/>
  <c r="W75" i="6" a="1"/>
  <c r="W75" i="6" s="1"/>
  <c r="AE74" i="6"/>
  <c r="AM74" i="6"/>
  <c r="V76" i="15" a="1"/>
  <c r="V76" i="15" s="1"/>
  <c r="AD75" i="15"/>
  <c r="AL75" i="15" s="1"/>
  <c r="X76" i="6" a="1"/>
  <c r="X76" i="6" s="1"/>
  <c r="AF75" i="6"/>
  <c r="AN75" i="6" s="1"/>
  <c r="AV75" i="6" l="1"/>
  <c r="AD75" i="6"/>
  <c r="AJ75" i="15"/>
  <c r="U76" i="15" a="1"/>
  <c r="U76" i="15" s="1"/>
  <c r="AJ76" i="15" s="1"/>
  <c r="AB75" i="15"/>
  <c r="AK75" i="15"/>
  <c r="AT75" i="15"/>
  <c r="AS75" i="15"/>
  <c r="AL75" i="6"/>
  <c r="AE75" i="6"/>
  <c r="AM75" i="6"/>
  <c r="W76" i="6" a="1"/>
  <c r="W76" i="6" s="1"/>
  <c r="AU75" i="6"/>
  <c r="X77" i="6" a="1"/>
  <c r="X77" i="6" s="1"/>
  <c r="AF76" i="6"/>
  <c r="AN76" i="6" s="1"/>
  <c r="V77" i="15" a="1"/>
  <c r="V77" i="15" s="1"/>
  <c r="AD76" i="15"/>
  <c r="AL76" i="15" s="1"/>
  <c r="AL76" i="6" l="1"/>
  <c r="AD76" i="6"/>
  <c r="U77" i="15" a="1"/>
  <c r="U77" i="15" s="1"/>
  <c r="AS77" i="15" s="1"/>
  <c r="AS76" i="15"/>
  <c r="AT76" i="15"/>
  <c r="AB76" i="15"/>
  <c r="AK76" i="15"/>
  <c r="AC76" i="15"/>
  <c r="AM76" i="6"/>
  <c r="AV76" i="6"/>
  <c r="W77" i="6" a="1"/>
  <c r="W77" i="6" s="1"/>
  <c r="AU76" i="6"/>
  <c r="AE76" i="6"/>
  <c r="V78" i="15" a="1"/>
  <c r="V78" i="15" s="1"/>
  <c r="AD77" i="15"/>
  <c r="AL77" i="15" s="1"/>
  <c r="X78" i="6" a="1"/>
  <c r="X78" i="6" s="1"/>
  <c r="AF77" i="6"/>
  <c r="AN77" i="6" s="1"/>
  <c r="AV77" i="6" l="1"/>
  <c r="AD77" i="6"/>
  <c r="U78" i="15" a="1"/>
  <c r="U78" i="15" s="1"/>
  <c r="AS78" i="15" s="1"/>
  <c r="AC77" i="15"/>
  <c r="AT77" i="15"/>
  <c r="AK77" i="15"/>
  <c r="AJ77" i="15"/>
  <c r="AB77" i="15"/>
  <c r="AL77" i="6"/>
  <c r="AU77" i="6"/>
  <c r="W78" i="6" a="1"/>
  <c r="W78" i="6" s="1"/>
  <c r="AE77" i="6"/>
  <c r="AM77" i="6"/>
  <c r="AC78" i="15"/>
  <c r="AK78" i="15"/>
  <c r="X79" i="6" a="1"/>
  <c r="X79" i="6" s="1"/>
  <c r="AF78" i="6"/>
  <c r="AN78" i="6" s="1"/>
  <c r="V79" i="15" a="1"/>
  <c r="V79" i="15" s="1"/>
  <c r="AD78" i="15"/>
  <c r="AL78" i="15" s="1"/>
  <c r="AV78" i="6" l="1"/>
  <c r="AD78" i="6"/>
  <c r="U79" i="15" a="1"/>
  <c r="U79" i="15" s="1"/>
  <c r="U80" i="15" s="1" a="1"/>
  <c r="U80" i="15" s="1"/>
  <c r="AT78" i="15"/>
  <c r="AJ78" i="15"/>
  <c r="AB78" i="15"/>
  <c r="AL78" i="6"/>
  <c r="AE78" i="6"/>
  <c r="AM78" i="6"/>
  <c r="W79" i="6" a="1"/>
  <c r="W79" i="6" s="1"/>
  <c r="AU78" i="6"/>
  <c r="V80" i="15" a="1"/>
  <c r="V80" i="15" s="1"/>
  <c r="AD79" i="15"/>
  <c r="AL79" i="15" s="1"/>
  <c r="X80" i="6" a="1"/>
  <c r="X80" i="6" s="1"/>
  <c r="AF79" i="6"/>
  <c r="AN79" i="6" s="1"/>
  <c r="AC79" i="15"/>
  <c r="AV79" i="6" l="1"/>
  <c r="AD79" i="6"/>
  <c r="AT79" i="15"/>
  <c r="AJ79" i="15"/>
  <c r="AB79" i="15"/>
  <c r="AS79" i="15"/>
  <c r="AK79" i="15"/>
  <c r="AL79" i="6"/>
  <c r="AU79" i="6"/>
  <c r="W80" i="6" a="1"/>
  <c r="W80" i="6" s="1"/>
  <c r="AE79" i="6"/>
  <c r="AM79" i="6"/>
  <c r="AJ80" i="15"/>
  <c r="AT80" i="15"/>
  <c r="AC80" i="15"/>
  <c r="U81" i="15" a="1"/>
  <c r="U81" i="15" s="1"/>
  <c r="AK80" i="15"/>
  <c r="AS80" i="15"/>
  <c r="AB80" i="15"/>
  <c r="X81" i="6" a="1"/>
  <c r="X81" i="6" s="1"/>
  <c r="AF80" i="6"/>
  <c r="AN80" i="6" s="1"/>
  <c r="V81" i="15" a="1"/>
  <c r="V81" i="15" s="1"/>
  <c r="AD80" i="15"/>
  <c r="AL80" i="15" s="1"/>
  <c r="AL80" i="6" l="1"/>
  <c r="AD80" i="6"/>
  <c r="AM80" i="6"/>
  <c r="AV80" i="6"/>
  <c r="W81" i="6" a="1"/>
  <c r="W81" i="6" s="1"/>
  <c r="AU80" i="6"/>
  <c r="AE80" i="6"/>
  <c r="V82" i="15" a="1"/>
  <c r="V82" i="15" s="1"/>
  <c r="AD82" i="15" s="1"/>
  <c r="AL82" i="15" s="1"/>
  <c r="AD81" i="15"/>
  <c r="AL81" i="15" s="1"/>
  <c r="X82" i="6" a="1"/>
  <c r="X82" i="6" s="1"/>
  <c r="AF82" i="6" s="1"/>
  <c r="AN82" i="6" s="1"/>
  <c r="AF81" i="6"/>
  <c r="AN81" i="6" s="1"/>
  <c r="AJ81" i="15"/>
  <c r="AT81" i="15"/>
  <c r="AC81" i="15"/>
  <c r="U82" i="15" a="1"/>
  <c r="U82" i="15" s="1"/>
  <c r="AK81" i="15"/>
  <c r="AS81" i="15"/>
  <c r="AB81" i="15"/>
  <c r="AM81" i="6" l="1"/>
  <c r="AD81" i="6"/>
  <c r="AL81" i="6"/>
  <c r="AV81" i="6"/>
  <c r="W82" i="6" a="1"/>
  <c r="W82" i="6" s="1"/>
  <c r="AU81" i="6"/>
  <c r="AE81" i="6"/>
  <c r="AJ82" i="15"/>
  <c r="AT82" i="15"/>
  <c r="AC82" i="15"/>
  <c r="AK82" i="15"/>
  <c r="AS82" i="15"/>
  <c r="AB82" i="15"/>
  <c r="AM82" i="6" l="1"/>
  <c r="AD82" i="6"/>
  <c r="AL82" i="6"/>
  <c r="AE82" i="6"/>
  <c r="AV82" i="6"/>
  <c r="AU82" i="6"/>
  <c r="AL6" i="5"/>
  <c r="U39" i="6" s="1" a="1"/>
  <c r="U39" i="6" s="1"/>
  <c r="BR6" i="5" l="1"/>
  <c r="BR7" i="5" s="1"/>
  <c r="I7" i="6"/>
  <c r="AM6" i="5"/>
  <c r="AN6" i="5"/>
  <c r="CX6" i="5"/>
  <c r="G67" i="7" s="1"/>
  <c r="P67" i="7" s="1"/>
  <c r="CM6" i="5"/>
  <c r="U9" i="6" a="1"/>
  <c r="U9" i="6" s="1"/>
  <c r="U7" i="6" a="1"/>
  <c r="U7" i="6" s="1"/>
  <c r="U42" i="6" a="1"/>
  <c r="U42" i="6" s="1"/>
  <c r="S15" i="15" a="1"/>
  <c r="S15" i="15" s="1"/>
  <c r="U34" i="6" a="1"/>
  <c r="U34" i="6" s="1"/>
  <c r="U33" i="6" a="1"/>
  <c r="U33" i="6" s="1"/>
  <c r="S47" i="15" a="1"/>
  <c r="S47" i="15" s="1"/>
  <c r="S29" i="15" a="1"/>
  <c r="S29" i="15" s="1"/>
  <c r="S35" i="15" a="1"/>
  <c r="S35" i="15" s="1"/>
  <c r="U8" i="6" a="1"/>
  <c r="U8" i="6" s="1"/>
  <c r="S28" i="15" a="1"/>
  <c r="S28" i="15" s="1"/>
  <c r="S7" i="15" a="1"/>
  <c r="S7" i="15" s="1"/>
  <c r="U35" i="6" a="1"/>
  <c r="U35" i="6" s="1"/>
  <c r="S32" i="15" a="1"/>
  <c r="S32" i="15" s="1"/>
  <c r="S31" i="15" a="1"/>
  <c r="S31" i="15" s="1"/>
  <c r="S39" i="15" a="1"/>
  <c r="S39" i="15" s="1"/>
  <c r="U15" i="6" a="1"/>
  <c r="U15" i="6" s="1"/>
  <c r="S48" i="15" a="1"/>
  <c r="S48" i="15" s="1"/>
  <c r="U40" i="6" a="1"/>
  <c r="U40" i="6" s="1"/>
  <c r="U31" i="6" a="1"/>
  <c r="U31" i="6" s="1"/>
  <c r="S24" i="15" a="1"/>
  <c r="S24" i="15" s="1"/>
  <c r="S34" i="15" a="1"/>
  <c r="S34" i="15" s="1"/>
  <c r="S8" i="15" a="1"/>
  <c r="S8" i="15" s="1"/>
  <c r="S12" i="15" a="1"/>
  <c r="S12" i="15" s="1"/>
  <c r="S23" i="15" a="1"/>
  <c r="S23" i="15" s="1"/>
  <c r="U28" i="6" a="1"/>
  <c r="U28" i="6" s="1"/>
  <c r="U11" i="6" a="1"/>
  <c r="U11" i="6" s="1"/>
  <c r="S10" i="15" a="1"/>
  <c r="S10" i="15" s="1"/>
  <c r="U46" i="6" a="1"/>
  <c r="U46" i="6" s="1"/>
  <c r="U26" i="6" a="1"/>
  <c r="U26" i="6" s="1"/>
  <c r="U36" i="6" a="1"/>
  <c r="U36" i="6" s="1"/>
  <c r="U44" i="6" a="1"/>
  <c r="U44" i="6" s="1"/>
  <c r="S18" i="15" a="1"/>
  <c r="S18" i="15" s="1"/>
  <c r="S36" i="15" a="1"/>
  <c r="S36" i="15" s="1"/>
  <c r="U49" i="6" a="1"/>
  <c r="U49" i="6" s="1"/>
  <c r="S44" i="15" a="1"/>
  <c r="S44" i="15" s="1"/>
  <c r="U38" i="6" a="1"/>
  <c r="U38" i="6" s="1"/>
  <c r="U10" i="6" a="1"/>
  <c r="U10" i="6" s="1"/>
  <c r="S49" i="15" a="1"/>
  <c r="S49" i="15" s="1"/>
  <c r="S25" i="15" a="1"/>
  <c r="S25" i="15" s="1"/>
  <c r="S9" i="15" a="1"/>
  <c r="S9" i="15" s="1"/>
  <c r="S46" i="15" a="1"/>
  <c r="S46" i="15" s="1"/>
  <c r="S17" i="15" a="1"/>
  <c r="S17" i="15" s="1"/>
  <c r="S14" i="15" a="1"/>
  <c r="S14" i="15" s="1"/>
  <c r="Y7" i="6"/>
  <c r="U22" i="6" a="1"/>
  <c r="U22" i="6" s="1"/>
  <c r="S26" i="15" a="1"/>
  <c r="S26" i="15" s="1"/>
  <c r="W7" i="15"/>
  <c r="S27" i="15" a="1"/>
  <c r="S27" i="15" s="1"/>
  <c r="S37" i="15" a="1"/>
  <c r="S37" i="15" s="1"/>
  <c r="U19" i="6" a="1"/>
  <c r="U19" i="6" s="1"/>
  <c r="U25" i="6" a="1"/>
  <c r="U25" i="6" s="1"/>
  <c r="S16" i="15" a="1"/>
  <c r="S16" i="15" s="1"/>
  <c r="U32" i="6" a="1"/>
  <c r="U32" i="6" s="1"/>
  <c r="U12" i="6" a="1"/>
  <c r="U12" i="6" s="1"/>
  <c r="U48" i="6" a="1"/>
  <c r="U48" i="6" s="1"/>
  <c r="U41" i="6" a="1"/>
  <c r="U41" i="6" s="1"/>
  <c r="U13" i="6" a="1"/>
  <c r="U13" i="6" s="1"/>
  <c r="U21" i="6" a="1"/>
  <c r="U21" i="6" s="1"/>
  <c r="S33" i="15" a="1"/>
  <c r="S33" i="15" s="1"/>
  <c r="S40" i="15" a="1"/>
  <c r="S40" i="15" s="1"/>
  <c r="U47" i="6" a="1"/>
  <c r="U47" i="6" s="1"/>
  <c r="U37" i="6" a="1"/>
  <c r="U37" i="6" s="1"/>
  <c r="S20" i="15" a="1"/>
  <c r="S20" i="15" s="1"/>
  <c r="S43" i="15" a="1"/>
  <c r="S43" i="15" s="1"/>
  <c r="U27" i="6" a="1"/>
  <c r="U27" i="6" s="1"/>
  <c r="S30" i="15" a="1"/>
  <c r="S30" i="15" s="1"/>
  <c r="U17" i="6" a="1"/>
  <c r="U17" i="6" s="1"/>
  <c r="S19" i="15" a="1"/>
  <c r="S19" i="15" s="1"/>
  <c r="S22" i="15" a="1"/>
  <c r="S22" i="15" s="1"/>
  <c r="S11" i="15" a="1"/>
  <c r="S11" i="15" s="1"/>
  <c r="U18" i="6" a="1"/>
  <c r="U18" i="6" s="1"/>
  <c r="S38" i="15" a="1"/>
  <c r="S38" i="15" s="1"/>
  <c r="S13" i="15" a="1"/>
  <c r="S13" i="15" s="1"/>
  <c r="U24" i="6" a="1"/>
  <c r="U24" i="6" s="1"/>
  <c r="S42" i="15" a="1"/>
  <c r="S42" i="15" s="1"/>
  <c r="U23" i="6" a="1"/>
  <c r="U23" i="6" s="1"/>
  <c r="U45" i="6" a="1"/>
  <c r="U45" i="6" s="1"/>
  <c r="U16" i="6" a="1"/>
  <c r="U16" i="6" s="1"/>
  <c r="U29" i="6" a="1"/>
  <c r="U29" i="6" s="1"/>
  <c r="S45" i="15" a="1"/>
  <c r="S45" i="15" s="1"/>
  <c r="U43" i="6" a="1"/>
  <c r="U43" i="6" s="1"/>
  <c r="U14" i="6" a="1"/>
  <c r="U14" i="6" s="1"/>
  <c r="S41" i="15" a="1"/>
  <c r="S41" i="15" s="1"/>
  <c r="U20" i="6" a="1"/>
  <c r="U20" i="6" s="1"/>
  <c r="S21" i="15" a="1"/>
  <c r="S21" i="15" s="1"/>
  <c r="U30" i="6" a="1"/>
  <c r="U30" i="6" s="1"/>
  <c r="B67" i="7" l="1"/>
  <c r="K67" i="7" s="1"/>
  <c r="C67" i="7"/>
  <c r="L67" i="7" s="1"/>
  <c r="BS6" i="5"/>
  <c r="CY6" i="5" s="1"/>
  <c r="I8" i="6"/>
  <c r="BR8" i="5"/>
  <c r="BS7" i="5"/>
  <c r="CY7" i="5" s="1"/>
  <c r="AS30" i="6"/>
  <c r="AJ30" i="6"/>
  <c r="AB30" i="6"/>
  <c r="AB20" i="6"/>
  <c r="AJ20" i="6"/>
  <c r="AS20" i="6"/>
  <c r="AS14" i="6"/>
  <c r="AJ14" i="6"/>
  <c r="AB14" i="6"/>
  <c r="AH45" i="15"/>
  <c r="Z45" i="15"/>
  <c r="AQ45" i="15"/>
  <c r="AJ16" i="6"/>
  <c r="AB16" i="6"/>
  <c r="AS16" i="6"/>
  <c r="AS23" i="6"/>
  <c r="AB23" i="6"/>
  <c r="AJ23" i="6"/>
  <c r="AS24" i="6"/>
  <c r="AB24" i="6"/>
  <c r="AJ24" i="6"/>
  <c r="AQ38" i="15"/>
  <c r="Z38" i="15"/>
  <c r="AH38" i="15"/>
  <c r="AH11" i="15"/>
  <c r="Z11" i="15"/>
  <c r="AQ11" i="15"/>
  <c r="AH19" i="15"/>
  <c r="Z19" i="15"/>
  <c r="AQ19" i="15"/>
  <c r="AS27" i="6"/>
  <c r="BF17" i="6" s="1"/>
  <c r="BF18" i="6" s="1"/>
  <c r="BF19" i="6" s="1"/>
  <c r="AJ27" i="6"/>
  <c r="AB27" i="6"/>
  <c r="Z20" i="15"/>
  <c r="AH20" i="15"/>
  <c r="AQ20" i="15"/>
  <c r="AJ47" i="6"/>
  <c r="AB47" i="6"/>
  <c r="AS47" i="6"/>
  <c r="Z33" i="15"/>
  <c r="AH33" i="15"/>
  <c r="AQ33" i="15"/>
  <c r="AJ13" i="6"/>
  <c r="AB13" i="6"/>
  <c r="AS13" i="6"/>
  <c r="AS48" i="6"/>
  <c r="AB48" i="6"/>
  <c r="AJ48" i="6"/>
  <c r="AS32" i="6"/>
  <c r="AB32" i="6"/>
  <c r="AJ32" i="6"/>
  <c r="AB25" i="6"/>
  <c r="AJ25" i="6"/>
  <c r="AS25" i="6"/>
  <c r="AH37" i="15"/>
  <c r="Z37" i="15"/>
  <c r="AQ37" i="15"/>
  <c r="Q7" i="15"/>
  <c r="AE7" i="15" s="1"/>
  <c r="AM7" i="15" s="1"/>
  <c r="W8" i="15"/>
  <c r="AJ22" i="6"/>
  <c r="AB22" i="6"/>
  <c r="AS22" i="6"/>
  <c r="AQ14" i="15"/>
  <c r="Z14" i="15"/>
  <c r="AH14" i="15"/>
  <c r="AQ46" i="15"/>
  <c r="AH46" i="15"/>
  <c r="Z46" i="15"/>
  <c r="AQ25" i="15"/>
  <c r="Z25" i="15"/>
  <c r="AH25" i="15"/>
  <c r="AJ10" i="6"/>
  <c r="AS10" i="6"/>
  <c r="AB10" i="6"/>
  <c r="AQ44" i="15"/>
  <c r="Z44" i="15"/>
  <c r="AH44" i="15"/>
  <c r="AQ36" i="15"/>
  <c r="AH36" i="15"/>
  <c r="Z36" i="15"/>
  <c r="AS44" i="6"/>
  <c r="AB44" i="6"/>
  <c r="AJ44" i="6"/>
  <c r="AS26" i="6"/>
  <c r="AB26" i="6"/>
  <c r="AJ26" i="6"/>
  <c r="AQ10" i="15"/>
  <c r="AH10" i="15"/>
  <c r="Z10" i="15"/>
  <c r="AS28" i="6"/>
  <c r="AB28" i="6"/>
  <c r="AJ28" i="6"/>
  <c r="AQ12" i="15"/>
  <c r="Z12" i="15"/>
  <c r="AH12" i="15"/>
  <c r="AQ34" i="15"/>
  <c r="AH34" i="15"/>
  <c r="Z34" i="15"/>
  <c r="AS31" i="6"/>
  <c r="AJ31" i="6"/>
  <c r="AB31" i="6"/>
  <c r="AQ48" i="15"/>
  <c r="AH48" i="15"/>
  <c r="Z48" i="15"/>
  <c r="AQ39" i="15"/>
  <c r="AH39" i="15"/>
  <c r="Z39" i="15"/>
  <c r="AQ32" i="15"/>
  <c r="BD12" i="15" s="1"/>
  <c r="BD13" i="15" s="1"/>
  <c r="BD14" i="15" s="1"/>
  <c r="AH32" i="15"/>
  <c r="Z32" i="15"/>
  <c r="AQ7" i="15"/>
  <c r="AH7" i="15"/>
  <c r="Z7" i="15"/>
  <c r="AS8" i="6"/>
  <c r="AB8" i="6"/>
  <c r="AJ8" i="6"/>
  <c r="AQ29" i="15"/>
  <c r="AH29" i="15"/>
  <c r="Z29" i="15"/>
  <c r="AQ47" i="15"/>
  <c r="AH47" i="15"/>
  <c r="Z47" i="15"/>
  <c r="AS34" i="6"/>
  <c r="AB34" i="6"/>
  <c r="AJ34" i="6"/>
  <c r="AS42" i="6"/>
  <c r="AB42" i="6"/>
  <c r="AJ42" i="6"/>
  <c r="AS9" i="6"/>
  <c r="AJ9" i="6"/>
  <c r="AB9" i="6"/>
  <c r="CX3" i="5"/>
  <c r="DI6" i="5"/>
  <c r="CX2" i="5"/>
  <c r="Z21" i="15"/>
  <c r="AH21" i="15"/>
  <c r="AQ21" i="15"/>
  <c r="Z41" i="15"/>
  <c r="AH41" i="15"/>
  <c r="AQ41" i="15"/>
  <c r="AJ43" i="6"/>
  <c r="AB43" i="6"/>
  <c r="AS43" i="6"/>
  <c r="AJ29" i="6"/>
  <c r="AB29" i="6"/>
  <c r="AS29" i="6"/>
  <c r="AJ45" i="6"/>
  <c r="AB45" i="6"/>
  <c r="AS45" i="6"/>
  <c r="AQ42" i="15"/>
  <c r="AH42" i="15"/>
  <c r="Z42" i="15"/>
  <c r="AH13" i="15"/>
  <c r="Z13" i="15"/>
  <c r="AQ13" i="15"/>
  <c r="AS18" i="6"/>
  <c r="AB18" i="6"/>
  <c r="AJ18" i="6"/>
  <c r="Z22" i="15"/>
  <c r="AH22" i="15"/>
  <c r="AQ22" i="15"/>
  <c r="AB17" i="6"/>
  <c r="AJ17" i="6"/>
  <c r="AS17" i="6"/>
  <c r="Z30" i="15"/>
  <c r="AH30" i="15"/>
  <c r="AQ30" i="15"/>
  <c r="Z43" i="15"/>
  <c r="AH43" i="15"/>
  <c r="AQ43" i="15"/>
  <c r="AB37" i="6"/>
  <c r="AJ37" i="6"/>
  <c r="AS37" i="6"/>
  <c r="Z40" i="15"/>
  <c r="AH40" i="15"/>
  <c r="AQ40" i="15"/>
  <c r="AB21" i="6"/>
  <c r="AJ21" i="6"/>
  <c r="AS21" i="6"/>
  <c r="AJ41" i="6"/>
  <c r="AB41" i="6"/>
  <c r="AS41" i="6"/>
  <c r="AS12" i="6"/>
  <c r="AJ12" i="6"/>
  <c r="AB12" i="6"/>
  <c r="AQ16" i="15"/>
  <c r="Z16" i="15"/>
  <c r="AH16" i="15"/>
  <c r="AS19" i="6"/>
  <c r="AB19" i="6"/>
  <c r="AJ19" i="6"/>
  <c r="AH27" i="15"/>
  <c r="Z27" i="15"/>
  <c r="AQ27" i="15"/>
  <c r="AQ26" i="15"/>
  <c r="AH26" i="15"/>
  <c r="Z26" i="15"/>
  <c r="S7" i="6"/>
  <c r="AG7" i="6" s="1"/>
  <c r="AO7" i="6" s="1"/>
  <c r="Y8" i="6" a="1"/>
  <c r="Y8" i="6" s="1"/>
  <c r="AH17" i="15"/>
  <c r="Z17" i="15"/>
  <c r="AQ17" i="15"/>
  <c r="AQ9" i="15"/>
  <c r="AH9" i="15"/>
  <c r="Z9" i="15"/>
  <c r="AQ49" i="15"/>
  <c r="S50" i="15" a="1"/>
  <c r="S50" i="15" s="1"/>
  <c r="Z49" i="15"/>
  <c r="AH49" i="15"/>
  <c r="AS38" i="6"/>
  <c r="AJ38" i="6"/>
  <c r="AB38" i="6"/>
  <c r="AS49" i="6"/>
  <c r="U50" i="6" a="1"/>
  <c r="U50" i="6" s="1"/>
  <c r="AJ49" i="6"/>
  <c r="AB49" i="6"/>
  <c r="AQ18" i="15"/>
  <c r="Z18" i="15"/>
  <c r="AH18" i="15"/>
  <c r="AS36" i="6"/>
  <c r="AB36" i="6"/>
  <c r="AJ36" i="6"/>
  <c r="AS46" i="6"/>
  <c r="AJ46" i="6"/>
  <c r="AB46" i="6"/>
  <c r="AS11" i="6"/>
  <c r="AJ11" i="6"/>
  <c r="AB11" i="6"/>
  <c r="AQ23" i="15"/>
  <c r="AH23" i="15"/>
  <c r="Z23" i="15"/>
  <c r="AQ8" i="15"/>
  <c r="Z8" i="15"/>
  <c r="AH8" i="15"/>
  <c r="AQ24" i="15"/>
  <c r="AH24" i="15"/>
  <c r="Z24" i="15"/>
  <c r="AS40" i="6"/>
  <c r="AB40" i="6"/>
  <c r="AJ40" i="6"/>
  <c r="AS15" i="6"/>
  <c r="AB15" i="6"/>
  <c r="AJ15" i="6"/>
  <c r="AQ31" i="15"/>
  <c r="AH31" i="15"/>
  <c r="Z31" i="15"/>
  <c r="AS35" i="6"/>
  <c r="AJ35" i="6"/>
  <c r="AB35" i="6"/>
  <c r="AQ28" i="15"/>
  <c r="AH28" i="15"/>
  <c r="Z28" i="15"/>
  <c r="AQ35" i="15"/>
  <c r="Z35" i="15"/>
  <c r="AH35" i="15"/>
  <c r="AS39" i="6"/>
  <c r="AJ39" i="6"/>
  <c r="AB39" i="6"/>
  <c r="AS33" i="6"/>
  <c r="AJ33" i="6"/>
  <c r="AB33" i="6"/>
  <c r="AQ15" i="15"/>
  <c r="AH15" i="15"/>
  <c r="Z15" i="15"/>
  <c r="AS7" i="6"/>
  <c r="AB7" i="6"/>
  <c r="AJ7" i="6"/>
  <c r="CM3" i="5"/>
  <c r="CM2" i="5"/>
  <c r="DD6" i="5"/>
  <c r="B25" i="7" l="1"/>
  <c r="B55" i="7"/>
  <c r="B24" i="7"/>
  <c r="B54" i="7"/>
  <c r="I9" i="6"/>
  <c r="C41" i="7"/>
  <c r="C33" i="7"/>
  <c r="C69" i="7" s="1"/>
  <c r="L69" i="7" s="1"/>
  <c r="G41" i="7"/>
  <c r="G33" i="7"/>
  <c r="G69" i="7" s="1"/>
  <c r="P69" i="7" s="1"/>
  <c r="BD15" i="15"/>
  <c r="BD16" i="15" s="1"/>
  <c r="BD17" i="15" s="1"/>
  <c r="BD18" i="15" s="1"/>
  <c r="BD19" i="15" s="1"/>
  <c r="BD20" i="15" s="1"/>
  <c r="BD21" i="15" s="1"/>
  <c r="BD22" i="15" s="1"/>
  <c r="BD23" i="15" s="1"/>
  <c r="BD24" i="15" s="1"/>
  <c r="BD25" i="15" s="1"/>
  <c r="BD26" i="15" s="1"/>
  <c r="BD27" i="15" s="1"/>
  <c r="BD28" i="15" s="1"/>
  <c r="BD29" i="15" s="1"/>
  <c r="BD30" i="15" s="1"/>
  <c r="BD31" i="15" s="1"/>
  <c r="BD32" i="15" s="1"/>
  <c r="BD33" i="15" s="1"/>
  <c r="BD34" i="15" s="1"/>
  <c r="BD35" i="15" s="1"/>
  <c r="BD36" i="15" s="1"/>
  <c r="BD37" i="15" s="1"/>
  <c r="BD38" i="15" s="1"/>
  <c r="BD39" i="15" s="1"/>
  <c r="BD40" i="15" s="1"/>
  <c r="BD41" i="15" s="1"/>
  <c r="BD42" i="15" s="1"/>
  <c r="BD43" i="15" s="1"/>
  <c r="BD44" i="15" s="1"/>
  <c r="BD45" i="15" s="1"/>
  <c r="BD46" i="15" s="1"/>
  <c r="BD47" i="15" s="1"/>
  <c r="BD48" i="15" s="1"/>
  <c r="BD49" i="15" s="1"/>
  <c r="BD50" i="15" s="1"/>
  <c r="BD51" i="15" s="1"/>
  <c r="BD52" i="15" s="1"/>
  <c r="BD53" i="15" s="1"/>
  <c r="BD54" i="15" s="1"/>
  <c r="BD55" i="15" s="1"/>
  <c r="BD56" i="15" s="1"/>
  <c r="BD57" i="15" s="1"/>
  <c r="BD58" i="15" s="1"/>
  <c r="BD59" i="15" s="1"/>
  <c r="BD60" i="15" s="1"/>
  <c r="BD61" i="15" s="1"/>
  <c r="BD62" i="15" s="1"/>
  <c r="BD63" i="15" s="1"/>
  <c r="BD64" i="15" s="1"/>
  <c r="BD65" i="15" s="1"/>
  <c r="BD66" i="15" s="1"/>
  <c r="BD67" i="15" s="1"/>
  <c r="BD68" i="15" s="1"/>
  <c r="BD69" i="15" s="1"/>
  <c r="BD70" i="15" s="1"/>
  <c r="BD71" i="15" s="1"/>
  <c r="BD72" i="15" s="1"/>
  <c r="BD73" i="15" s="1"/>
  <c r="BD74" i="15" s="1"/>
  <c r="BD75" i="15" s="1"/>
  <c r="BD76" i="15" s="1"/>
  <c r="BD77" i="15" s="1"/>
  <c r="BD78" i="15" s="1"/>
  <c r="BD79" i="15" s="1"/>
  <c r="BD80" i="15" s="1"/>
  <c r="BD81" i="15" s="1"/>
  <c r="BD82" i="15" s="1"/>
  <c r="BF20" i="6"/>
  <c r="BF21" i="6" s="1"/>
  <c r="BF22" i="6" s="1"/>
  <c r="BF23" i="6" s="1"/>
  <c r="BF24" i="6" s="1"/>
  <c r="BF25" i="6" s="1"/>
  <c r="BF26" i="6" s="1"/>
  <c r="BF27" i="6" s="1"/>
  <c r="BF28" i="6" s="1"/>
  <c r="BF29" i="6" s="1"/>
  <c r="BF30" i="6" s="1"/>
  <c r="BF31" i="6" s="1"/>
  <c r="BF32" i="6" s="1"/>
  <c r="BF33" i="6" s="1"/>
  <c r="BF34" i="6" s="1"/>
  <c r="BF35" i="6" s="1"/>
  <c r="BF36" i="6" s="1"/>
  <c r="BF37" i="6" s="1"/>
  <c r="BF38" i="6" s="1"/>
  <c r="BF39" i="6" s="1"/>
  <c r="BF40" i="6" s="1"/>
  <c r="BF41" i="6" s="1"/>
  <c r="BF42" i="6" s="1"/>
  <c r="BF43" i="6" s="1"/>
  <c r="BF44" i="6" s="1"/>
  <c r="BF45" i="6" s="1"/>
  <c r="BF46" i="6" s="1"/>
  <c r="BF47" i="6" s="1"/>
  <c r="BF48" i="6" s="1"/>
  <c r="BF49" i="6" s="1"/>
  <c r="BF50" i="6" s="1"/>
  <c r="BF51" i="6" s="1"/>
  <c r="BF52" i="6" s="1"/>
  <c r="BF53" i="6" s="1"/>
  <c r="BF54" i="6" s="1"/>
  <c r="BF55" i="6" s="1"/>
  <c r="BF56" i="6" s="1"/>
  <c r="BF57" i="6" s="1"/>
  <c r="BF58" i="6" s="1"/>
  <c r="BF59" i="6" s="1"/>
  <c r="BF60" i="6" s="1"/>
  <c r="BF61" i="6" s="1"/>
  <c r="BF62" i="6" s="1"/>
  <c r="BF63" i="6" s="1"/>
  <c r="BF64" i="6" s="1"/>
  <c r="BF65" i="6" s="1"/>
  <c r="BF66" i="6" s="1"/>
  <c r="BF67" i="6" s="1"/>
  <c r="BF68" i="6" s="1"/>
  <c r="BF69" i="6" s="1"/>
  <c r="BF70" i="6" s="1"/>
  <c r="BF71" i="6" s="1"/>
  <c r="BF72" i="6" s="1"/>
  <c r="BF73" i="6" s="1"/>
  <c r="BF74" i="6" s="1"/>
  <c r="BF75" i="6" s="1"/>
  <c r="BF76" i="6" s="1"/>
  <c r="BF77" i="6" s="1"/>
  <c r="BF78" i="6" s="1"/>
  <c r="BF79" i="6" s="1"/>
  <c r="BF80" i="6" s="1"/>
  <c r="BF81" i="6" s="1"/>
  <c r="BF82" i="6" s="1"/>
  <c r="DI7" i="5"/>
  <c r="BR9" i="5"/>
  <c r="BS8" i="5"/>
  <c r="CY8" i="5" s="1"/>
  <c r="AW7" i="6"/>
  <c r="AX7" i="6"/>
  <c r="AW33" i="6"/>
  <c r="AX33" i="6"/>
  <c r="AU35" i="15"/>
  <c r="AV35" i="15"/>
  <c r="AW35" i="6"/>
  <c r="AX35" i="6"/>
  <c r="AW15" i="6"/>
  <c r="AX15" i="6"/>
  <c r="AV24" i="15"/>
  <c r="AU24" i="15"/>
  <c r="AV23" i="15"/>
  <c r="AU23" i="15"/>
  <c r="AX46" i="6"/>
  <c r="AW46" i="6"/>
  <c r="AU18" i="15"/>
  <c r="AV18" i="15"/>
  <c r="AX49" i="6"/>
  <c r="AW49" i="6"/>
  <c r="Z50" i="15"/>
  <c r="AH50" i="15"/>
  <c r="S51" i="15" a="1"/>
  <c r="S51" i="15" s="1"/>
  <c r="AQ50" i="15"/>
  <c r="AV9" i="15"/>
  <c r="AU9" i="15"/>
  <c r="Y9" i="6" a="1"/>
  <c r="Y9" i="6" s="1"/>
  <c r="S8" i="6"/>
  <c r="AG8" i="6" s="1"/>
  <c r="AO8" i="6" s="1"/>
  <c r="AV26" i="15"/>
  <c r="AU26" i="15"/>
  <c r="AW19" i="6"/>
  <c r="AX19" i="6"/>
  <c r="AW12" i="6"/>
  <c r="AX12" i="6"/>
  <c r="AX21" i="6"/>
  <c r="AW21" i="6"/>
  <c r="AW37" i="6"/>
  <c r="AX37" i="6"/>
  <c r="AV30" i="15"/>
  <c r="AU30" i="15"/>
  <c r="AV22" i="15"/>
  <c r="AU22" i="15"/>
  <c r="AV13" i="15"/>
  <c r="AU13" i="15"/>
  <c r="AX45" i="6"/>
  <c r="AW45" i="6"/>
  <c r="AW43" i="6"/>
  <c r="AX43" i="6"/>
  <c r="AU21" i="15"/>
  <c r="AV21" i="15"/>
  <c r="AW9" i="6"/>
  <c r="AX9" i="6"/>
  <c r="AW34" i="6"/>
  <c r="AX34" i="6"/>
  <c r="AU29" i="15"/>
  <c r="AV29" i="15"/>
  <c r="AU7" i="15"/>
  <c r="AV7" i="15"/>
  <c r="AU39" i="15"/>
  <c r="AV39" i="15"/>
  <c r="AX31" i="6"/>
  <c r="AW31" i="6"/>
  <c r="AU12" i="15"/>
  <c r="AV12" i="15"/>
  <c r="AV10" i="15"/>
  <c r="AU10" i="15"/>
  <c r="AW44" i="6"/>
  <c r="AX44" i="6"/>
  <c r="AV44" i="15"/>
  <c r="AU44" i="15"/>
  <c r="AW10" i="6"/>
  <c r="AX10" i="6"/>
  <c r="AV25" i="15"/>
  <c r="AU25" i="15"/>
  <c r="AW22" i="6"/>
  <c r="AX22" i="6"/>
  <c r="AW25" i="6"/>
  <c r="AX25" i="6"/>
  <c r="AW48" i="6"/>
  <c r="AX48" i="6"/>
  <c r="AU33" i="15"/>
  <c r="AV33" i="15"/>
  <c r="AV20" i="15"/>
  <c r="AU20" i="15"/>
  <c r="AV19" i="15"/>
  <c r="AU19" i="15"/>
  <c r="AU38" i="15"/>
  <c r="AV38" i="15"/>
  <c r="AW23" i="6"/>
  <c r="AX23" i="6"/>
  <c r="AU45" i="15"/>
  <c r="AV45" i="15"/>
  <c r="AW20" i="6"/>
  <c r="AX20" i="6"/>
  <c r="DD3" i="5"/>
  <c r="DN9" i="5" s="1"/>
  <c r="DD2" i="5"/>
  <c r="AV15" i="15"/>
  <c r="AU15" i="15"/>
  <c r="AW39" i="6"/>
  <c r="AX39" i="6"/>
  <c r="AU28" i="15"/>
  <c r="AV28" i="15"/>
  <c r="AU31" i="15"/>
  <c r="AV31" i="15"/>
  <c r="AW40" i="6"/>
  <c r="AX40" i="6"/>
  <c r="AU8" i="15"/>
  <c r="AV8" i="15"/>
  <c r="AX11" i="6"/>
  <c r="AW11" i="6"/>
  <c r="AW36" i="6"/>
  <c r="AX36" i="6"/>
  <c r="U51" i="6" a="1"/>
  <c r="U51" i="6" s="1"/>
  <c r="AS50" i="6"/>
  <c r="AB50" i="6"/>
  <c r="AJ50" i="6"/>
  <c r="AX38" i="6"/>
  <c r="AW38" i="6"/>
  <c r="AV49" i="15"/>
  <c r="AU49" i="15"/>
  <c r="AU17" i="15"/>
  <c r="AV17" i="15"/>
  <c r="AV27" i="15"/>
  <c r="AU27" i="15"/>
  <c r="AV16" i="15"/>
  <c r="AU16" i="15"/>
  <c r="AX41" i="6"/>
  <c r="AW41" i="6"/>
  <c r="AU40" i="15"/>
  <c r="AV40" i="15"/>
  <c r="AU43" i="15"/>
  <c r="AV43" i="15"/>
  <c r="AW17" i="6"/>
  <c r="AX17" i="6"/>
  <c r="AW18" i="6"/>
  <c r="AX18" i="6"/>
  <c r="AU42" i="15"/>
  <c r="AV42" i="15"/>
  <c r="AW29" i="6"/>
  <c r="AX29" i="6"/>
  <c r="AU41" i="15"/>
  <c r="AV41" i="15"/>
  <c r="AW42" i="6"/>
  <c r="AX42" i="6"/>
  <c r="AU47" i="15"/>
  <c r="AV47" i="15"/>
  <c r="AW8" i="6"/>
  <c r="AX8" i="6"/>
  <c r="AU32" i="15"/>
  <c r="AV32" i="15"/>
  <c r="AU48" i="15"/>
  <c r="AV48" i="15"/>
  <c r="AV34" i="15"/>
  <c r="AU34" i="15"/>
  <c r="AX28" i="6"/>
  <c r="AW28" i="6"/>
  <c r="AX26" i="6"/>
  <c r="AW26" i="6"/>
  <c r="AU36" i="15"/>
  <c r="AV36" i="15"/>
  <c r="AV46" i="15"/>
  <c r="AU46" i="15"/>
  <c r="AU14" i="15"/>
  <c r="AV14" i="15"/>
  <c r="W9" i="15"/>
  <c r="Q8" i="15"/>
  <c r="AE8" i="15" s="1"/>
  <c r="AM8" i="15" s="1"/>
  <c r="AV37" i="15"/>
  <c r="AU37" i="15"/>
  <c r="AW32" i="6"/>
  <c r="AX32" i="6"/>
  <c r="AX13" i="6"/>
  <c r="AW13" i="6"/>
  <c r="AX47" i="6"/>
  <c r="AW47" i="6"/>
  <c r="AW27" i="6"/>
  <c r="AX27" i="6"/>
  <c r="AU11" i="15"/>
  <c r="AV11" i="15"/>
  <c r="AW24" i="6"/>
  <c r="AX24" i="6"/>
  <c r="AX16" i="6"/>
  <c r="AW16" i="6"/>
  <c r="AX14" i="6"/>
  <c r="AW14" i="6"/>
  <c r="AX30" i="6"/>
  <c r="AW30" i="6"/>
  <c r="F25" i="7" l="1"/>
  <c r="F55" i="7"/>
  <c r="B28" i="7"/>
  <c r="B62" i="7"/>
  <c r="G25" i="7"/>
  <c r="G55" i="7"/>
  <c r="I10" i="6"/>
  <c r="DI8" i="5"/>
  <c r="BR10" i="5"/>
  <c r="BS9" i="5"/>
  <c r="CY9" i="5" s="1"/>
  <c r="U52" i="6" a="1"/>
  <c r="U52" i="6" s="1"/>
  <c r="AS51" i="6"/>
  <c r="AJ51" i="6"/>
  <c r="AB51" i="6"/>
  <c r="DN4" i="5"/>
  <c r="DN2" i="5"/>
  <c r="AV50" i="15"/>
  <c r="AU50" i="15"/>
  <c r="DN5" i="5"/>
  <c r="W10" i="15"/>
  <c r="Q9" i="15"/>
  <c r="AE9" i="15" s="1"/>
  <c r="AM9" i="15" s="1"/>
  <c r="AX50" i="6"/>
  <c r="AW50" i="6"/>
  <c r="DN8" i="5"/>
  <c r="DN6" i="5"/>
  <c r="Y10" i="6" a="1"/>
  <c r="Y10" i="6" s="1"/>
  <c r="S9" i="6"/>
  <c r="AG9" i="6" s="1"/>
  <c r="AO9" i="6" s="1"/>
  <c r="AQ51" i="15"/>
  <c r="S52" i="15" a="1"/>
  <c r="S52" i="15" s="1"/>
  <c r="AH51" i="15"/>
  <c r="Z51" i="15"/>
  <c r="I11" i="6" l="1"/>
  <c r="DI9" i="5"/>
  <c r="BR11" i="5"/>
  <c r="BS10" i="5"/>
  <c r="CY10" i="5" s="1"/>
  <c r="DS12" i="5"/>
  <c r="S53" i="15" a="1"/>
  <c r="S53" i="15" s="1"/>
  <c r="Z52" i="15"/>
  <c r="AH52" i="15"/>
  <c r="AQ52" i="15"/>
  <c r="W11" i="15"/>
  <c r="Q10" i="15"/>
  <c r="AE10" i="15" s="1"/>
  <c r="AM10" i="15" s="1"/>
  <c r="AW51" i="6"/>
  <c r="AX51" i="6"/>
  <c r="AV51" i="15"/>
  <c r="AU51" i="15"/>
  <c r="Y11" i="6" a="1"/>
  <c r="Y11" i="6" s="1"/>
  <c r="S10" i="6"/>
  <c r="AG10" i="6" s="1"/>
  <c r="AO10" i="6" s="1"/>
  <c r="AS52" i="6"/>
  <c r="U53" i="6" a="1"/>
  <c r="U53" i="6" s="1"/>
  <c r="AJ52" i="6"/>
  <c r="AB52" i="6"/>
  <c r="I12" i="6" l="1"/>
  <c r="BR12" i="5"/>
  <c r="BS11" i="5"/>
  <c r="CY11" i="5" s="1"/>
  <c r="DI10" i="5"/>
  <c r="AW52" i="6"/>
  <c r="AX52" i="6"/>
  <c r="S11" i="6"/>
  <c r="AG11" i="6" s="1"/>
  <c r="AO11" i="6" s="1"/>
  <c r="Y12" i="6" a="1"/>
  <c r="Y12" i="6" s="1"/>
  <c r="Q11" i="15"/>
  <c r="AE11" i="15" s="1"/>
  <c r="AM11" i="15" s="1"/>
  <c r="W12" i="15"/>
  <c r="AQ53" i="15"/>
  <c r="Z53" i="15"/>
  <c r="AH53" i="15"/>
  <c r="S54" i="15" a="1"/>
  <c r="S54" i="15" s="1"/>
  <c r="AS53" i="6"/>
  <c r="U54" i="6" a="1"/>
  <c r="U54" i="6" s="1"/>
  <c r="AB53" i="6"/>
  <c r="AJ53" i="6"/>
  <c r="AU52" i="15"/>
  <c r="AV52" i="15"/>
  <c r="I13" i="6" l="1"/>
  <c r="BR13" i="5"/>
  <c r="BS12" i="5"/>
  <c r="CY12" i="5" s="1"/>
  <c r="DI11" i="5"/>
  <c r="U55" i="6" a="1"/>
  <c r="U55" i="6" s="1"/>
  <c r="AJ54" i="6"/>
  <c r="AS54" i="6"/>
  <c r="AB54" i="6"/>
  <c r="AQ54" i="15"/>
  <c r="S55" i="15" a="1"/>
  <c r="S55" i="15" s="1"/>
  <c r="AH54" i="15"/>
  <c r="Z54" i="15"/>
  <c r="Q12" i="15"/>
  <c r="AE12" i="15" s="1"/>
  <c r="AM12" i="15" s="1"/>
  <c r="W13" i="15"/>
  <c r="S12" i="6"/>
  <c r="AG12" i="6" s="1"/>
  <c r="AO12" i="6" s="1"/>
  <c r="Y13" i="6" a="1"/>
  <c r="Y13" i="6" s="1"/>
  <c r="AW53" i="6"/>
  <c r="AX53" i="6"/>
  <c r="AV53" i="15"/>
  <c r="AU53" i="15"/>
  <c r="I14" i="6" l="1"/>
  <c r="DI12" i="5"/>
  <c r="BR14" i="5"/>
  <c r="BS13" i="5"/>
  <c r="CY13" i="5" s="1"/>
  <c r="AV54" i="15"/>
  <c r="AU54" i="15"/>
  <c r="AW54" i="6"/>
  <c r="AX54" i="6"/>
  <c r="U56" i="6" a="1"/>
  <c r="U56" i="6" s="1"/>
  <c r="AJ55" i="6"/>
  <c r="AB55" i="6"/>
  <c r="AS55" i="6"/>
  <c r="S13" i="6"/>
  <c r="AG13" i="6" s="1"/>
  <c r="AO13" i="6" s="1"/>
  <c r="Y14" i="6" a="1"/>
  <c r="Y14" i="6" s="1"/>
  <c r="Q13" i="15"/>
  <c r="AE13" i="15" s="1"/>
  <c r="AM13" i="15" s="1"/>
  <c r="W14" i="15"/>
  <c r="S56" i="15" a="1"/>
  <c r="S56" i="15" s="1"/>
  <c r="AH55" i="15"/>
  <c r="Z55" i="15"/>
  <c r="AQ55" i="15"/>
  <c r="I15" i="6" l="1"/>
  <c r="DI13" i="5"/>
  <c r="BR15" i="5"/>
  <c r="BS14" i="5"/>
  <c r="CY14" i="5" s="1"/>
  <c r="AV55" i="15"/>
  <c r="AU55" i="15"/>
  <c r="Q14" i="15"/>
  <c r="AE14" i="15" s="1"/>
  <c r="AM14" i="15" s="1"/>
  <c r="W15" i="15"/>
  <c r="S14" i="6"/>
  <c r="AG14" i="6" s="1"/>
  <c r="AO14" i="6" s="1"/>
  <c r="Y15" i="6" a="1"/>
  <c r="Y15" i="6" s="1"/>
  <c r="AX55" i="6"/>
  <c r="AW55" i="6"/>
  <c r="S57" i="15" a="1"/>
  <c r="S57" i="15" s="1"/>
  <c r="AQ56" i="15"/>
  <c r="Z56" i="15"/>
  <c r="AH56" i="15"/>
  <c r="AS56" i="6"/>
  <c r="AB56" i="6"/>
  <c r="U57" i="6" a="1"/>
  <c r="U57" i="6" s="1"/>
  <c r="AJ56" i="6"/>
  <c r="I16" i="6" l="1"/>
  <c r="DI14" i="5"/>
  <c r="BR16" i="5"/>
  <c r="BS15" i="5"/>
  <c r="CY15" i="5" s="1"/>
  <c r="AS57" i="6"/>
  <c r="AB57" i="6"/>
  <c r="AJ57" i="6"/>
  <c r="U58" i="6" a="1"/>
  <c r="U58" i="6" s="1"/>
  <c r="AX56" i="6"/>
  <c r="AW56" i="6"/>
  <c r="AQ57" i="15"/>
  <c r="S58" i="15" a="1"/>
  <c r="S58" i="15" s="1"/>
  <c r="Z57" i="15"/>
  <c r="AH57" i="15"/>
  <c r="AV56" i="15"/>
  <c r="AU56" i="15"/>
  <c r="S15" i="6"/>
  <c r="AG15" i="6" s="1"/>
  <c r="AO15" i="6" s="1"/>
  <c r="Y16" i="6" a="1"/>
  <c r="Y16" i="6" s="1"/>
  <c r="Q15" i="15"/>
  <c r="AE15" i="15" s="1"/>
  <c r="AM15" i="15" s="1"/>
  <c r="W16" i="15"/>
  <c r="I17" i="6" l="1"/>
  <c r="DI15" i="5"/>
  <c r="BR17" i="5"/>
  <c r="BS16" i="5"/>
  <c r="CY16" i="5" s="1"/>
  <c r="Q16" i="15"/>
  <c r="AE16" i="15" s="1"/>
  <c r="AM16" i="15" s="1"/>
  <c r="W17" i="15"/>
  <c r="S16" i="6"/>
  <c r="AG16" i="6" s="1"/>
  <c r="AO16" i="6" s="1"/>
  <c r="Y17" i="6" a="1"/>
  <c r="Y17" i="6" s="1"/>
  <c r="AQ58" i="15"/>
  <c r="Z58" i="15"/>
  <c r="AH58" i="15"/>
  <c r="S59" i="15" a="1"/>
  <c r="S59" i="15" s="1"/>
  <c r="AS58" i="6"/>
  <c r="AB58" i="6"/>
  <c r="AJ58" i="6"/>
  <c r="U59" i="6" a="1"/>
  <c r="U59" i="6" s="1"/>
  <c r="AU57" i="15"/>
  <c r="AV57" i="15"/>
  <c r="AX57" i="6"/>
  <c r="AW57" i="6"/>
  <c r="I18" i="6" l="1"/>
  <c r="BR18" i="5"/>
  <c r="BS17" i="5"/>
  <c r="CY17" i="5" s="1"/>
  <c r="DI16" i="5"/>
  <c r="AX58" i="6"/>
  <c r="AW58" i="6"/>
  <c r="AU58" i="15"/>
  <c r="AV58" i="15"/>
  <c r="AS59" i="6"/>
  <c r="AB59" i="6"/>
  <c r="AJ59" i="6"/>
  <c r="U60" i="6" a="1"/>
  <c r="U60" i="6" s="1"/>
  <c r="AQ59" i="15"/>
  <c r="Z59" i="15"/>
  <c r="AH59" i="15"/>
  <c r="S60" i="15" a="1"/>
  <c r="S60" i="15" s="1"/>
  <c r="Y18" i="6" a="1"/>
  <c r="Y18" i="6" s="1"/>
  <c r="S17" i="6"/>
  <c r="AG17" i="6" s="1"/>
  <c r="AO17" i="6" s="1"/>
  <c r="W18" i="15"/>
  <c r="Q17" i="15"/>
  <c r="AE17" i="15" s="1"/>
  <c r="AM17" i="15" s="1"/>
  <c r="I19" i="6" l="1"/>
  <c r="DI17" i="5"/>
  <c r="BR19" i="5"/>
  <c r="BS18" i="5"/>
  <c r="CY18" i="5" s="1"/>
  <c r="Z60" i="15"/>
  <c r="AH60" i="15"/>
  <c r="AQ60" i="15"/>
  <c r="S61" i="15" a="1"/>
  <c r="S61" i="15" s="1"/>
  <c r="AS60" i="6"/>
  <c r="U61" i="6" a="1"/>
  <c r="U61" i="6" s="1"/>
  <c r="AB60" i="6"/>
  <c r="AJ60" i="6"/>
  <c r="W19" i="15"/>
  <c r="Q18" i="15"/>
  <c r="AE18" i="15" s="1"/>
  <c r="AM18" i="15" s="1"/>
  <c r="Y19" i="6" a="1"/>
  <c r="Y19" i="6" s="1"/>
  <c r="S18" i="6"/>
  <c r="AG18" i="6" s="1"/>
  <c r="AO18" i="6" s="1"/>
  <c r="AV59" i="15"/>
  <c r="AU59" i="15"/>
  <c r="AW59" i="6"/>
  <c r="AX59" i="6"/>
  <c r="I20" i="6" l="1"/>
  <c r="DI18" i="5"/>
  <c r="DS13" i="5" s="1"/>
  <c r="BR20" i="5"/>
  <c r="BS19" i="5"/>
  <c r="CY19" i="5" s="1"/>
  <c r="Y20" i="6" a="1"/>
  <c r="Y20" i="6" s="1"/>
  <c r="S19" i="6"/>
  <c r="AG19" i="6" s="1"/>
  <c r="AO19" i="6" s="1"/>
  <c r="W20" i="15"/>
  <c r="Q19" i="15"/>
  <c r="AE19" i="15" s="1"/>
  <c r="AM19" i="15" s="1"/>
  <c r="AW60" i="6"/>
  <c r="AX60" i="6"/>
  <c r="AU60" i="15"/>
  <c r="AV60" i="15"/>
  <c r="AS61" i="6"/>
  <c r="AJ61" i="6"/>
  <c r="AB61" i="6"/>
  <c r="U62" i="6" a="1"/>
  <c r="U62" i="6" s="1"/>
  <c r="S62" i="15" a="1"/>
  <c r="S62" i="15" s="1"/>
  <c r="Z61" i="15"/>
  <c r="AH61" i="15"/>
  <c r="AQ61" i="15"/>
  <c r="I21" i="6" l="1"/>
  <c r="DI19" i="5"/>
  <c r="BR21" i="5"/>
  <c r="BS20" i="5"/>
  <c r="CY20" i="5" s="1"/>
  <c r="AU61" i="15"/>
  <c r="AV61" i="15"/>
  <c r="U63" i="6" a="1"/>
  <c r="U63" i="6" s="1"/>
  <c r="AB62" i="6"/>
  <c r="AJ62" i="6"/>
  <c r="AS62" i="6"/>
  <c r="S63" i="15" a="1"/>
  <c r="S63" i="15" s="1"/>
  <c r="AH62" i="15"/>
  <c r="AQ62" i="15"/>
  <c r="Z62" i="15"/>
  <c r="AW61" i="6"/>
  <c r="AX61" i="6"/>
  <c r="W21" i="15"/>
  <c r="Q20" i="15"/>
  <c r="AE20" i="15" s="1"/>
  <c r="AM20" i="15" s="1"/>
  <c r="Y21" i="6" a="1"/>
  <c r="Y21" i="6" s="1"/>
  <c r="S20" i="6"/>
  <c r="AG20" i="6" s="1"/>
  <c r="AO20" i="6" s="1"/>
  <c r="I22" i="6" l="1"/>
  <c r="BR22" i="5"/>
  <c r="BS21" i="5"/>
  <c r="CY21" i="5" s="1"/>
  <c r="DI20" i="5"/>
  <c r="Y22" i="6" a="1"/>
  <c r="Y22" i="6" s="1"/>
  <c r="S21" i="6"/>
  <c r="AG21" i="6" s="1"/>
  <c r="AO21" i="6" s="1"/>
  <c r="W22" i="15"/>
  <c r="Q21" i="15"/>
  <c r="AE21" i="15" s="1"/>
  <c r="AM21" i="15" s="1"/>
  <c r="AV62" i="15"/>
  <c r="AU62" i="15"/>
  <c r="S64" i="15" a="1"/>
  <c r="S64" i="15" s="1"/>
  <c r="AQ63" i="15"/>
  <c r="Z63" i="15"/>
  <c r="AH63" i="15"/>
  <c r="AS63" i="6"/>
  <c r="AJ63" i="6"/>
  <c r="AB63" i="6"/>
  <c r="U64" i="6" a="1"/>
  <c r="U64" i="6" s="1"/>
  <c r="AX62" i="6"/>
  <c r="AW62" i="6"/>
  <c r="I23" i="6" l="1"/>
  <c r="BR23" i="5"/>
  <c r="BS22" i="5"/>
  <c r="CY22" i="5" s="1"/>
  <c r="DI21" i="5"/>
  <c r="U65" i="6" a="1"/>
  <c r="U65" i="6" s="1"/>
  <c r="AB64" i="6"/>
  <c r="AJ64" i="6"/>
  <c r="AS64" i="6"/>
  <c r="AU63" i="15"/>
  <c r="AV63" i="15"/>
  <c r="AW63" i="6"/>
  <c r="AX63" i="6"/>
  <c r="S65" i="15" a="1"/>
  <c r="S65" i="15" s="1"/>
  <c r="Z64" i="15"/>
  <c r="AQ64" i="15"/>
  <c r="AH64" i="15"/>
  <c r="W23" i="15"/>
  <c r="Q22" i="15"/>
  <c r="AE22" i="15" s="1"/>
  <c r="AM22" i="15" s="1"/>
  <c r="Y23" i="6" a="1"/>
  <c r="Y23" i="6" s="1"/>
  <c r="S22" i="6"/>
  <c r="AG22" i="6" s="1"/>
  <c r="AO22" i="6" s="1"/>
  <c r="I24" i="6" l="1"/>
  <c r="BR24" i="5"/>
  <c r="BS23" i="5"/>
  <c r="CY23" i="5" s="1"/>
  <c r="DI22" i="5"/>
  <c r="Y24" i="6" a="1"/>
  <c r="Y24" i="6" s="1"/>
  <c r="S23" i="6"/>
  <c r="AG23" i="6" s="1"/>
  <c r="AO23" i="6" s="1"/>
  <c r="W24" i="15"/>
  <c r="Q23" i="15"/>
  <c r="AE23" i="15" s="1"/>
  <c r="AM23" i="15" s="1"/>
  <c r="AU64" i="15"/>
  <c r="AV64" i="15"/>
  <c r="S66" i="15" a="1"/>
  <c r="S66" i="15" s="1"/>
  <c r="AQ65" i="15"/>
  <c r="Z65" i="15"/>
  <c r="AH65" i="15"/>
  <c r="AS65" i="6"/>
  <c r="AJ65" i="6"/>
  <c r="AB65" i="6"/>
  <c r="U66" i="6" a="1"/>
  <c r="U66" i="6" s="1"/>
  <c r="AW64" i="6"/>
  <c r="AX64" i="6"/>
  <c r="I25" i="6" l="1"/>
  <c r="BR25" i="5"/>
  <c r="BS24" i="5"/>
  <c r="CY24" i="5" s="1"/>
  <c r="DI23" i="5"/>
  <c r="AS66" i="6"/>
  <c r="AB66" i="6"/>
  <c r="AJ66" i="6"/>
  <c r="U67" i="6" a="1"/>
  <c r="U67" i="6" s="1"/>
  <c r="AU65" i="15"/>
  <c r="AV65" i="15"/>
  <c r="AW65" i="6"/>
  <c r="AX65" i="6"/>
  <c r="S67" i="15" a="1"/>
  <c r="S67" i="15" s="1"/>
  <c r="Z66" i="15"/>
  <c r="AQ66" i="15"/>
  <c r="AH66" i="15"/>
  <c r="W25" i="15"/>
  <c r="Q24" i="15"/>
  <c r="AE24" i="15" s="1"/>
  <c r="AM24" i="15" s="1"/>
  <c r="Y25" i="6" a="1"/>
  <c r="Y25" i="6" s="1"/>
  <c r="S24" i="6"/>
  <c r="AG24" i="6" s="1"/>
  <c r="AO24" i="6" s="1"/>
  <c r="I26" i="6" l="1"/>
  <c r="BR26" i="5"/>
  <c r="BS25" i="5"/>
  <c r="CY25" i="5" s="1"/>
  <c r="DI24" i="5"/>
  <c r="Y26" i="6" a="1"/>
  <c r="Y26" i="6" s="1"/>
  <c r="S25" i="6"/>
  <c r="AG25" i="6" s="1"/>
  <c r="AO25" i="6" s="1"/>
  <c r="W26" i="15"/>
  <c r="Q25" i="15"/>
  <c r="AE25" i="15" s="1"/>
  <c r="AM25" i="15" s="1"/>
  <c r="AV66" i="15"/>
  <c r="AU66" i="15"/>
  <c r="S68" i="15" a="1"/>
  <c r="S68" i="15" s="1"/>
  <c r="AQ67" i="15"/>
  <c r="Z67" i="15"/>
  <c r="AH67" i="15"/>
  <c r="AX66" i="6"/>
  <c r="AW66" i="6"/>
  <c r="AS67" i="6"/>
  <c r="AB67" i="6"/>
  <c r="AJ67" i="6"/>
  <c r="U68" i="6" a="1"/>
  <c r="U68" i="6" s="1"/>
  <c r="I27" i="6" l="1"/>
  <c r="BR27" i="5"/>
  <c r="BS26" i="5"/>
  <c r="CY26" i="5" s="1"/>
  <c r="DI25" i="5"/>
  <c r="AS68" i="6"/>
  <c r="AB68" i="6"/>
  <c r="AJ68" i="6"/>
  <c r="U69" i="6" a="1"/>
  <c r="U69" i="6" s="1"/>
  <c r="AV67" i="15"/>
  <c r="AU67" i="15"/>
  <c r="AW67" i="6"/>
  <c r="AX67" i="6"/>
  <c r="AQ68" i="15"/>
  <c r="S69" i="15" a="1"/>
  <c r="S69" i="15" s="1"/>
  <c r="AH68" i="15"/>
  <c r="Z68" i="15"/>
  <c r="W27" i="15"/>
  <c r="Q26" i="15"/>
  <c r="AE26" i="15" s="1"/>
  <c r="AM26" i="15" s="1"/>
  <c r="Y27" i="6" a="1"/>
  <c r="Y27" i="6" s="1"/>
  <c r="S26" i="6"/>
  <c r="AG26" i="6" s="1"/>
  <c r="AO26" i="6" s="1"/>
  <c r="I28" i="6" l="1"/>
  <c r="BR28" i="5"/>
  <c r="BS27" i="5"/>
  <c r="CY27" i="5" s="1"/>
  <c r="DI26" i="5"/>
  <c r="Y28" i="6" a="1"/>
  <c r="Y28" i="6" s="1"/>
  <c r="S27" i="6"/>
  <c r="AG27" i="6" s="1"/>
  <c r="W28" i="15"/>
  <c r="Q27" i="15"/>
  <c r="AE27" i="15" s="1"/>
  <c r="AM27" i="15" s="1"/>
  <c r="AV68" i="15"/>
  <c r="AU68" i="15"/>
  <c r="AW68" i="6"/>
  <c r="AX68" i="6"/>
  <c r="S70" i="15" a="1"/>
  <c r="S70" i="15" s="1"/>
  <c r="Z69" i="15"/>
  <c r="AH69" i="15"/>
  <c r="AQ69" i="15"/>
  <c r="U70" i="6" a="1"/>
  <c r="U70" i="6" s="1"/>
  <c r="AB69" i="6"/>
  <c r="AJ69" i="6"/>
  <c r="AS69" i="6"/>
  <c r="I29" i="6" l="1"/>
  <c r="BR29" i="5"/>
  <c r="BS28" i="5"/>
  <c r="CY28" i="5" s="1"/>
  <c r="DI27" i="5"/>
  <c r="AW69" i="6"/>
  <c r="AX69" i="6"/>
  <c r="AV69" i="15"/>
  <c r="AU69" i="15"/>
  <c r="AO27" i="6"/>
  <c r="BJ7" i="6"/>
  <c r="BJ8" i="6" s="1"/>
  <c r="BJ9" i="6" s="1"/>
  <c r="BJ10" i="6" s="1"/>
  <c r="BJ11" i="6" s="1"/>
  <c r="BJ12" i="6" s="1"/>
  <c r="BJ13" i="6" s="1"/>
  <c r="BJ14" i="6" s="1"/>
  <c r="BJ15" i="6" s="1"/>
  <c r="BJ16" i="6" s="1"/>
  <c r="BJ17" i="6" s="1"/>
  <c r="BJ18" i="6" s="1"/>
  <c r="BJ19" i="6" s="1"/>
  <c r="BJ20" i="6" s="1"/>
  <c r="BJ21" i="6" s="1"/>
  <c r="BJ22" i="6" s="1"/>
  <c r="BJ23" i="6" s="1"/>
  <c r="BJ24" i="6" s="1"/>
  <c r="BJ25" i="6" s="1"/>
  <c r="BJ26" i="6" s="1"/>
  <c r="BJ27" i="6" s="1"/>
  <c r="BJ28" i="6" s="1"/>
  <c r="BJ29" i="6" s="1"/>
  <c r="BJ30" i="6" s="1"/>
  <c r="BJ31" i="6" s="1"/>
  <c r="BJ32" i="6" s="1"/>
  <c r="BJ33" i="6" s="1"/>
  <c r="BJ34" i="6" s="1"/>
  <c r="BJ35" i="6" s="1"/>
  <c r="BJ36" i="6" s="1"/>
  <c r="BJ37" i="6" s="1"/>
  <c r="BJ38" i="6" s="1"/>
  <c r="BJ39" i="6" s="1"/>
  <c r="BJ40" i="6" s="1"/>
  <c r="BJ41" i="6" s="1"/>
  <c r="BJ42" i="6" s="1"/>
  <c r="BJ43" i="6" s="1"/>
  <c r="BJ44" i="6" s="1"/>
  <c r="BJ45" i="6" s="1"/>
  <c r="BJ46" i="6" s="1"/>
  <c r="BJ47" i="6" s="1"/>
  <c r="BJ48" i="6" s="1"/>
  <c r="BJ49" i="6" s="1"/>
  <c r="BJ50" i="6" s="1"/>
  <c r="BJ51" i="6" s="1"/>
  <c r="BJ52" i="6" s="1"/>
  <c r="BJ53" i="6" s="1"/>
  <c r="BJ54" i="6" s="1"/>
  <c r="BJ55" i="6" s="1"/>
  <c r="BJ56" i="6" s="1"/>
  <c r="BJ57" i="6" s="1"/>
  <c r="BJ58" i="6" s="1"/>
  <c r="BJ59" i="6" s="1"/>
  <c r="BJ60" i="6" s="1"/>
  <c r="BJ61" i="6" s="1"/>
  <c r="BJ62" i="6" s="1"/>
  <c r="BJ63" i="6" s="1"/>
  <c r="BJ64" i="6" s="1"/>
  <c r="BJ65" i="6" s="1"/>
  <c r="BJ66" i="6" s="1"/>
  <c r="BJ67" i="6" s="1"/>
  <c r="BJ68" i="6" s="1"/>
  <c r="BJ69" i="6" s="1"/>
  <c r="BJ70" i="6" s="1"/>
  <c r="BJ71" i="6" s="1"/>
  <c r="BJ72" i="6" s="1"/>
  <c r="BJ73" i="6" s="1"/>
  <c r="BJ74" i="6" s="1"/>
  <c r="BJ75" i="6" s="1"/>
  <c r="BJ76" i="6" s="1"/>
  <c r="BJ77" i="6" s="1"/>
  <c r="BJ78" i="6" s="1"/>
  <c r="BJ79" i="6" s="1"/>
  <c r="BJ80" i="6" s="1"/>
  <c r="BJ81" i="6" s="1"/>
  <c r="BJ82" i="6" s="1"/>
  <c r="U71" i="6" a="1"/>
  <c r="U71" i="6" s="1"/>
  <c r="AB70" i="6"/>
  <c r="AS70" i="6"/>
  <c r="AJ70" i="6"/>
  <c r="S71" i="15" a="1"/>
  <c r="S71" i="15" s="1"/>
  <c r="AQ70" i="15"/>
  <c r="AH70" i="15"/>
  <c r="Z70" i="15"/>
  <c r="W29" i="15"/>
  <c r="Q28" i="15"/>
  <c r="AE28" i="15" s="1"/>
  <c r="AM28" i="15" s="1"/>
  <c r="Y29" i="6" a="1"/>
  <c r="Y29" i="6" s="1"/>
  <c r="S28" i="6"/>
  <c r="AG28" i="6" s="1"/>
  <c r="AO28" i="6" s="1"/>
  <c r="I30" i="6" l="1"/>
  <c r="BR30" i="5"/>
  <c r="BS29" i="5"/>
  <c r="CY29" i="5" s="1"/>
  <c r="DI28" i="5"/>
  <c r="Y30" i="6" a="1"/>
  <c r="Y30" i="6" s="1"/>
  <c r="S29" i="6"/>
  <c r="AG29" i="6" s="1"/>
  <c r="AO29" i="6" s="1"/>
  <c r="W30" i="15"/>
  <c r="Q29" i="15"/>
  <c r="AE29" i="15" s="1"/>
  <c r="AM29" i="15" s="1"/>
  <c r="AQ71" i="15"/>
  <c r="AH71" i="15"/>
  <c r="S72" i="15" a="1"/>
  <c r="S72" i="15" s="1"/>
  <c r="Z71" i="15"/>
  <c r="AX70" i="6"/>
  <c r="AW70" i="6"/>
  <c r="U72" i="6" a="1"/>
  <c r="U72" i="6" s="1"/>
  <c r="AS71" i="6"/>
  <c r="AJ71" i="6"/>
  <c r="AB71" i="6"/>
  <c r="AV70" i="15"/>
  <c r="AU70" i="15"/>
  <c r="I31" i="6" l="1"/>
  <c r="DS14" i="5"/>
  <c r="G34" i="7"/>
  <c r="G70" i="7" s="1"/>
  <c r="P70" i="7" s="1"/>
  <c r="G42" i="7"/>
  <c r="BR31" i="5"/>
  <c r="BS30" i="5"/>
  <c r="CY30" i="5" s="1"/>
  <c r="DI29" i="5"/>
  <c r="AW71" i="6"/>
  <c r="AX71" i="6"/>
  <c r="AS72" i="6"/>
  <c r="U73" i="6" a="1"/>
  <c r="U73" i="6" s="1"/>
  <c r="AB72" i="6"/>
  <c r="AJ72" i="6"/>
  <c r="S73" i="15" a="1"/>
  <c r="S73" i="15" s="1"/>
  <c r="Z72" i="15"/>
  <c r="AH72" i="15"/>
  <c r="AQ72" i="15"/>
  <c r="AU71" i="15"/>
  <c r="AV71" i="15"/>
  <c r="W31" i="15"/>
  <c r="Q30" i="15"/>
  <c r="AE30" i="15" s="1"/>
  <c r="AM30" i="15" s="1"/>
  <c r="S30" i="6"/>
  <c r="AG30" i="6" s="1"/>
  <c r="AO30" i="6" s="1"/>
  <c r="Y31" i="6" a="1"/>
  <c r="Y31" i="6" s="1"/>
  <c r="I32" i="6" l="1"/>
  <c r="DI30" i="5"/>
  <c r="BR32" i="5"/>
  <c r="BS31" i="5"/>
  <c r="CY31" i="5" s="1"/>
  <c r="Q31" i="15"/>
  <c r="AE31" i="15" s="1"/>
  <c r="AM31" i="15" s="1"/>
  <c r="W32" i="15"/>
  <c r="S74" i="15" a="1"/>
  <c r="S74" i="15" s="1"/>
  <c r="AQ73" i="15"/>
  <c r="Z73" i="15"/>
  <c r="AH73" i="15"/>
  <c r="AW72" i="6"/>
  <c r="AX72" i="6"/>
  <c r="S31" i="6"/>
  <c r="AG31" i="6" s="1"/>
  <c r="AO31" i="6" s="1"/>
  <c r="Y32" i="6" a="1"/>
  <c r="Y32" i="6" s="1"/>
  <c r="AU72" i="15"/>
  <c r="AV72" i="15"/>
  <c r="AS73" i="6"/>
  <c r="AB73" i="6"/>
  <c r="AJ73" i="6"/>
  <c r="U74" i="6" a="1"/>
  <c r="U74" i="6" s="1"/>
  <c r="I33" i="6" l="1"/>
  <c r="DI31" i="5"/>
  <c r="BR33" i="5"/>
  <c r="BS32" i="5"/>
  <c r="CY32" i="5" s="1"/>
  <c r="U75" i="6" a="1"/>
  <c r="U75" i="6" s="1"/>
  <c r="AS74" i="6"/>
  <c r="AJ74" i="6"/>
  <c r="AB74" i="6"/>
  <c r="S32" i="6"/>
  <c r="AG32" i="6" s="1"/>
  <c r="AO32" i="6" s="1"/>
  <c r="Y33" i="6" a="1"/>
  <c r="Y33" i="6" s="1"/>
  <c r="AU73" i="15"/>
  <c r="AV73" i="15"/>
  <c r="Q32" i="15"/>
  <c r="AE32" i="15" s="1"/>
  <c r="W33" i="15"/>
  <c r="AW73" i="6"/>
  <c r="AX73" i="6"/>
  <c r="S75" i="15" a="1"/>
  <c r="S75" i="15" s="1"/>
  <c r="AQ74" i="15"/>
  <c r="AH74" i="15"/>
  <c r="Z74" i="15"/>
  <c r="I34" i="6" l="1"/>
  <c r="DI32" i="5"/>
  <c r="BR34" i="5"/>
  <c r="BS33" i="5"/>
  <c r="CY33" i="5" s="1"/>
  <c r="S76" i="15" a="1"/>
  <c r="S76" i="15" s="1"/>
  <c r="AQ75" i="15"/>
  <c r="Z75" i="15"/>
  <c r="AH75" i="15"/>
  <c r="BH7" i="15"/>
  <c r="BH8" i="15" s="1"/>
  <c r="BH9" i="15" s="1"/>
  <c r="BH10" i="15" s="1"/>
  <c r="BH11" i="15" s="1"/>
  <c r="BH12" i="15" s="1"/>
  <c r="BH13" i="15" s="1"/>
  <c r="BH14" i="15" s="1"/>
  <c r="BH15" i="15" s="1"/>
  <c r="BH16" i="15" s="1"/>
  <c r="BH17" i="15" s="1"/>
  <c r="BH18" i="15" s="1"/>
  <c r="BH19" i="15" s="1"/>
  <c r="BH20" i="15" s="1"/>
  <c r="BH21" i="15" s="1"/>
  <c r="BH22" i="15" s="1"/>
  <c r="BH23" i="15" s="1"/>
  <c r="BH24" i="15" s="1"/>
  <c r="BH25" i="15" s="1"/>
  <c r="BH26" i="15" s="1"/>
  <c r="BH27" i="15" s="1"/>
  <c r="BH28" i="15" s="1"/>
  <c r="BH29" i="15" s="1"/>
  <c r="BH30" i="15" s="1"/>
  <c r="BH31" i="15" s="1"/>
  <c r="BH32" i="15" s="1"/>
  <c r="BH33" i="15" s="1"/>
  <c r="BH34" i="15" s="1"/>
  <c r="BH35" i="15" s="1"/>
  <c r="BH36" i="15" s="1"/>
  <c r="BH37" i="15" s="1"/>
  <c r="BH38" i="15" s="1"/>
  <c r="BH39" i="15" s="1"/>
  <c r="BH40" i="15" s="1"/>
  <c r="BH41" i="15" s="1"/>
  <c r="BH42" i="15" s="1"/>
  <c r="BH43" i="15" s="1"/>
  <c r="BH44" i="15" s="1"/>
  <c r="BH45" i="15" s="1"/>
  <c r="BH46" i="15" s="1"/>
  <c r="BH47" i="15" s="1"/>
  <c r="BH48" i="15" s="1"/>
  <c r="BH49" i="15" s="1"/>
  <c r="BH50" i="15" s="1"/>
  <c r="BH51" i="15" s="1"/>
  <c r="BH52" i="15" s="1"/>
  <c r="BH53" i="15" s="1"/>
  <c r="BH54" i="15" s="1"/>
  <c r="BH55" i="15" s="1"/>
  <c r="BH56" i="15" s="1"/>
  <c r="BH57" i="15" s="1"/>
  <c r="BH58" i="15" s="1"/>
  <c r="BH59" i="15" s="1"/>
  <c r="BH60" i="15" s="1"/>
  <c r="BH61" i="15" s="1"/>
  <c r="BH62" i="15" s="1"/>
  <c r="BH63" i="15" s="1"/>
  <c r="BH64" i="15" s="1"/>
  <c r="BH65" i="15" s="1"/>
  <c r="BH66" i="15" s="1"/>
  <c r="BH67" i="15" s="1"/>
  <c r="BH68" i="15" s="1"/>
  <c r="BH69" i="15" s="1"/>
  <c r="BH70" i="15" s="1"/>
  <c r="BH71" i="15" s="1"/>
  <c r="BH72" i="15" s="1"/>
  <c r="BH73" i="15" s="1"/>
  <c r="BH74" i="15" s="1"/>
  <c r="BH75" i="15" s="1"/>
  <c r="BH76" i="15" s="1"/>
  <c r="BH77" i="15" s="1"/>
  <c r="BH78" i="15" s="1"/>
  <c r="BH79" i="15" s="1"/>
  <c r="BH80" i="15" s="1"/>
  <c r="BH81" i="15" s="1"/>
  <c r="BH82" i="15" s="1"/>
  <c r="AM32" i="15"/>
  <c r="AS75" i="6"/>
  <c r="AJ75" i="6"/>
  <c r="U76" i="6" a="1"/>
  <c r="U76" i="6" s="1"/>
  <c r="AB75" i="6"/>
  <c r="AU74" i="15"/>
  <c r="AV74" i="15"/>
  <c r="Q33" i="15"/>
  <c r="AE33" i="15" s="1"/>
  <c r="AM33" i="15" s="1"/>
  <c r="W34" i="15"/>
  <c r="S33" i="6"/>
  <c r="AG33" i="6" s="1"/>
  <c r="AO33" i="6" s="1"/>
  <c r="Y34" i="6" a="1"/>
  <c r="Y34" i="6" s="1"/>
  <c r="AW74" i="6"/>
  <c r="AX74" i="6"/>
  <c r="I35" i="6" l="1"/>
  <c r="DI33" i="5"/>
  <c r="BR35" i="5"/>
  <c r="BS34" i="5"/>
  <c r="CY34" i="5" s="1"/>
  <c r="S34" i="6"/>
  <c r="AG34" i="6" s="1"/>
  <c r="AO34" i="6" s="1"/>
  <c r="Y35" i="6" a="1"/>
  <c r="Y35" i="6" s="1"/>
  <c r="Q34" i="15"/>
  <c r="AE34" i="15" s="1"/>
  <c r="AM34" i="15" s="1"/>
  <c r="W35" i="15"/>
  <c r="AU75" i="15"/>
  <c r="AV75" i="15"/>
  <c r="U77" i="6" a="1"/>
  <c r="U77" i="6" s="1"/>
  <c r="AB76" i="6"/>
  <c r="AJ76" i="6"/>
  <c r="AS76" i="6"/>
  <c r="AW75" i="6"/>
  <c r="AX75" i="6"/>
  <c r="AQ76" i="15"/>
  <c r="S77" i="15" a="1"/>
  <c r="S77" i="15" s="1"/>
  <c r="AH76" i="15"/>
  <c r="Z76" i="15"/>
  <c r="I36" i="6" l="1"/>
  <c r="BR36" i="5"/>
  <c r="BS35" i="5"/>
  <c r="CY35" i="5" s="1"/>
  <c r="DI34" i="5"/>
  <c r="AV76" i="15"/>
  <c r="AU76" i="15"/>
  <c r="AS77" i="6"/>
  <c r="U78" i="6" a="1"/>
  <c r="U78" i="6" s="1"/>
  <c r="AJ77" i="6"/>
  <c r="AB77" i="6"/>
  <c r="AQ77" i="15"/>
  <c r="Z77" i="15"/>
  <c r="AH77" i="15"/>
  <c r="S78" i="15" a="1"/>
  <c r="S78" i="15" s="1"/>
  <c r="AW76" i="6"/>
  <c r="AX76" i="6"/>
  <c r="Q35" i="15"/>
  <c r="AE35" i="15" s="1"/>
  <c r="AM35" i="15" s="1"/>
  <c r="W36" i="15"/>
  <c r="S35" i="6"/>
  <c r="AG35" i="6" s="1"/>
  <c r="AO35" i="6" s="1"/>
  <c r="Y36" i="6" a="1"/>
  <c r="Y36" i="6" s="1"/>
  <c r="I37" i="6" l="1"/>
  <c r="DI35" i="5"/>
  <c r="BR37" i="5"/>
  <c r="BS36" i="5"/>
  <c r="CY36" i="5" s="1"/>
  <c r="S36" i="6"/>
  <c r="AG36" i="6" s="1"/>
  <c r="AO36" i="6" s="1"/>
  <c r="Y37" i="6" a="1"/>
  <c r="Y37" i="6" s="1"/>
  <c r="Q36" i="15"/>
  <c r="AE36" i="15" s="1"/>
  <c r="AM36" i="15" s="1"/>
  <c r="W37" i="15"/>
  <c r="S79" i="15" a="1"/>
  <c r="S79" i="15" s="1"/>
  <c r="Z78" i="15"/>
  <c r="AH78" i="15"/>
  <c r="AQ78" i="15"/>
  <c r="U79" i="6" a="1"/>
  <c r="U79" i="6" s="1"/>
  <c r="AB78" i="6"/>
  <c r="AJ78" i="6"/>
  <c r="AS78" i="6"/>
  <c r="AU77" i="15"/>
  <c r="AV77" i="15"/>
  <c r="AW77" i="6"/>
  <c r="AX77" i="6"/>
  <c r="I38" i="6" l="1"/>
  <c r="DI36" i="5"/>
  <c r="BR38" i="5"/>
  <c r="BS37" i="5"/>
  <c r="CY37" i="5" s="1"/>
  <c r="U80" i="6" a="1"/>
  <c r="U80" i="6" s="1"/>
  <c r="AS79" i="6"/>
  <c r="AJ79" i="6"/>
  <c r="AB79" i="6"/>
  <c r="AQ79" i="15"/>
  <c r="Z79" i="15"/>
  <c r="S80" i="15" a="1"/>
  <c r="S80" i="15" s="1"/>
  <c r="AH79" i="15"/>
  <c r="AX78" i="6"/>
  <c r="AW78" i="6"/>
  <c r="AV78" i="15"/>
  <c r="AU78" i="15"/>
  <c r="W38" i="15"/>
  <c r="Q37" i="15"/>
  <c r="AE37" i="15" s="1"/>
  <c r="AM37" i="15" s="1"/>
  <c r="Y38" i="6" a="1"/>
  <c r="Y38" i="6" s="1"/>
  <c r="S37" i="6"/>
  <c r="AG37" i="6" s="1"/>
  <c r="AO37" i="6" s="1"/>
  <c r="I39" i="6" l="1"/>
  <c r="B58" i="7" s="1"/>
  <c r="DI37" i="5"/>
  <c r="BR39" i="5"/>
  <c r="BS38" i="5"/>
  <c r="CY38" i="5" s="1"/>
  <c r="AW79" i="6"/>
  <c r="AX79" i="6"/>
  <c r="Y39" i="6" a="1"/>
  <c r="Y39" i="6" s="1"/>
  <c r="S38" i="6"/>
  <c r="AG38" i="6" s="1"/>
  <c r="AO38" i="6" s="1"/>
  <c r="W39" i="15"/>
  <c r="Q38" i="15"/>
  <c r="AE38" i="15" s="1"/>
  <c r="AM38" i="15" s="1"/>
  <c r="AQ80" i="15"/>
  <c r="Z80" i="15"/>
  <c r="AH80" i="15"/>
  <c r="S81" i="15" a="1"/>
  <c r="S81" i="15" s="1"/>
  <c r="AV79" i="15"/>
  <c r="AU79" i="15"/>
  <c r="U81" i="6" a="1"/>
  <c r="U81" i="6" s="1"/>
  <c r="AB80" i="6"/>
  <c r="AS80" i="6"/>
  <c r="AJ80" i="6"/>
  <c r="G58" i="7" l="1"/>
  <c r="G59" i="7" s="1"/>
  <c r="B59" i="7"/>
  <c r="F59" i="7" s="1"/>
  <c r="I40" i="6"/>
  <c r="DI38" i="5"/>
  <c r="DS15" i="5" s="1"/>
  <c r="BR40" i="5"/>
  <c r="BS39" i="5"/>
  <c r="CY39" i="5" s="1"/>
  <c r="AW80" i="6"/>
  <c r="AX80" i="6"/>
  <c r="U82" i="6" a="1"/>
  <c r="U82" i="6" s="1"/>
  <c r="AS81" i="6"/>
  <c r="AJ81" i="6"/>
  <c r="AB81" i="6"/>
  <c r="AU80" i="15"/>
  <c r="AV80" i="15"/>
  <c r="W40" i="15"/>
  <c r="Q39" i="15"/>
  <c r="AE39" i="15" s="1"/>
  <c r="AM39" i="15" s="1"/>
  <c r="S39" i="6"/>
  <c r="AG39" i="6" s="1"/>
  <c r="AO39" i="6" s="1"/>
  <c r="Y40" i="6" a="1"/>
  <c r="Y40" i="6" s="1"/>
  <c r="S82" i="15" a="1"/>
  <c r="S82" i="15" s="1"/>
  <c r="Z81" i="15"/>
  <c r="AH81" i="15"/>
  <c r="AQ81" i="15"/>
  <c r="I41" i="6" l="1"/>
  <c r="DI39" i="5"/>
  <c r="BR41" i="5"/>
  <c r="BS40" i="5"/>
  <c r="CY40" i="5" s="1"/>
  <c r="AU81" i="15"/>
  <c r="AV81" i="15"/>
  <c r="Y41" i="6" a="1"/>
  <c r="Y41" i="6" s="1"/>
  <c r="S40" i="6"/>
  <c r="AG40" i="6" s="1"/>
  <c r="AO40" i="6" s="1"/>
  <c r="AX81" i="6"/>
  <c r="AW81" i="6"/>
  <c r="AQ82" i="15"/>
  <c r="Z82" i="15"/>
  <c r="AH82" i="15"/>
  <c r="W41" i="15"/>
  <c r="Q40" i="15"/>
  <c r="AE40" i="15" s="1"/>
  <c r="AM40" i="15" s="1"/>
  <c r="AJ82" i="6"/>
  <c r="AS82" i="6"/>
  <c r="AB82" i="6"/>
  <c r="I42" i="6" l="1"/>
  <c r="DI40" i="5"/>
  <c r="BR42" i="5"/>
  <c r="BS41" i="5"/>
  <c r="CY41" i="5" s="1"/>
  <c r="AX82" i="6"/>
  <c r="AW82" i="6"/>
  <c r="AV82" i="15"/>
  <c r="AU82" i="15"/>
  <c r="Y42" i="6" a="1"/>
  <c r="Y42" i="6" s="1"/>
  <c r="S41" i="6"/>
  <c r="AG41" i="6" s="1"/>
  <c r="AO41" i="6" s="1"/>
  <c r="W42" i="15"/>
  <c r="Q41" i="15"/>
  <c r="AE41" i="15" s="1"/>
  <c r="AM41" i="15" s="1"/>
  <c r="I43" i="6" l="1"/>
  <c r="DI41" i="5"/>
  <c r="R6" i="8"/>
  <c r="BR43" i="5"/>
  <c r="BS42" i="5"/>
  <c r="CY42" i="5" s="1"/>
  <c r="W43" i="15"/>
  <c r="Q42" i="15"/>
  <c r="AE42" i="15" s="1"/>
  <c r="AM42" i="15" s="1"/>
  <c r="Y43" i="6" a="1"/>
  <c r="Y43" i="6" s="1"/>
  <c r="S42" i="6"/>
  <c r="AG42" i="6" s="1"/>
  <c r="AO42" i="6" s="1"/>
  <c r="I44" i="6" l="1"/>
  <c r="DI42" i="5"/>
  <c r="AT45" i="8"/>
  <c r="BD45" i="8" s="1"/>
  <c r="AT46" i="8"/>
  <c r="BD46" i="8" s="1"/>
  <c r="AT95" i="8"/>
  <c r="BD95" i="8" s="1"/>
  <c r="AT77" i="8"/>
  <c r="BD77" i="8" s="1"/>
  <c r="AT82" i="8"/>
  <c r="BD82" i="8" s="1"/>
  <c r="R13" i="8"/>
  <c r="AB13" i="8" s="1"/>
  <c r="R93" i="8"/>
  <c r="AB93" i="8" s="1"/>
  <c r="R35" i="8"/>
  <c r="AB35" i="8" s="1"/>
  <c r="AT25" i="8"/>
  <c r="BD25" i="8" s="1"/>
  <c r="AT34" i="8"/>
  <c r="BD34" i="8" s="1"/>
  <c r="R106" i="8"/>
  <c r="AB106" i="8" s="1"/>
  <c r="AT109" i="8"/>
  <c r="BD109" i="8" s="1"/>
  <c r="AT60" i="8"/>
  <c r="BD60" i="8" s="1"/>
  <c r="AT47" i="8"/>
  <c r="BD47" i="8" s="1"/>
  <c r="R43" i="8"/>
  <c r="AB43" i="8" s="1"/>
  <c r="AT100" i="8"/>
  <c r="BD100" i="8" s="1"/>
  <c r="R44" i="8"/>
  <c r="AB44" i="8" s="1"/>
  <c r="AT81" i="8"/>
  <c r="BD81" i="8" s="1"/>
  <c r="AT70" i="8"/>
  <c r="BD70" i="8" s="1"/>
  <c r="AT88" i="8"/>
  <c r="BD88" i="8" s="1"/>
  <c r="AT79" i="8"/>
  <c r="BD79" i="8" s="1"/>
  <c r="R16" i="8"/>
  <c r="AB16" i="8" s="1"/>
  <c r="R91" i="8"/>
  <c r="AB91" i="8" s="1"/>
  <c r="R67" i="8"/>
  <c r="AB67" i="8" s="1"/>
  <c r="R40" i="8"/>
  <c r="AB40" i="8" s="1"/>
  <c r="AT92" i="8"/>
  <c r="BD92" i="8" s="1"/>
  <c r="AT104" i="8"/>
  <c r="BD104" i="8" s="1"/>
  <c r="AT55" i="8"/>
  <c r="BD55" i="8" s="1"/>
  <c r="AT102" i="8"/>
  <c r="BD102" i="8" s="1"/>
  <c r="R18" i="8"/>
  <c r="AB18" i="8" s="1"/>
  <c r="R15" i="8"/>
  <c r="AB15" i="8" s="1"/>
  <c r="AT64" i="8"/>
  <c r="BD64" i="8" s="1"/>
  <c r="R80" i="8"/>
  <c r="AB80" i="8" s="1"/>
  <c r="R105" i="8"/>
  <c r="AB105" i="8" s="1"/>
  <c r="R12" i="8"/>
  <c r="AB12" i="8" s="1"/>
  <c r="R47" i="8"/>
  <c r="AB47" i="8" s="1"/>
  <c r="AT53" i="8"/>
  <c r="BD53" i="8" s="1"/>
  <c r="R30" i="8"/>
  <c r="AB30" i="8" s="1"/>
  <c r="AT93" i="8"/>
  <c r="BD93" i="8" s="1"/>
  <c r="AT19" i="8"/>
  <c r="BD19" i="8" s="1"/>
  <c r="R53" i="8"/>
  <c r="AB53" i="8" s="1"/>
  <c r="AT86" i="8"/>
  <c r="BD86" i="8" s="1"/>
  <c r="R25" i="8"/>
  <c r="AB25" i="8" s="1"/>
  <c r="AT50" i="8"/>
  <c r="BD50" i="8" s="1"/>
  <c r="R64" i="8"/>
  <c r="AB64" i="8" s="1"/>
  <c r="AT44" i="8"/>
  <c r="BD44" i="8" s="1"/>
  <c r="AT40" i="8"/>
  <c r="BD40" i="8" s="1"/>
  <c r="AT96" i="8"/>
  <c r="BD96" i="8" s="1"/>
  <c r="R11" i="8"/>
  <c r="AB11" i="8" s="1"/>
  <c r="R46" i="8"/>
  <c r="AB46" i="8" s="1"/>
  <c r="R50" i="8"/>
  <c r="AB50" i="8" s="1"/>
  <c r="AT10" i="8"/>
  <c r="AT85" i="8"/>
  <c r="BD85" i="8" s="1"/>
  <c r="AT59" i="8"/>
  <c r="BD59" i="8" s="1"/>
  <c r="R79" i="8"/>
  <c r="AB79" i="8" s="1"/>
  <c r="R95" i="8"/>
  <c r="AB95" i="8" s="1"/>
  <c r="R76" i="8"/>
  <c r="AB76" i="8" s="1"/>
  <c r="R62" i="8"/>
  <c r="AB62" i="8" s="1"/>
  <c r="AT76" i="8"/>
  <c r="BD76" i="8" s="1"/>
  <c r="R41" i="8"/>
  <c r="AB41" i="8" s="1"/>
  <c r="R90" i="8"/>
  <c r="AB90" i="8" s="1"/>
  <c r="R110" i="8"/>
  <c r="AB110" i="8" s="1"/>
  <c r="R97" i="8"/>
  <c r="AB97" i="8" s="1"/>
  <c r="AT42" i="8"/>
  <c r="BD42" i="8" s="1"/>
  <c r="R107" i="8"/>
  <c r="AB107" i="8" s="1"/>
  <c r="R39" i="8"/>
  <c r="AB39" i="8" s="1"/>
  <c r="AT36" i="8"/>
  <c r="BD36" i="8" s="1"/>
  <c r="R100" i="8"/>
  <c r="AB100" i="8" s="1"/>
  <c r="R102" i="8"/>
  <c r="AB102" i="8" s="1"/>
  <c r="AT51" i="8"/>
  <c r="BD51" i="8" s="1"/>
  <c r="AT73" i="8"/>
  <c r="BD73" i="8" s="1"/>
  <c r="AT48" i="8"/>
  <c r="BD48" i="8" s="1"/>
  <c r="R82" i="8"/>
  <c r="AB82" i="8" s="1"/>
  <c r="AT90" i="8"/>
  <c r="BD90" i="8" s="1"/>
  <c r="AT71" i="8"/>
  <c r="BD71" i="8" s="1"/>
  <c r="AT17" i="8"/>
  <c r="BD17" i="8" s="1"/>
  <c r="R26" i="8"/>
  <c r="AB26" i="8" s="1"/>
  <c r="AT80" i="8"/>
  <c r="BD80" i="8" s="1"/>
  <c r="AT94" i="8"/>
  <c r="BD94" i="8" s="1"/>
  <c r="AT83" i="8"/>
  <c r="BD83" i="8" s="1"/>
  <c r="AT43" i="8"/>
  <c r="BD43" i="8" s="1"/>
  <c r="AT30" i="8"/>
  <c r="BD30" i="8" s="1"/>
  <c r="AT78" i="8"/>
  <c r="BD78" i="8" s="1"/>
  <c r="R92" i="8"/>
  <c r="AB92" i="8" s="1"/>
  <c r="AT62" i="8"/>
  <c r="BD62" i="8" s="1"/>
  <c r="AT35" i="8"/>
  <c r="BD35" i="8" s="1"/>
  <c r="AT31" i="8"/>
  <c r="BD31" i="8" s="1"/>
  <c r="R58" i="8"/>
  <c r="AB58" i="8" s="1"/>
  <c r="AT12" i="8"/>
  <c r="BD12" i="8" s="1"/>
  <c r="AT98" i="8"/>
  <c r="BD98" i="8" s="1"/>
  <c r="AT29" i="8"/>
  <c r="BD29" i="8" s="1"/>
  <c r="AT39" i="8"/>
  <c r="BD39" i="8" s="1"/>
  <c r="R69" i="8"/>
  <c r="AB69" i="8" s="1"/>
  <c r="AT66" i="8"/>
  <c r="BD66" i="8" s="1"/>
  <c r="R21" i="8"/>
  <c r="AB21" i="8" s="1"/>
  <c r="R84" i="8"/>
  <c r="AB84" i="8" s="1"/>
  <c r="AT41" i="8"/>
  <c r="BD41" i="8" s="1"/>
  <c r="AT27" i="8"/>
  <c r="BD27" i="8" s="1"/>
  <c r="R54" i="8"/>
  <c r="AB54" i="8" s="1"/>
  <c r="R42" i="8"/>
  <c r="AB42" i="8" s="1"/>
  <c r="AT91" i="8"/>
  <c r="BD91" i="8" s="1"/>
  <c r="R31" i="8"/>
  <c r="AB31" i="8" s="1"/>
  <c r="R88" i="8"/>
  <c r="AB88" i="8" s="1"/>
  <c r="R38" i="8"/>
  <c r="AB38" i="8" s="1"/>
  <c r="R70" i="8"/>
  <c r="AB70" i="8" s="1"/>
  <c r="R108" i="8"/>
  <c r="AB108" i="8" s="1"/>
  <c r="R14" i="8"/>
  <c r="AB14" i="8" s="1"/>
  <c r="R52" i="8"/>
  <c r="AB52" i="8" s="1"/>
  <c r="AT52" i="8"/>
  <c r="BD52" i="8" s="1"/>
  <c r="R77" i="8"/>
  <c r="AB77" i="8" s="1"/>
  <c r="R33" i="8"/>
  <c r="AB33" i="8" s="1"/>
  <c r="AT18" i="8"/>
  <c r="BD18" i="8" s="1"/>
  <c r="AT22" i="8"/>
  <c r="BD22" i="8" s="1"/>
  <c r="R101" i="8"/>
  <c r="AB101" i="8" s="1"/>
  <c r="R56" i="8"/>
  <c r="AB56" i="8" s="1"/>
  <c r="R17" i="8"/>
  <c r="AB17" i="8" s="1"/>
  <c r="AT56" i="8"/>
  <c r="BD56" i="8" s="1"/>
  <c r="AT33" i="8"/>
  <c r="BD33" i="8" s="1"/>
  <c r="R36" i="8"/>
  <c r="AB36" i="8" s="1"/>
  <c r="R34" i="8"/>
  <c r="AB34" i="8" s="1"/>
  <c r="R27" i="8"/>
  <c r="AB27" i="8" s="1"/>
  <c r="R10" i="8"/>
  <c r="AB10" i="8" s="1"/>
  <c r="R89" i="8"/>
  <c r="AB89" i="8" s="1"/>
  <c r="AT21" i="8"/>
  <c r="BD21" i="8" s="1"/>
  <c r="R71" i="8"/>
  <c r="AB71" i="8" s="1"/>
  <c r="R55" i="8"/>
  <c r="AB55" i="8" s="1"/>
  <c r="AT106" i="8"/>
  <c r="BD106" i="8" s="1"/>
  <c r="AT57" i="8"/>
  <c r="BD57" i="8" s="1"/>
  <c r="R74" i="8"/>
  <c r="AB74" i="8" s="1"/>
  <c r="R85" i="8"/>
  <c r="AB85" i="8" s="1"/>
  <c r="AT63" i="8"/>
  <c r="BD63" i="8" s="1"/>
  <c r="AT13" i="8"/>
  <c r="BD13" i="8" s="1"/>
  <c r="R48" i="8"/>
  <c r="AB48" i="8" s="1"/>
  <c r="R94" i="8"/>
  <c r="AB94" i="8" s="1"/>
  <c r="R65" i="8"/>
  <c r="AB65" i="8" s="1"/>
  <c r="R68" i="8"/>
  <c r="AB68" i="8" s="1"/>
  <c r="AT23" i="8"/>
  <c r="BD23" i="8" s="1"/>
  <c r="R103" i="8"/>
  <c r="AB103" i="8" s="1"/>
  <c r="R29" i="8"/>
  <c r="AB29" i="8" s="1"/>
  <c r="R99" i="8"/>
  <c r="AB99" i="8" s="1"/>
  <c r="R81" i="8"/>
  <c r="AB81" i="8" s="1"/>
  <c r="R19" i="8"/>
  <c r="AB19" i="8" s="1"/>
  <c r="AT87" i="8"/>
  <c r="BD87" i="8" s="1"/>
  <c r="AT107" i="8"/>
  <c r="BD107" i="8" s="1"/>
  <c r="R28" i="8"/>
  <c r="AB28" i="8" s="1"/>
  <c r="R23" i="8"/>
  <c r="AB23" i="8" s="1"/>
  <c r="AT74" i="8"/>
  <c r="BD74" i="8" s="1"/>
  <c r="R45" i="8"/>
  <c r="AB45" i="8" s="1"/>
  <c r="AT11" i="8"/>
  <c r="BD11" i="8" s="1"/>
  <c r="AT72" i="8"/>
  <c r="BD72" i="8" s="1"/>
  <c r="AT68" i="8"/>
  <c r="BD68" i="8" s="1"/>
  <c r="R73" i="8"/>
  <c r="AB73" i="8" s="1"/>
  <c r="AT20" i="8"/>
  <c r="BD20" i="8" s="1"/>
  <c r="AT65" i="8"/>
  <c r="BD65" i="8" s="1"/>
  <c r="R75" i="8"/>
  <c r="AB75" i="8" s="1"/>
  <c r="AT38" i="8"/>
  <c r="BD38" i="8" s="1"/>
  <c r="R87" i="8"/>
  <c r="AB87" i="8" s="1"/>
  <c r="R49" i="8"/>
  <c r="AB49" i="8" s="1"/>
  <c r="AT105" i="8"/>
  <c r="BD105" i="8" s="1"/>
  <c r="AT16" i="8"/>
  <c r="BD16" i="8" s="1"/>
  <c r="AT67" i="8"/>
  <c r="BD67" i="8" s="1"/>
  <c r="AT54" i="8"/>
  <c r="BD54" i="8" s="1"/>
  <c r="AT61" i="8"/>
  <c r="BD61" i="8" s="1"/>
  <c r="AT89" i="8"/>
  <c r="BD89" i="8" s="1"/>
  <c r="AT24" i="8"/>
  <c r="BD24" i="8" s="1"/>
  <c r="AT37" i="8"/>
  <c r="BD37" i="8" s="1"/>
  <c r="AT75" i="8"/>
  <c r="BD75" i="8" s="1"/>
  <c r="R51" i="8"/>
  <c r="AB51" i="8" s="1"/>
  <c r="AT84" i="8"/>
  <c r="BD84" i="8" s="1"/>
  <c r="R57" i="8"/>
  <c r="AB57" i="8" s="1"/>
  <c r="AT14" i="8"/>
  <c r="BD14" i="8" s="1"/>
  <c r="AT110" i="8"/>
  <c r="BD110" i="8" s="1"/>
  <c r="R20" i="8"/>
  <c r="AB20" i="8" s="1"/>
  <c r="AT69" i="8"/>
  <c r="BD69" i="8" s="1"/>
  <c r="AT32" i="8"/>
  <c r="BD32" i="8" s="1"/>
  <c r="R59" i="8"/>
  <c r="AB59" i="8" s="1"/>
  <c r="AT15" i="8"/>
  <c r="BD15" i="8" s="1"/>
  <c r="R83" i="8"/>
  <c r="AB83" i="8" s="1"/>
  <c r="R24" i="8"/>
  <c r="AB24" i="8" s="1"/>
  <c r="R60" i="8"/>
  <c r="AB60" i="8" s="1"/>
  <c r="R37" i="8"/>
  <c r="AB37" i="8" s="1"/>
  <c r="R63" i="8"/>
  <c r="AB63" i="8" s="1"/>
  <c r="R86" i="8"/>
  <c r="AB86" i="8" s="1"/>
  <c r="AT26" i="8"/>
  <c r="BD26" i="8" s="1"/>
  <c r="R61" i="8"/>
  <c r="AB61" i="8" s="1"/>
  <c r="R104" i="8"/>
  <c r="AB104" i="8" s="1"/>
  <c r="AT58" i="8"/>
  <c r="BD58" i="8" s="1"/>
  <c r="R72" i="8"/>
  <c r="AB72" i="8" s="1"/>
  <c r="AT103" i="8"/>
  <c r="BD103" i="8" s="1"/>
  <c r="R22" i="8"/>
  <c r="AB22" i="8" s="1"/>
  <c r="AT101" i="8"/>
  <c r="BD101" i="8" s="1"/>
  <c r="AT49" i="8"/>
  <c r="BD49" i="8" s="1"/>
  <c r="R98" i="8"/>
  <c r="AB98" i="8" s="1"/>
  <c r="R66" i="8"/>
  <c r="AB66" i="8" s="1"/>
  <c r="AT108" i="8"/>
  <c r="BD108" i="8" s="1"/>
  <c r="R109" i="8"/>
  <c r="AB109" i="8" s="1"/>
  <c r="AT28" i="8"/>
  <c r="BD28" i="8" s="1"/>
  <c r="R78" i="8"/>
  <c r="AB78" i="8" s="1"/>
  <c r="R96" i="8"/>
  <c r="AB96" i="8" s="1"/>
  <c r="AT99" i="8"/>
  <c r="BD99" i="8" s="1"/>
  <c r="R32" i="8"/>
  <c r="AB32" i="8" s="1"/>
  <c r="AT97" i="8"/>
  <c r="BD97" i="8" s="1"/>
  <c r="AB6" i="8"/>
  <c r="BR44" i="5"/>
  <c r="BS43" i="5"/>
  <c r="CY43" i="5" s="1"/>
  <c r="Y44" i="6" a="1"/>
  <c r="Y44" i="6" s="1"/>
  <c r="S43" i="6"/>
  <c r="AG43" i="6" s="1"/>
  <c r="AO43" i="6" s="1"/>
  <c r="W44" i="15"/>
  <c r="Q43" i="15"/>
  <c r="AE43" i="15" s="1"/>
  <c r="AM43" i="15" s="1"/>
  <c r="I45" i="6" l="1"/>
  <c r="DI43" i="5"/>
  <c r="BR45" i="5"/>
  <c r="BS44" i="5"/>
  <c r="CY44" i="5" s="1"/>
  <c r="W45" i="15"/>
  <c r="Q44" i="15"/>
  <c r="AE44" i="15" s="1"/>
  <c r="AM44" i="15" s="1"/>
  <c r="Y45" i="6" a="1"/>
  <c r="Y45" i="6" s="1"/>
  <c r="S44" i="6"/>
  <c r="AG44" i="6" s="1"/>
  <c r="AO44" i="6" s="1"/>
  <c r="I46" i="6" l="1"/>
  <c r="DI44" i="5"/>
  <c r="BR46" i="5"/>
  <c r="BS45" i="5"/>
  <c r="CY45" i="5" s="1"/>
  <c r="Y46" i="6" a="1"/>
  <c r="Y46" i="6" s="1"/>
  <c r="S45" i="6"/>
  <c r="AG45" i="6" s="1"/>
  <c r="AO45" i="6" s="1"/>
  <c r="W46" i="15"/>
  <c r="Q45" i="15"/>
  <c r="AE45" i="15" s="1"/>
  <c r="AM45" i="15" s="1"/>
  <c r="I47" i="6" l="1"/>
  <c r="BR47" i="5"/>
  <c r="BS46" i="5"/>
  <c r="CY46" i="5" s="1"/>
  <c r="DI45" i="5"/>
  <c r="W47" i="15"/>
  <c r="Q46" i="15"/>
  <c r="AE46" i="15" s="1"/>
  <c r="AM46" i="15" s="1"/>
  <c r="Y47" i="6" a="1"/>
  <c r="Y47" i="6" s="1"/>
  <c r="S46" i="6"/>
  <c r="AG46" i="6" s="1"/>
  <c r="AO46" i="6" s="1"/>
  <c r="I48" i="6" l="1"/>
  <c r="BR48" i="5"/>
  <c r="BS48" i="5" s="1"/>
  <c r="CY48" i="5" s="1"/>
  <c r="BS47" i="5"/>
  <c r="CY47" i="5" s="1"/>
  <c r="DI46" i="5"/>
  <c r="Y48" i="6" a="1"/>
  <c r="Y48" i="6" s="1"/>
  <c r="S47" i="6"/>
  <c r="AG47" i="6" s="1"/>
  <c r="AO47" i="6" s="1"/>
  <c r="W48" i="15"/>
  <c r="Q47" i="15"/>
  <c r="AE47" i="15" s="1"/>
  <c r="AM47" i="15" s="1"/>
  <c r="EL44" i="5" l="1" a="1"/>
  <c r="EL44" i="5" s="1"/>
  <c r="EL47" i="5" a="1"/>
  <c r="EL47" i="5" s="1"/>
  <c r="EL48" i="5" a="1"/>
  <c r="EL48" i="5" s="1"/>
  <c r="EL6" i="5" a="1"/>
  <c r="EL6" i="5" s="1"/>
  <c r="EL7" i="5" a="1"/>
  <c r="EL7" i="5" s="1"/>
  <c r="EL8" i="5" a="1"/>
  <c r="EL8" i="5" s="1"/>
  <c r="EL9" i="5" a="1"/>
  <c r="EL9" i="5" s="1"/>
  <c r="EL10" i="5" a="1"/>
  <c r="EL10" i="5" s="1"/>
  <c r="EL11" i="5" a="1"/>
  <c r="EL11" i="5" s="1"/>
  <c r="EL12" i="5" a="1"/>
  <c r="EL12" i="5" s="1"/>
  <c r="EL13" i="5" a="1"/>
  <c r="EL13" i="5" s="1"/>
  <c r="EL14" i="5" a="1"/>
  <c r="EL14" i="5" s="1"/>
  <c r="EL15" i="5" a="1"/>
  <c r="EL15" i="5" s="1"/>
  <c r="EL16" i="5" a="1"/>
  <c r="EL16" i="5" s="1"/>
  <c r="EL17" i="5" a="1"/>
  <c r="EL17" i="5" s="1"/>
  <c r="EL18" i="5" a="1"/>
  <c r="EL18" i="5" s="1"/>
  <c r="EL19" i="5" a="1"/>
  <c r="EL19" i="5" s="1"/>
  <c r="EL20" i="5" a="1"/>
  <c r="EL20" i="5" s="1"/>
  <c r="EL21" i="5" a="1"/>
  <c r="EL21" i="5" s="1"/>
  <c r="EL22" i="5" a="1"/>
  <c r="EL22" i="5" s="1"/>
  <c r="EL23" i="5" a="1"/>
  <c r="EL23" i="5" s="1"/>
  <c r="EL24" i="5" a="1"/>
  <c r="EL24" i="5" s="1"/>
  <c r="EL25" i="5" a="1"/>
  <c r="EL25" i="5" s="1"/>
  <c r="EL26" i="5" a="1"/>
  <c r="EL26" i="5" s="1"/>
  <c r="EL27" i="5" a="1"/>
  <c r="EL27" i="5" s="1"/>
  <c r="EL28" i="5" a="1"/>
  <c r="EL28" i="5" s="1"/>
  <c r="EL29" i="5" a="1"/>
  <c r="EL29" i="5" s="1"/>
  <c r="EL30" i="5" a="1"/>
  <c r="EL30" i="5" s="1"/>
  <c r="EL31" i="5" a="1"/>
  <c r="EL31" i="5" s="1"/>
  <c r="EL32" i="5" a="1"/>
  <c r="EL32" i="5" s="1"/>
  <c r="EL33" i="5" a="1"/>
  <c r="EL33" i="5" s="1"/>
  <c r="EL34" i="5" a="1"/>
  <c r="EL34" i="5" s="1"/>
  <c r="EL35" i="5" a="1"/>
  <c r="EL35" i="5" s="1"/>
  <c r="EL36" i="5" a="1"/>
  <c r="EL36" i="5" s="1"/>
  <c r="EL37" i="5" a="1"/>
  <c r="EL37" i="5" s="1"/>
  <c r="EL38" i="5" a="1"/>
  <c r="EL38" i="5" s="1"/>
  <c r="EL39" i="5" a="1"/>
  <c r="EL39" i="5" s="1"/>
  <c r="EL40" i="5" a="1"/>
  <c r="EL40" i="5" s="1"/>
  <c r="EL41" i="5" a="1"/>
  <c r="EL41" i="5" s="1"/>
  <c r="EL42" i="5" a="1"/>
  <c r="EL42" i="5" s="1"/>
  <c r="EL43" i="5" a="1"/>
  <c r="EL43" i="5" s="1"/>
  <c r="EL45" i="5" a="1"/>
  <c r="EL45" i="5" s="1"/>
  <c r="EL46" i="5" a="1"/>
  <c r="EL46" i="5" s="1"/>
  <c r="I49" i="6"/>
  <c r="EC46" i="5" a="1"/>
  <c r="EC46" i="5" s="1"/>
  <c r="EC44" i="5" a="1"/>
  <c r="EC44" i="5" s="1"/>
  <c r="DI48" i="5"/>
  <c r="G43" i="7" s="1"/>
  <c r="EC48" i="5" a="1"/>
  <c r="EC48" i="5" s="1"/>
  <c r="CY3" i="5"/>
  <c r="EC7" i="5" a="1"/>
  <c r="EC7" i="5" s="1"/>
  <c r="EC9" i="5" a="1"/>
  <c r="EC9" i="5" s="1"/>
  <c r="EC8" i="5" a="1"/>
  <c r="EC8" i="5" s="1"/>
  <c r="EC10" i="5" a="1"/>
  <c r="EC10" i="5" s="1"/>
  <c r="EC6" i="5" a="1"/>
  <c r="EC6" i="5" s="1"/>
  <c r="CY2" i="5"/>
  <c r="EC12" i="5" a="1"/>
  <c r="EC12" i="5" s="1"/>
  <c r="EC11" i="5" a="1"/>
  <c r="EC11" i="5" s="1"/>
  <c r="EC13" i="5" a="1"/>
  <c r="EC13" i="5" s="1"/>
  <c r="EC14" i="5" a="1"/>
  <c r="EC14" i="5" s="1"/>
  <c r="EC16" i="5" a="1"/>
  <c r="EC16" i="5" s="1"/>
  <c r="EC19" i="5" a="1"/>
  <c r="EC19" i="5" s="1"/>
  <c r="EC17" i="5" a="1"/>
  <c r="EC17" i="5" s="1"/>
  <c r="EC15" i="5" a="1"/>
  <c r="EC15" i="5" s="1"/>
  <c r="EC18" i="5" a="1"/>
  <c r="EC18" i="5" s="1"/>
  <c r="EC21" i="5" a="1"/>
  <c r="EC21" i="5" s="1"/>
  <c r="EC22" i="5" a="1"/>
  <c r="EC22" i="5" s="1"/>
  <c r="EC23" i="5" a="1"/>
  <c r="EC23" i="5" s="1"/>
  <c r="EC20" i="5" a="1"/>
  <c r="EC20" i="5" s="1"/>
  <c r="EC24" i="5" a="1"/>
  <c r="EC24" i="5" s="1"/>
  <c r="EC25" i="5" a="1"/>
  <c r="EC25" i="5" s="1"/>
  <c r="EC26" i="5" a="1"/>
  <c r="EC26" i="5" s="1"/>
  <c r="EC28" i="5" a="1"/>
  <c r="EC28" i="5" s="1"/>
  <c r="EC29" i="5" a="1"/>
  <c r="EC29" i="5" s="1"/>
  <c r="EC27" i="5" a="1"/>
  <c r="EC27" i="5" s="1"/>
  <c r="EC30" i="5" a="1"/>
  <c r="EC30" i="5" s="1"/>
  <c r="EC31" i="5" a="1"/>
  <c r="EC31" i="5" s="1"/>
  <c r="EC33" i="5" a="1"/>
  <c r="EC33" i="5" s="1"/>
  <c r="EC32" i="5" a="1"/>
  <c r="EC32" i="5" s="1"/>
  <c r="EC34" i="5" a="1"/>
  <c r="EC34" i="5" s="1"/>
  <c r="EC35" i="5" a="1"/>
  <c r="EC35" i="5" s="1"/>
  <c r="EC36" i="5" a="1"/>
  <c r="EC36" i="5" s="1"/>
  <c r="EC37" i="5" a="1"/>
  <c r="EC37" i="5" s="1"/>
  <c r="EC38" i="5" a="1"/>
  <c r="EC38" i="5" s="1"/>
  <c r="EC39" i="5" a="1"/>
  <c r="EC39" i="5" s="1"/>
  <c r="EC40" i="5" a="1"/>
  <c r="EC40" i="5" s="1"/>
  <c r="DI47" i="5"/>
  <c r="EC47" i="5" a="1"/>
  <c r="EC47" i="5" s="1"/>
  <c r="EC43" i="5" a="1"/>
  <c r="EC43" i="5" s="1"/>
  <c r="EC45" i="5" a="1"/>
  <c r="EC45" i="5" s="1"/>
  <c r="EC41" i="5" a="1"/>
  <c r="EC41" i="5" s="1"/>
  <c r="EC42" i="5" a="1"/>
  <c r="EC42" i="5" s="1"/>
  <c r="W49" i="15"/>
  <c r="Q48" i="15"/>
  <c r="AE48" i="15" s="1"/>
  <c r="AM48" i="15" s="1"/>
  <c r="Y49" i="6" a="1"/>
  <c r="Y49" i="6" s="1"/>
  <c r="S48" i="6"/>
  <c r="AG48" i="6" s="1"/>
  <c r="AO48" i="6" s="1"/>
  <c r="G35" i="7" l="1"/>
  <c r="G71" i="7" s="1"/>
  <c r="P71" i="7" s="1"/>
  <c r="DS16" i="5"/>
  <c r="DI2" i="5"/>
  <c r="DI3" i="5"/>
  <c r="DS7" i="5" s="1"/>
  <c r="Y50" i="6" a="1"/>
  <c r="Y50" i="6" s="1"/>
  <c r="S49" i="6"/>
  <c r="AG49" i="6" s="1"/>
  <c r="W50" i="15" a="1"/>
  <c r="W50" i="15" s="1"/>
  <c r="Q49" i="15"/>
  <c r="AE49" i="15" s="1"/>
  <c r="AM49" i="15" s="1"/>
  <c r="G24" i="7" l="1"/>
  <c r="G54" i="7"/>
  <c r="AO49" i="6"/>
  <c r="DS4" i="5"/>
  <c r="DS5" i="5"/>
  <c r="DS8" i="5"/>
  <c r="DS9" i="5"/>
  <c r="DS3" i="5"/>
  <c r="W51" i="15" a="1"/>
  <c r="W51" i="15" s="1"/>
  <c r="Q50" i="15"/>
  <c r="AE50" i="15" s="1"/>
  <c r="AM50" i="15" s="1"/>
  <c r="Y51" i="6" a="1"/>
  <c r="Y51" i="6" s="1"/>
  <c r="S50" i="6"/>
  <c r="AG50" i="6" s="1"/>
  <c r="G28" i="7" l="1"/>
  <c r="G62" i="7"/>
  <c r="AO50" i="6"/>
  <c r="Y52" i="6" a="1"/>
  <c r="Y52" i="6" s="1"/>
  <c r="S51" i="6"/>
  <c r="AG51" i="6" s="1"/>
  <c r="AO51" i="6" s="1"/>
  <c r="W52" i="15" a="1"/>
  <c r="W52" i="15" s="1"/>
  <c r="Q51" i="15"/>
  <c r="AE51" i="15" s="1"/>
  <c r="AM51" i="15" s="1"/>
  <c r="W53" i="15" l="1" a="1"/>
  <c r="W53" i="15" s="1"/>
  <c r="Q52" i="15"/>
  <c r="AE52" i="15" s="1"/>
  <c r="AM52" i="15" s="1"/>
  <c r="Y53" i="6" a="1"/>
  <c r="Y53" i="6" s="1"/>
  <c r="S52" i="6"/>
  <c r="AG52" i="6" s="1"/>
  <c r="AO52" i="6" s="1"/>
  <c r="Y54" i="6" l="1" a="1"/>
  <c r="Y54" i="6" s="1"/>
  <c r="S53" i="6"/>
  <c r="AG53" i="6" s="1"/>
  <c r="AO53" i="6" s="1"/>
  <c r="W54" i="15" a="1"/>
  <c r="W54" i="15" s="1"/>
  <c r="Q53" i="15"/>
  <c r="AE53" i="15" s="1"/>
  <c r="AM53" i="15" s="1"/>
  <c r="W55" i="15" l="1" a="1"/>
  <c r="W55" i="15" s="1"/>
  <c r="Q54" i="15"/>
  <c r="AE54" i="15" s="1"/>
  <c r="AM54" i="15" s="1"/>
  <c r="Y55" i="6" a="1"/>
  <c r="Y55" i="6" s="1"/>
  <c r="S54" i="6"/>
  <c r="AG54" i="6" s="1"/>
  <c r="AO54" i="6" s="1"/>
  <c r="Y56" i="6" l="1" a="1"/>
  <c r="Y56" i="6" s="1"/>
  <c r="S55" i="6"/>
  <c r="AG55" i="6" s="1"/>
  <c r="AO55" i="6" s="1"/>
  <c r="W56" i="15" a="1"/>
  <c r="W56" i="15" s="1"/>
  <c r="Q55" i="15"/>
  <c r="AE55" i="15" s="1"/>
  <c r="AM55" i="15" s="1"/>
  <c r="W57" i="15" l="1" a="1"/>
  <c r="W57" i="15" s="1"/>
  <c r="Q56" i="15"/>
  <c r="AE56" i="15" s="1"/>
  <c r="AM56" i="15" s="1"/>
  <c r="Y57" i="6" a="1"/>
  <c r="Y57" i="6" s="1"/>
  <c r="S56" i="6"/>
  <c r="AG56" i="6" s="1"/>
  <c r="AO56" i="6" s="1"/>
  <c r="Y58" i="6" l="1" a="1"/>
  <c r="Y58" i="6" s="1"/>
  <c r="S57" i="6"/>
  <c r="AG57" i="6" s="1"/>
  <c r="AO57" i="6" s="1"/>
  <c r="W58" i="15" a="1"/>
  <c r="W58" i="15" s="1"/>
  <c r="Q57" i="15"/>
  <c r="AE57" i="15" s="1"/>
  <c r="AM57" i="15" s="1"/>
  <c r="W59" i="15" l="1" a="1"/>
  <c r="W59" i="15" s="1"/>
  <c r="Q58" i="15"/>
  <c r="AE58" i="15" s="1"/>
  <c r="AM58" i="15" s="1"/>
  <c r="Y59" i="6" a="1"/>
  <c r="Y59" i="6" s="1"/>
  <c r="S58" i="6"/>
  <c r="AG58" i="6" s="1"/>
  <c r="AO58" i="6" s="1"/>
  <c r="Y60" i="6" l="1" a="1"/>
  <c r="Y60" i="6" s="1"/>
  <c r="S59" i="6"/>
  <c r="AG59" i="6" s="1"/>
  <c r="AO59" i="6" s="1"/>
  <c r="W60" i="15" a="1"/>
  <c r="W60" i="15" s="1"/>
  <c r="Q59" i="15"/>
  <c r="AE59" i="15" s="1"/>
  <c r="AM59" i="15" s="1"/>
  <c r="W61" i="15" l="1" a="1"/>
  <c r="W61" i="15" s="1"/>
  <c r="Q60" i="15"/>
  <c r="AE60" i="15" s="1"/>
  <c r="AM60" i="15" s="1"/>
  <c r="Y61" i="6" a="1"/>
  <c r="Y61" i="6" s="1"/>
  <c r="S60" i="6"/>
  <c r="AG60" i="6" s="1"/>
  <c r="AO60" i="6" s="1"/>
  <c r="Y62" i="6" l="1" a="1"/>
  <c r="Y62" i="6" s="1"/>
  <c r="S61" i="6"/>
  <c r="AG61" i="6" s="1"/>
  <c r="AO61" i="6" s="1"/>
  <c r="W62" i="15" a="1"/>
  <c r="W62" i="15" s="1"/>
  <c r="Q61" i="15"/>
  <c r="AE61" i="15" s="1"/>
  <c r="AM61" i="15" s="1"/>
  <c r="W63" i="15" l="1" a="1"/>
  <c r="W63" i="15" s="1"/>
  <c r="Q62" i="15"/>
  <c r="AE62" i="15" s="1"/>
  <c r="AM62" i="15" s="1"/>
  <c r="Y63" i="6" a="1"/>
  <c r="Y63" i="6" s="1"/>
  <c r="S62" i="6"/>
  <c r="AG62" i="6" s="1"/>
  <c r="AO62" i="6" s="1"/>
  <c r="Y64" i="6" l="1" a="1"/>
  <c r="Y64" i="6" s="1"/>
  <c r="S63" i="6"/>
  <c r="AG63" i="6" s="1"/>
  <c r="AO63" i="6" s="1"/>
  <c r="W64" i="15" a="1"/>
  <c r="W64" i="15" s="1"/>
  <c r="Q63" i="15"/>
  <c r="AE63" i="15" s="1"/>
  <c r="AM63" i="15" s="1"/>
  <c r="W65" i="15" l="1" a="1"/>
  <c r="W65" i="15" s="1"/>
  <c r="Q64" i="15"/>
  <c r="AE64" i="15" s="1"/>
  <c r="AM64" i="15" s="1"/>
  <c r="Y65" i="6" a="1"/>
  <c r="Y65" i="6" s="1"/>
  <c r="S64" i="6"/>
  <c r="AG64" i="6" s="1"/>
  <c r="AO64" i="6" s="1"/>
  <c r="Y66" i="6" l="1" a="1"/>
  <c r="Y66" i="6" s="1"/>
  <c r="S65" i="6"/>
  <c r="AG65" i="6" s="1"/>
  <c r="AO65" i="6" s="1"/>
  <c r="W66" i="15" a="1"/>
  <c r="W66" i="15" s="1"/>
  <c r="Q65" i="15"/>
  <c r="AE65" i="15" s="1"/>
  <c r="AM65" i="15" s="1"/>
  <c r="W67" i="15" l="1" a="1"/>
  <c r="W67" i="15" s="1"/>
  <c r="Q66" i="15"/>
  <c r="AE66" i="15" s="1"/>
  <c r="AM66" i="15" s="1"/>
  <c r="Y67" i="6" a="1"/>
  <c r="Y67" i="6" s="1"/>
  <c r="S66" i="6"/>
  <c r="AG66" i="6" s="1"/>
  <c r="AO66" i="6" s="1"/>
  <c r="Y68" i="6" l="1" a="1"/>
  <c r="Y68" i="6" s="1"/>
  <c r="S67" i="6"/>
  <c r="AG67" i="6" s="1"/>
  <c r="AO67" i="6" s="1"/>
  <c r="W68" i="15" a="1"/>
  <c r="W68" i="15" s="1"/>
  <c r="Q67" i="15"/>
  <c r="AE67" i="15" s="1"/>
  <c r="AM67" i="15" s="1"/>
  <c r="W69" i="15" l="1" a="1"/>
  <c r="W69" i="15" s="1"/>
  <c r="Q68" i="15"/>
  <c r="AE68" i="15" s="1"/>
  <c r="AM68" i="15" s="1"/>
  <c r="Y69" i="6" a="1"/>
  <c r="Y69" i="6" s="1"/>
  <c r="S68" i="6"/>
  <c r="AG68" i="6" s="1"/>
  <c r="AO68" i="6" s="1"/>
  <c r="Y70" i="6" l="1" a="1"/>
  <c r="Y70" i="6" s="1"/>
  <c r="S69" i="6"/>
  <c r="AG69" i="6" s="1"/>
  <c r="AO69" i="6" s="1"/>
  <c r="W70" i="15" a="1"/>
  <c r="W70" i="15" s="1"/>
  <c r="Q69" i="15"/>
  <c r="AE69" i="15" s="1"/>
  <c r="AM69" i="15" s="1"/>
  <c r="W71" i="15" l="1" a="1"/>
  <c r="W71" i="15" s="1"/>
  <c r="Q70" i="15"/>
  <c r="AE70" i="15" s="1"/>
  <c r="AM70" i="15" s="1"/>
  <c r="Y71" i="6" a="1"/>
  <c r="Y71" i="6" s="1"/>
  <c r="S70" i="6"/>
  <c r="AG70" i="6" s="1"/>
  <c r="AO70" i="6" s="1"/>
  <c r="Y72" i="6" l="1" a="1"/>
  <c r="Y72" i="6" s="1"/>
  <c r="S71" i="6"/>
  <c r="AG71" i="6" s="1"/>
  <c r="AO71" i="6" s="1"/>
  <c r="W72" i="15" a="1"/>
  <c r="W72" i="15" s="1"/>
  <c r="Q71" i="15"/>
  <c r="AE71" i="15" s="1"/>
  <c r="AM71" i="15" s="1"/>
  <c r="W73" i="15" l="1" a="1"/>
  <c r="W73" i="15" s="1"/>
  <c r="Q72" i="15"/>
  <c r="AE72" i="15" s="1"/>
  <c r="AM72" i="15" s="1"/>
  <c r="Y73" i="6" a="1"/>
  <c r="Y73" i="6" s="1"/>
  <c r="S72" i="6"/>
  <c r="AG72" i="6" s="1"/>
  <c r="AO72" i="6" s="1"/>
  <c r="Y74" i="6" l="1" a="1"/>
  <c r="Y74" i="6" s="1"/>
  <c r="S73" i="6"/>
  <c r="AG73" i="6" s="1"/>
  <c r="AO73" i="6" s="1"/>
  <c r="W74" i="15" a="1"/>
  <c r="W74" i="15" s="1"/>
  <c r="Q73" i="15"/>
  <c r="AE73" i="15" s="1"/>
  <c r="AM73" i="15" s="1"/>
  <c r="W75" i="15" l="1" a="1"/>
  <c r="W75" i="15" s="1"/>
  <c r="Q74" i="15"/>
  <c r="AE74" i="15" s="1"/>
  <c r="AM74" i="15" s="1"/>
  <c r="Y75" i="6" a="1"/>
  <c r="Y75" i="6" s="1"/>
  <c r="S74" i="6"/>
  <c r="AG74" i="6" s="1"/>
  <c r="AO74" i="6" s="1"/>
  <c r="Y76" i="6" l="1" a="1"/>
  <c r="Y76" i="6" s="1"/>
  <c r="S75" i="6"/>
  <c r="AG75" i="6" s="1"/>
  <c r="AO75" i="6" s="1"/>
  <c r="W76" i="15" a="1"/>
  <c r="W76" i="15" s="1"/>
  <c r="Q75" i="15"/>
  <c r="AE75" i="15" s="1"/>
  <c r="AM75" i="15" s="1"/>
  <c r="W77" i="15" l="1" a="1"/>
  <c r="W77" i="15" s="1"/>
  <c r="Q76" i="15"/>
  <c r="AE76" i="15" s="1"/>
  <c r="AM76" i="15" s="1"/>
  <c r="Y77" i="6" a="1"/>
  <c r="Y77" i="6" s="1"/>
  <c r="S76" i="6"/>
  <c r="AG76" i="6" s="1"/>
  <c r="AO76" i="6" s="1"/>
  <c r="Y78" i="6" l="1" a="1"/>
  <c r="Y78" i="6" s="1"/>
  <c r="S77" i="6"/>
  <c r="AG77" i="6" s="1"/>
  <c r="AO77" i="6" s="1"/>
  <c r="W78" i="15" a="1"/>
  <c r="W78" i="15" s="1"/>
  <c r="Q77" i="15"/>
  <c r="AE77" i="15" s="1"/>
  <c r="AM77" i="15" s="1"/>
  <c r="W79" i="15" l="1" a="1"/>
  <c r="W79" i="15" s="1"/>
  <c r="Q78" i="15"/>
  <c r="AE78" i="15" s="1"/>
  <c r="AM78" i="15" s="1"/>
  <c r="Y79" i="6" a="1"/>
  <c r="Y79" i="6" s="1"/>
  <c r="S78" i="6"/>
  <c r="AG78" i="6" s="1"/>
  <c r="AO78" i="6" s="1"/>
  <c r="Y80" i="6" l="1" a="1"/>
  <c r="Y80" i="6" s="1"/>
  <c r="S79" i="6"/>
  <c r="AG79" i="6" s="1"/>
  <c r="AO79" i="6" s="1"/>
  <c r="W80" i="15" a="1"/>
  <c r="W80" i="15" s="1"/>
  <c r="Q79" i="15"/>
  <c r="AE79" i="15" s="1"/>
  <c r="AM79" i="15" s="1"/>
  <c r="W81" i="15" l="1" a="1"/>
  <c r="W81" i="15" s="1"/>
  <c r="Q80" i="15"/>
  <c r="AE80" i="15" s="1"/>
  <c r="AM80" i="15" s="1"/>
  <c r="Y81" i="6" a="1"/>
  <c r="Y81" i="6" s="1"/>
  <c r="S80" i="6"/>
  <c r="AG80" i="6" s="1"/>
  <c r="AO80" i="6" s="1"/>
  <c r="Y82" i="6" l="1" a="1"/>
  <c r="Y82" i="6" s="1"/>
  <c r="S82" i="6" s="1"/>
  <c r="AG82" i="6" s="1"/>
  <c r="AO82" i="6" s="1"/>
  <c r="S81" i="6"/>
  <c r="AG81" i="6" s="1"/>
  <c r="AO81" i="6" s="1"/>
  <c r="Q81" i="15"/>
  <c r="AE81" i="15" s="1"/>
  <c r="AM81" i="15" s="1"/>
  <c r="W82" i="15" a="1"/>
  <c r="W82" i="15" s="1"/>
  <c r="Q82" i="15" s="1"/>
  <c r="AE82" i="15" s="1"/>
  <c r="AM82" i="15" s="1"/>
  <c r="AE6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D2" authorId="0" shapeId="0" xr:uid="{F27282FC-B56C-4EAB-8CBC-82009879FD36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https://centraalaanspreekpuntpensioenen.belastingdienst.nl/publicaties/overzicht-aow-inbouwbedragen-en-aow-franchises/
2022: enkelvoudig gehuwd, middelloon</t>
        </r>
      </text>
    </comment>
    <comment ref="D3" authorId="0" shapeId="0" xr:uid="{C8146038-4A93-46BA-9578-FCCD882FFD1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0 als geen Anw-hiaat
2022: volledige Anw = 12*1281.51 = 15378,12 euro
https://www.svb.nl/nl/anw/bedragen-en-betaaldagen-anw/anw-bedragen
PFZW: max 1,25% van franchise per jaar (incl. toekomstige opbouw)
art. 2.16 van https://www.pfzw.nl/content/dam/pfzw/web/statuten-en-reglementen/Statuten%20en%20reglementen%20jan%202022.pdf
PMT: max 16500 bruto/jaar
https://www.pmt.nl/deelnemer/situatie/bijzonder/anw-pensioen/
</t>
        </r>
      </text>
    </comment>
    <comment ref="B6" authorId="0" shapeId="0" xr:uid="{347DDCE9-A273-4AF7-9E09-2D5F6F6F4902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als geheel getal: vaste sterfteleeftijd
als getal &lt; 1: vaste overlevingskans</t>
        </r>
      </text>
    </comment>
    <comment ref="T7" authorId="0" shapeId="0" xr:uid="{1B109F83-0103-4AE6-BBA3-332D514CAB4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https://opendata.cbs.nl/statline/?dl=5F6FD</t>
        </r>
      </text>
    </comment>
    <comment ref="H8" authorId="0" shapeId="0" xr:uid="{6E5E44A2-DF02-47DE-8FF0-4A5EB3510A9D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MvT-risico vanaf AOW: pensioengevend loon - x*franchise</t>
        </r>
      </text>
    </comment>
    <comment ref="T8" authorId="0" shapeId="0" xr:uid="{A07DA3CB-4D05-425D-BEC6-C7561C3B6D3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een 25-jarige verdient 55,26% van een 55-jarige met staffel Belastingdienst: 0.5526=1/((1.01*1.02*1.03)^10)</t>
        </r>
      </text>
    </comment>
    <comment ref="I10" authorId="0" shapeId="0" xr:uid="{79522675-A51F-4CCC-98A0-E539C11CDFA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cie Pars 2019: 2,3%
mogelijk werkt deze niet goed als ongelijk aan 0,0%.</t>
        </r>
      </text>
    </comment>
    <comment ref="U10" authorId="0" shapeId="0" xr:uid="{7136CD37-A6B2-48B9-BEAF-BD8155FF4D4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eerst geen participatie, daarna voltijd tot AOW-leeftijd</t>
        </r>
      </text>
    </comment>
    <comment ref="O12" authorId="0" shapeId="0" xr:uid="{D5BB88D6-3994-442A-8FE9-AF55FBAEC69C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reële indexatie = rendement -/- rekenrente -/- kosten*(premiedkg - 100%)
reëel rendement van  1,5% voor maximale premie (MvT, p.58).
</t>
        </r>
      </text>
    </comment>
    <comment ref="U13" authorId="0" shapeId="0" xr:uid="{CE53BC13-AC76-4C5B-AC78-A96775C2AAB8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alleen relevant als netto partcipatie="handmatige deeltijdfactor" 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N15" authorId="0" shapeId="0" xr:uid="{D3EA374F-DB2C-4F0F-AA9E-BFE690672AA7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MvT, risico
Anw-hiaat</t>
        </r>
      </text>
    </comment>
    <comment ref="N16" authorId="0" shapeId="0" xr:uid="{4466C5F3-B64B-481C-8E78-DDD53CA6E7A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bereikbaar pensioen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6" authorId="0" shapeId="0" xr:uid="{863D7B50-9D75-459D-A116-83A244E5B47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LET OP:
* CBS obv 31 dec
* AG obv 1 jan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1" authorId="0" shapeId="0" xr:uid="{7C2AEA89-6B8C-4416-BC5D-071D44F729AC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https://www.ag-ai.nl/view/45823-Parameters+en+best+estimate+sterftekansen+van+Prognosetafel+AG2020+%28Excel%29.xlsb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1" authorId="0" shapeId="0" xr:uid="{407A4962-53B2-49A5-A665-409F134F0FC9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https://www.ag-ai.nl/view/45823-Parameters+en+best+estimate+sterftekansen+van+Prognosetafel+AG2020+%28Excel%29.xlsb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A4" authorId="0" shapeId="0" xr:uid="{3D59A620-AC66-4392-9FB6-441B4FA69768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OP/pens.loon</t>
        </r>
      </text>
    </comment>
    <comment ref="AJ4" authorId="0" shapeId="0" xr:uid="{A0511A73-88EB-41C1-898B-AE9B54611E9F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BB4" authorId="0" shapeId="0" xr:uid="{44325C09-FC09-43B9-8B7B-1B0BE418AA2D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BG4" authorId="0" shapeId="0" xr:uid="{B03D0A3E-FA96-4795-9E3F-D3ECE6665B8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BL4" authorId="0" shapeId="0" xr:uid="{E844A6BF-CC75-45D1-8CF0-B97EC49F50D6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BQ4" authorId="0" shapeId="0" xr:uid="{38204806-15B4-4E94-BD5D-F04DCF02D2A2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BW4" authorId="0" shapeId="0" xr:uid="{B562A82A-2954-4686-AB27-4E0AEF4023D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CD4" authorId="0" shapeId="0" xr:uid="{758FC06C-8D39-4FFB-BB1A-9C3DEBC35D7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NP/pens.loon</t>
        </r>
      </text>
    </comment>
    <comment ref="AC5" authorId="0" shapeId="0" xr:uid="{0951A674-CD74-40E3-8F98-DB1C4D62DC36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5" authorId="0" shapeId="0" xr:uid="{4D0EB688-E7B0-4046-B473-0B3A5DEA6E00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risicobasis</t>
        </r>
      </text>
    </comment>
    <comment ref="AJ5" authorId="0" shapeId="0" xr:uid="{C148AC87-18CC-4DDF-AB7D-D2FFE1FCFADB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= bundel forward (verdisconteerd) risicobasis</t>
        </r>
      </text>
    </comment>
    <comment ref="AK5" authorId="0" shapeId="0" xr:uid="{A4C37CD0-2FB4-4E3D-A33D-55CE9C57975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aantal annuïteiten voor per euro</t>
        </r>
      </text>
    </comment>
    <comment ref="AM5" authorId="0" shapeId="0" xr:uid="{39C46D7E-DECA-4083-9145-3EDF288D22A2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incl. toekomstige ontwikkeling van grondslag</t>
        </r>
      </text>
    </comment>
    <comment ref="AN5" authorId="0" shapeId="0" xr:uid="{A5CCACF5-F6C8-4337-85BA-4F41EFE23CF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tov huidigepremiegrondslag.
Houdt geen rekening met verwachte toekomstige verloop van premiegrondslag. Net als in praktijk geen perfect foresight.</t>
        </r>
      </text>
    </comment>
    <comment ref="AO5" authorId="0" shapeId="0" xr:uid="{78AD61E6-EC8E-407E-A752-858DD18B229C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alleen toekomstige opbouw, geen huidige
20210610: er is geen actuariële korting op vervroegde opname van NP, zie p.46 bovenaan van https://www.abp.nl/images/pensioenreglement-oktober2021.pdf.
Er is bijv. in U6 geen schaling met *SUMPRODUCT($H6:$H80; $B$6:$B$80; 1-$J6:$J80)/SUMPRODUCT($H6:$H80; $B$6:$B$80)</t>
        </r>
      </text>
    </comment>
    <comment ref="AR5" authorId="0" shapeId="0" xr:uid="{529B50AD-9D96-46CC-A672-056DECA3BF21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ten opzichte van huidige en toekomstige uitkeringsgrondslag
=NP_OP*SUMPRODUCT(NPuitkering!B7:B$49; 1/(O6:O$48))
conditioneel op halen pensioenleeftijd</t>
        </r>
      </text>
    </comment>
    <comment ref="AS5" authorId="0" shapeId="0" xr:uid="{99C3947A-FEF1-41CE-8516-AA4A150563F1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onconditioneel op tussentijdse sterfte en halen pensioenleeftijd, waardoor opbouw anders uitkomt</t>
        </r>
      </text>
    </comment>
    <comment ref="AT5" authorId="0" shapeId="0" xr:uid="{4FFEC33A-418B-4404-B358-986F479AC9D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alleen toekomstige opbouw, geen huidige
20210610: er is geen actuariële korting op vervroegde opname van NP, zie p.46 bovenaan van https://www.abp.nl/images/pensioenreglement-oktober2021.pdf.
Er is bijv. in Y6 geen schaling met *SUMPRODUCT($H6:$H80; $B$6:$B$80; 1-$J6:$J80)/SUMPRODUCT($H6:$H80; $B$6:$B$80)</t>
        </r>
      </text>
    </comment>
    <comment ref="BV5" authorId="0" shapeId="0" xr:uid="{0F008270-E8A7-4CCC-9BEA-BB505802FB6B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risicobasis</t>
        </r>
      </text>
    </comment>
    <comment ref="BW5" authorId="0" shapeId="0" xr:uid="{A1EEA606-7F51-4C1F-A51E-974E5B2CBA37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= verdisconteerd risicobasis</t>
        </r>
      </text>
    </comment>
    <comment ref="BX5" authorId="0" shapeId="0" xr:uid="{B0352D0B-9B62-42FD-9485-B27D9F6F77C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aantal annuïteiten voor per euro</t>
        </r>
      </text>
    </comment>
    <comment ref="BZ5" authorId="0" shapeId="0" xr:uid="{2A54E8F7-0E62-4691-BBE2-547034C3C8EB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ten opzichte van huidige uitkeringsgrondslag</t>
        </r>
      </text>
    </comment>
    <comment ref="CA5" authorId="0" shapeId="0" xr:uid="{05A3E87C-5FA9-4095-B87F-709454B1523B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20210610: er is aangenomen dat er geen actuariële korting is op vervroegde opname van NP, zie p.46 bovenaan van https://www.abp.nl/images/pensioenreglement-oktober2021.pdf.
Er is bijv. in AY6 geen schaling met *SUMPRODUCT($H6:$H80; $B$6:$B$80; 1-$J6:$J80)/SUMPRODUCT($H6:$H80; $B$6:$B$80)</t>
        </r>
      </text>
    </comment>
    <comment ref="CD5" authorId="0" shapeId="0" xr:uid="{12685D50-C282-4348-BE8A-642E3465FFF1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risicobasis</t>
        </r>
      </text>
    </comment>
    <comment ref="CE5" authorId="0" shapeId="0" xr:uid="{CAE90AAE-69BA-42C1-8F06-277BC4D36A5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= verdisconteerd risicobasis</t>
        </r>
      </text>
    </comment>
    <comment ref="CF5" authorId="0" shapeId="0" xr:uid="{8C2F1E0F-0781-4890-957A-30E68AA2984D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aantal annuïteiten voor per euro</t>
        </r>
      </text>
    </comment>
    <comment ref="AG6" authorId="0" shapeId="0" xr:uid="{402C63A6-D431-4A3D-A3C7-D66AC47B55E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=Settings!O$3/NP_OP</t>
        </r>
      </text>
    </comment>
    <comment ref="AE48" authorId="0" shapeId="0" xr:uid="{BCE95284-1E70-4AD5-A89C-CFBE1E861469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Settings!O$3/NP_OP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I6" authorId="0" shapeId="0" xr:uid="{C5F4D60C-58B5-4227-B644-85603AE39DA6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sterftekans zorgt voor degressief patroon</t>
        </r>
      </text>
    </comment>
    <comment ref="K6" authorId="0" shapeId="0" xr:uid="{1C8C70FC-FF7F-46C8-BCE0-06FD7BC5A634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inflatie wordt niet meegenomen</t>
        </r>
      </text>
    </comment>
    <comment ref="N6" authorId="0" shapeId="0" xr:uid="{CBA51658-B907-4565-AD1F-5FB8DFB00B0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(aanspraak) + risicobasis (aanspraak, diensttijd afh.)</t>
        </r>
      </text>
    </comment>
    <comment ref="O6" authorId="0" shapeId="0" xr:uid="{AF6DB2E9-0621-4A31-AA89-D59A75FFE9A5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 na AOW-datum alleen van toepassing bij overlijden voor AOW-datum</t>
        </r>
      </text>
    </comment>
    <comment ref="Q6" authorId="0" shapeId="0" xr:uid="{8B59EE85-6F8D-4D66-B3AE-6AC0035D6EB4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 na AOW-datum alleen van toepassing bij overlijden voor AOW-datum</t>
        </r>
      </text>
    </comment>
    <comment ref="V6" authorId="0" shapeId="0" xr:uid="{8AC16845-A547-427F-81A6-579BB547BE19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(aanspraak) + risicobasis (aanspraak, diensttijd afh.)</t>
        </r>
      </text>
    </comment>
    <comment ref="W6" authorId="0" shapeId="0" xr:uid="{055A9EBF-8F97-472C-9256-A637A7840960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keert alleen uit bij overlijden na AOW-datum</t>
        </r>
      </text>
    </comment>
    <comment ref="X6" authorId="0" shapeId="0" xr:uid="{400767EF-8DB8-4103-81E9-E334A7906892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keert alleen uit vanaf AOW-datum (ongeacht sterfteleeftijd)</t>
        </r>
      </text>
    </comment>
    <comment ref="Y6" authorId="0" shapeId="0" xr:uid="{3F61F5A2-C4E5-410C-AEE0-9E88072B2224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keert ook uit bij voortijdig overlijden</t>
        </r>
      </text>
    </comment>
    <comment ref="AX6" authorId="0" shapeId="0" xr:uid="{0EE5946F-8D1F-482B-AE78-16FBB2220CB8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incl.bereikbaar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I6" authorId="0" shapeId="0" xr:uid="{1752A4AD-1FC7-4388-9655-6F6657BB5626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inflatie wordt niet meegenomen</t>
        </r>
      </text>
    </comment>
    <comment ref="L6" authorId="0" shapeId="0" xr:uid="{0BD1E97A-F7F5-4A3D-8F7F-0A1162BF5E81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(aanspraak) + risicobasis (aanspraak, diensttijd afh.)</t>
        </r>
      </text>
    </comment>
    <comment ref="M6" authorId="0" shapeId="0" xr:uid="{822C24EC-EA67-4534-9277-7FA06AB0E138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 na AOW-datum alleen van toepassing bij overlijden voor AOW-datum</t>
        </r>
      </text>
    </comment>
    <comment ref="N6" authorId="0" shapeId="0" xr:uid="{9AD2827D-F9D1-47EC-B98B-D70A0FD0C2CF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 na AOW-datum alleen van toepassing bij overlijden voor AOW-datum</t>
        </r>
      </text>
    </comment>
    <comment ref="O6" authorId="0" shapeId="0" xr:uid="{7DAA04BB-237D-4982-A896-5D37DF7E49C0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risico na AOW-datum alleen van toepassing bij overlijden voor AOW-datum</t>
        </r>
      </text>
    </comment>
    <comment ref="T6" authorId="0" shapeId="0" xr:uid="{B82472B0-74C5-48E4-B8B6-B0D65200BD4C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opbouwbasis (aanspraak) + risicobasis (aanspraak, diensttijd afh.)</t>
        </r>
      </text>
    </comment>
    <comment ref="U6" authorId="0" shapeId="0" xr:uid="{79C1C811-0BCA-424F-9768-BA1C8196ACF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keert alleen uit bij overlijden na AOW-datum</t>
        </r>
      </text>
    </comment>
    <comment ref="V6" authorId="0" shapeId="0" xr:uid="{3A769595-DBA1-4EC8-AA20-1DDF7282F82F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keert alleen uit vanaf AOW-datum (ongeacht sterfteleeftijd)</t>
        </r>
      </text>
    </comment>
    <comment ref="W6" authorId="0" shapeId="0" xr:uid="{1D8CD917-A098-4672-A961-A53A5BA05BB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keert ook uit bij voortijdig overlijden</t>
        </r>
      </text>
    </comment>
    <comment ref="AV6" authorId="0" shapeId="0" xr:uid="{13653957-3456-424E-81AE-11E768EE73E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incl.bereikbaar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H1" authorId="0" shapeId="0" xr:uid="{5588E0BE-91B6-403D-837F-2A33CEE2F6F5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Art 18a lid 3b Wet LB 1964: “als loopbaanontwikkeling wordt gerekend met een loonstijging van drie percent per jaar gedurende de jaren voor het bereiken van de 35-jarige leeftijd, van twee percent per jaar gedurende de tien daaropvolgende jaren, van een percent per jaar gedurende de tien daaropvolgende jaren en van nihil gedurende de overige jaren;”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1" authorId="0" shapeId="0" xr:uid="{4CBAFD7C-E863-4D3B-8BCE-63602FE41836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https://opendata.cbs.nl/statline/?dl=46E03#/CBS/nl/dataset/81431ned/table</t>
        </r>
      </text>
    </comment>
    <comment ref="G1" authorId="0" shapeId="0" xr:uid="{6F75D43C-E255-4B3F-BAAF-983BD50ACD60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https://opendata.cbs.nl/statline/?dl=46E03#/CBS/nl/dataset/81431ned/table</t>
        </r>
      </text>
    </comment>
    <comment ref="M1" authorId="0" shapeId="0" xr:uid="{34508549-1B34-4E8D-AB80-1DDE3FFBF87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https://opendata.cbs.nl/statline/?dl=46E03#/CBS/nl/dataset/81431ned/table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E6" authorId="0" shapeId="0" xr:uid="{AD7D88D2-F2AC-4BAF-B761-F78E12B8580C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zie p.43 https://www.ag-ai.nl/view/45901-PrognosetafelAG2020+%28print%29.pdf </t>
        </r>
      </text>
    </comment>
    <comment ref="H6" authorId="0" shapeId="0" xr:uid="{BCEC8002-6468-4966-8F0D-3F50D9F7DF8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zie p.43 https://www.ag-ai.nl/view/45901-PrognosetafelAG2020+%28print%29.pdf </t>
        </r>
      </text>
    </comment>
    <comment ref="M6" authorId="0" shapeId="0" xr:uid="{4AF3395F-F14B-43C4-A92E-83095CFD57ED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zie p.43 https://www.ag-ai.nl/view/45901-PrognosetafelAG2020+%28print%29.pdf </t>
        </r>
      </text>
    </comment>
    <comment ref="P6" authorId="0" shapeId="0" xr:uid="{42BC8241-A74F-4C84-8DD8-A593F38F44EA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zie p.43 https://www.ag-ai.nl/view/45901-PrognosetafelAG2020+%28print%29.pdf </t>
        </r>
      </text>
    </comment>
    <comment ref="D107" authorId="0" shapeId="0" xr:uid="{31283F53-0DAF-4247-A9FB-4A6ED9F3A2C4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                y = -LN(-1/LN(OVERL.KANS) - 1)
EXP(-y)       = -1/LN(OVERL.KANS) - 1
EXP(-y) + 1 = -1/LN(OVERL.KANS)
LN(OVERL.KANS) = -1/(EXP(-y) + 1)
OVERL.KANS = EXP{-1/(EXP(-y) + 1)}</t>
        </r>
      </text>
    </comment>
    <comment ref="G107" authorId="0" shapeId="0" xr:uid="{A46E8B9A-BCF6-4AF6-8F24-16A1F5C47A4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                y = -LN(-1/LN(OVERL.KANS) - 1)
EXP(-y)       = -1/LN(OVERL.KANS) - 1
EXP(-y) + 1 = -1/LN(OVERL.KANS)
LN(OVERL.KANS) = -1/(EXP(-y) + 1)
OVERL.KANS = EXP{-1/(EXP(-y) + 1)}</t>
        </r>
      </text>
    </comment>
    <comment ref="L107" authorId="0" shapeId="0" xr:uid="{B2F3CCBF-00A4-45E0-B399-F0A152173D1E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                y = -LN(-1/LN(OVERL.KANS) - 1)
EXP(-y)       = -1/LN(OVERL.KANS) - 1
EXP(-y) + 1 = -1/LN(OVERL.KANS)
LN(OVERL.KANS) = -1/(EXP(-y) + 1)
OVERL.KANS = EXP{-1/(EXP(-y) + 1)}</t>
        </r>
      </text>
    </comment>
    <comment ref="O107" authorId="0" shapeId="0" xr:uid="{65B911C6-8A0A-4D67-8C92-909ACC01DDB0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                y = -LN(-1/LN(OVERL.KANS) - 1)
EXP(-y)       = -1/LN(OVERL.KANS) - 1
EXP(-y) + 1 = -1/LN(OVERL.KANS)
LN(OVERL.KANS) = -1/(EXP(-y) + 1)
OVERL.KANS = EXP{-1/(EXP(-y) + 1)}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1" authorId="0" shapeId="0" xr:uid="{6CF9F13E-89F4-4045-ABC4-C58941F44F53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https://opendata.cbs.nl/statline/#/CBS/nl/dataset/80333ned/table?dl=5DFCC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 Muns</author>
  </authors>
  <commentList>
    <comment ref="A1" authorId="0" shapeId="0" xr:uid="{4A2B9D05-7458-474A-B128-E7651D13F835}">
      <text>
        <r>
          <rPr>
            <b/>
            <sz val="9"/>
            <color indexed="81"/>
            <rFont val="Tahoma"/>
            <family val="2"/>
          </rPr>
          <t>S. Muns:</t>
        </r>
        <r>
          <rPr>
            <sz val="9"/>
            <color indexed="81"/>
            <rFont val="Tahoma"/>
            <family val="2"/>
          </rPr>
          <t xml:space="preserve">
https://opendata.cbs.nl/statline/#/CBS/nl/dataset/80333ned/table?dl=5DFCD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<sst xmlns="http://schemas.openxmlformats.org/spreadsheetml/2006/main" count="2071" uniqueCount="327">
  <si>
    <t>Werkgelegenheid; banen, lonen, arbeidsduur, SBI2008; kerncijfers</t>
  </si>
  <si>
    <t>Bedrijfstakken / branches (SBI2008): A-U Alle economische activiteiten</t>
  </si>
  <si>
    <t>Kenmerken baan / werknemer / bedrijf</t>
  </si>
  <si>
    <t>euro</t>
  </si>
  <si>
    <t>Totaal</t>
  </si>
  <si>
    <t>15 tot 20 jaar</t>
  </si>
  <si>
    <t>20 tot 25 jaar</t>
  </si>
  <si>
    <t>25 tot 30 jaar</t>
  </si>
  <si>
    <t>30 tot 35 jaar</t>
  </si>
  <si>
    <t>35 tot 40 jaar</t>
  </si>
  <si>
    <t>40 tot 45 jaar</t>
  </si>
  <si>
    <t>45 tot 50 jaar</t>
  </si>
  <si>
    <t>50 tot 55 jaar</t>
  </si>
  <si>
    <t>55 tot 60 jaar</t>
  </si>
  <si>
    <t>60 tot 65 jaar</t>
  </si>
  <si>
    <t>65 tot 75 jaar</t>
  </si>
  <si>
    <t>75 jaar of ouder</t>
  </si>
  <si>
    <t>Bron: CBS</t>
  </si>
  <si>
    <t>uren</t>
  </si>
  <si>
    <t>leeftijd</t>
  </si>
  <si>
    <t>gewerkte uren</t>
  </si>
  <si>
    <t>NP/OP</t>
  </si>
  <si>
    <t>factor bereikbaar pensioen</t>
  </si>
  <si>
    <t>Interpolatie naar toekomstige AOW-leeftijd</t>
  </si>
  <si>
    <t>99 jaar of ouder</t>
  </si>
  <si>
    <t xml:space="preserve">98 jaar </t>
  </si>
  <si>
    <t>97 jaar</t>
  </si>
  <si>
    <t>96 jaar</t>
  </si>
  <si>
    <t>95 jaar</t>
  </si>
  <si>
    <t>94 jaar</t>
  </si>
  <si>
    <t>93 jaar</t>
  </si>
  <si>
    <t>92 jaar</t>
  </si>
  <si>
    <t>91 jaar</t>
  </si>
  <si>
    <t>90 jaar</t>
  </si>
  <si>
    <t>89 jaar</t>
  </si>
  <si>
    <t>88 jaar</t>
  </si>
  <si>
    <t>87 jaar</t>
  </si>
  <si>
    <t>86 jaar</t>
  </si>
  <si>
    <t>85 jaar</t>
  </si>
  <si>
    <t>84 jaar</t>
  </si>
  <si>
    <t>83 jaar</t>
  </si>
  <si>
    <t>82 jaar</t>
  </si>
  <si>
    <t>81 jaar</t>
  </si>
  <si>
    <t>80 jaar</t>
  </si>
  <si>
    <t>79 jaar</t>
  </si>
  <si>
    <t>78 jaar</t>
  </si>
  <si>
    <t>77 jaar</t>
  </si>
  <si>
    <t>76 jaar</t>
  </si>
  <si>
    <t>75 jaar</t>
  </si>
  <si>
    <t>74 jaar</t>
  </si>
  <si>
    <t>73 jaar</t>
  </si>
  <si>
    <t>72 jaar</t>
  </si>
  <si>
    <t>71 jaar</t>
  </si>
  <si>
    <t>70 jaar</t>
  </si>
  <si>
    <t>69 jaar</t>
  </si>
  <si>
    <t>68 jaar</t>
  </si>
  <si>
    <t>67 jaar</t>
  </si>
  <si>
    <t>66 jaar</t>
  </si>
  <si>
    <t>65 jaar</t>
  </si>
  <si>
    <t>64 jaar</t>
  </si>
  <si>
    <t>63 jaar</t>
  </si>
  <si>
    <t>62 jaar</t>
  </si>
  <si>
    <t>61 jaar</t>
  </si>
  <si>
    <t>60 jaar</t>
  </si>
  <si>
    <t>59 jaar</t>
  </si>
  <si>
    <t>58 jaar</t>
  </si>
  <si>
    <t>57 jaar</t>
  </si>
  <si>
    <t>56 jaar</t>
  </si>
  <si>
    <t>55 jaar</t>
  </si>
  <si>
    <t>54 jaar</t>
  </si>
  <si>
    <t>53 jaar</t>
  </si>
  <si>
    <t>52 jaar</t>
  </si>
  <si>
    <t>51 jaar</t>
  </si>
  <si>
    <t>50 jaar</t>
  </si>
  <si>
    <t>49 jaar</t>
  </si>
  <si>
    <t>48 jaar</t>
  </si>
  <si>
    <t>47 jaar</t>
  </si>
  <si>
    <t>46 jaar</t>
  </si>
  <si>
    <t>45 jaar</t>
  </si>
  <si>
    <t>44 jaar</t>
  </si>
  <si>
    <t>43 jaar</t>
  </si>
  <si>
    <t>42 jaar</t>
  </si>
  <si>
    <t>41 jaar</t>
  </si>
  <si>
    <t>40 jaar</t>
  </si>
  <si>
    <t>39 jaar</t>
  </si>
  <si>
    <t>38 jaar</t>
  </si>
  <si>
    <t>37 jaar</t>
  </si>
  <si>
    <t>36 jaar</t>
  </si>
  <si>
    <t>35 jaar</t>
  </si>
  <si>
    <t>34 jaar</t>
  </si>
  <si>
    <t>33 jaar</t>
  </si>
  <si>
    <t>32 jaar</t>
  </si>
  <si>
    <t>31 jaar</t>
  </si>
  <si>
    <t>30 jaar</t>
  </si>
  <si>
    <t>29 jaar</t>
  </si>
  <si>
    <t>28 jaar</t>
  </si>
  <si>
    <t>27 jaar</t>
  </si>
  <si>
    <t>26 jaar</t>
  </si>
  <si>
    <t>25 jaar</t>
  </si>
  <si>
    <t>24 jaar</t>
  </si>
  <si>
    <t>23 jaar</t>
  </si>
  <si>
    <t>22 jaar</t>
  </si>
  <si>
    <t>21 jaar</t>
  </si>
  <si>
    <t>20 jaar</t>
  </si>
  <si>
    <t>19 jaar</t>
  </si>
  <si>
    <t>18 jaar</t>
  </si>
  <si>
    <t>17 jaar</t>
  </si>
  <si>
    <t>16 jaar</t>
  </si>
  <si>
    <t>15 jaar</t>
  </si>
  <si>
    <t>14 jaar</t>
  </si>
  <si>
    <t>13 jaar</t>
  </si>
  <si>
    <t>12 jaar</t>
  </si>
  <si>
    <t>11 jaar</t>
  </si>
  <si>
    <t>10 jaar</t>
  </si>
  <si>
    <t>9 jaar</t>
  </si>
  <si>
    <t>8 jaar</t>
  </si>
  <si>
    <t>7 jaar</t>
  </si>
  <si>
    <t>6 jaar</t>
  </si>
  <si>
    <t>5 jaar</t>
  </si>
  <si>
    <t>4 jaar</t>
  </si>
  <si>
    <t>3 jaar</t>
  </si>
  <si>
    <t>2 jaar</t>
  </si>
  <si>
    <t>1 jaar</t>
  </si>
  <si>
    <t>0 jaar</t>
  </si>
  <si>
    <t>aantal</t>
  </si>
  <si>
    <t>Leeftijd (op 31 december)</t>
  </si>
  <si>
    <t>Vrouwen</t>
  </si>
  <si>
    <t>Mannen</t>
  </si>
  <si>
    <t>Geslacht</t>
  </si>
  <si>
    <t>Waarnemingen aangevuld met prognose|Levenden (tafelbevolking)</t>
  </si>
  <si>
    <t>Onderwerp</t>
  </si>
  <si>
    <t>Geboortegeneratie</t>
  </si>
  <si>
    <t>Levensverwachting; geslacht, geboortegeneratie</t>
  </si>
  <si>
    <t>Unisex</t>
  </si>
  <si>
    <t>Levenden (tafelbevolking)</t>
  </si>
  <si>
    <t>sterftekans (onconditioneel, rechter as)</t>
  </si>
  <si>
    <t>OP-opbouw (aanspraak)</t>
  </si>
  <si>
    <t>MvT</t>
  </si>
  <si>
    <t>q, onconditioneel</t>
  </si>
  <si>
    <t>P, onconditioneel</t>
  </si>
  <si>
    <t>P', onconditioneel</t>
  </si>
  <si>
    <t>τ</t>
  </si>
  <si>
    <t>m</t>
  </si>
  <si>
    <t>M</t>
  </si>
  <si>
    <t>m'</t>
  </si>
  <si>
    <t>M'</t>
  </si>
  <si>
    <t>t</t>
  </si>
  <si>
    <t>p</t>
  </si>
  <si>
    <t>1/(1+r)^τ</t>
  </si>
  <si>
    <t>∞</t>
  </si>
  <si>
    <t>Huidig</t>
  </si>
  <si>
    <t>AOW-leeftijd nabestaande – a’</t>
  </si>
  <si>
    <t>p_ber</t>
  </si>
  <si>
    <t>p_opb</t>
  </si>
  <si>
    <t>q, conditioneel</t>
  </si>
  <si>
    <t>p_ris</t>
  </si>
  <si>
    <t>loon - x*franchise</t>
  </si>
  <si>
    <t>x</t>
  </si>
  <si>
    <t>opbouw</t>
  </si>
  <si>
    <t>bereikbaar</t>
  </si>
  <si>
    <t>risico voor AOW</t>
  </si>
  <si>
    <t>bereikbaar na AOW</t>
  </si>
  <si>
    <t>opbouw na AOW</t>
  </si>
  <si>
    <t>NCW</t>
  </si>
  <si>
    <t>gemiddeld</t>
  </si>
  <si>
    <t>NCW gemiddeld</t>
  </si>
  <si>
    <t>AOW-leeftijd deelnemer – a</t>
  </si>
  <si>
    <t>bereikbaar vanaf AOW</t>
  </si>
  <si>
    <t>opb cum</t>
  </si>
  <si>
    <t>MvT risico vanaf AOW partner</t>
  </si>
  <si>
    <t>opb_a…AOW-1</t>
  </si>
  <si>
    <t>deeltijdfactor</t>
  </si>
  <si>
    <t>Jonger dan 15 jaar</t>
  </si>
  <si>
    <t>OP-opbouw (DSS)</t>
  </si>
  <si>
    <t>NP-risico</t>
  </si>
  <si>
    <t>p_opb (DSS)</t>
  </si>
  <si>
    <t>opb (DSS)_a…AOW-1</t>
  </si>
  <si>
    <t>p_ber (DSS)</t>
  </si>
  <si>
    <t>Huidig (degr.)</t>
  </si>
  <si>
    <t>voltijd franchise</t>
  </si>
  <si>
    <t>NP-opbouw</t>
  </si>
  <si>
    <t>Opbouw</t>
  </si>
  <si>
    <t>OP/jr (DSS)</t>
  </si>
  <si>
    <t>vervangingsratio tov  laatste loon</t>
  </si>
  <si>
    <t>vervangingsratio tov  middelpensioengrondslag</t>
  </si>
  <si>
    <t>vervangingsratio tov  middel (loon - x*franchise)</t>
  </si>
  <si>
    <t>netto arbeidsparticipatie (uur/wk)</t>
  </si>
  <si>
    <t>voltijd (uur/wk)</t>
  </si>
  <si>
    <t>p_ris_x</t>
  </si>
  <si>
    <t>p_ris_x1</t>
  </si>
  <si>
    <t>p_ris_x0</t>
  </si>
  <si>
    <t>x, risico vanaf AOW</t>
  </si>
  <si>
    <t>x1, risico vanaf AOW</t>
  </si>
  <si>
    <t>x0, risico vanaf AOW</t>
  </si>
  <si>
    <t>Risico (bereikbaar)</t>
  </si>
  <si>
    <t>Risico (pens.gev.loon)</t>
  </si>
  <si>
    <t>Perioden: 2020</t>
  </si>
  <si>
    <t>Beloning per baan|Jaarloon|Jaarloon inclusief bijzondere beloning</t>
  </si>
  <si>
    <t>Arbeidsduur|Per baan per week inclusief overwerk</t>
  </si>
  <si>
    <t>uur</t>
  </si>
  <si>
    <t>MvT_x</t>
  </si>
  <si>
    <t>opb_a…AOW-1 | a</t>
  </si>
  <si>
    <t>opb (DSS)_a…AOW-1 | a</t>
  </si>
  <si>
    <t>c_opb</t>
  </si>
  <si>
    <t>c_ris,hulp</t>
  </si>
  <si>
    <t>c_ris</t>
  </si>
  <si>
    <t>partner</t>
  </si>
  <si>
    <t>deelnemer</t>
  </si>
  <si>
    <t>leeftijd partner</t>
  </si>
  <si>
    <t>leeftijd partner, hulp</t>
  </si>
  <si>
    <t>Aantal overlevenden</t>
  </si>
  <si>
    <t>pensioengrondslag</t>
  </si>
  <si>
    <t>brutoloon per jaar (incl.bijzondere beloningen, dzd euro)</t>
  </si>
  <si>
    <t>op NPpremie_leeftijd</t>
  </si>
  <si>
    <t>premie % grondslag</t>
  </si>
  <si>
    <t>brutojaarloon inclusief bijzondere beloning</t>
  </si>
  <si>
    <t>pensioengrondslag = brutoloon - franchise</t>
  </si>
  <si>
    <t>premie % brutoloon</t>
  </si>
  <si>
    <t>.</t>
  </si>
  <si>
    <t>Onderwerp: |Levenden (tafelbevolking)</t>
  </si>
  <si>
    <t>Geslacht: Mannen</t>
  </si>
  <si>
    <t>Geslacht: Vrouwen</t>
  </si>
  <si>
    <t>-LN(-1/LN(overlevingskans)-1)</t>
  </si>
  <si>
    <t>sterftekans</t>
  </si>
  <si>
    <t>reële looninflatie in human capital</t>
  </si>
  <si>
    <t>VERKLARING: KLEINE VERSCHILLEN IN DURATION PER NP-SYSTEMATIEK</t>
  </si>
  <si>
    <t>leeftijd deelnemer</t>
  </si>
  <si>
    <t>AOW deelnemer</t>
  </si>
  <si>
    <t>MvT opbouw vanaf AOW deelnemer</t>
  </si>
  <si>
    <t>reëel rendement tot pensioen</t>
  </si>
  <si>
    <t>MvT risico voor AOW partner</t>
  </si>
  <si>
    <t>deeltijdfactor, alternatief</t>
  </si>
  <si>
    <t>voltijdloon</t>
  </si>
  <si>
    <t>CBS: gewerkte uren</t>
  </si>
  <si>
    <t>NP-opbouw. In huidig: incl bereikbaar</t>
  </si>
  <si>
    <t>DEZE KOLOMMEN VERSCHILLEN IETS ALS 1. ER (REËLE) INDEXATIE IS OP NP-OPBOUW</t>
  </si>
  <si>
    <t>2. OF GEEN UNIFORME PREMIE-INLEG</t>
  </si>
  <si>
    <t>VERKLARING: OPBOUW NAAR ZELFDE BEOOGDE BEREIKBAAR PENSIOEN VERSCHILT PER VARIANT</t>
  </si>
  <si>
    <t>eerste NP-uitkering na overlijden</t>
  </si>
  <si>
    <t>NP-uitkering op AOW-datum partner</t>
  </si>
  <si>
    <t>reële indexatie NP-opbouw (incl.bereikb.)</t>
  </si>
  <si>
    <t>AG</t>
  </si>
  <si>
    <t>reële indexatie NP-risico (excl.bereikb.)</t>
  </si>
  <si>
    <t>NP-uitkering jaar voor AOW-datum partner</t>
  </si>
  <si>
    <t>overlijdensleeftijd deelnemer</t>
  </si>
  <si>
    <t>leeftijd partner op moment overlijden</t>
  </si>
  <si>
    <t>rijnummer 1e uitkering</t>
  </si>
  <si>
    <t>rijnummer AOW-leeftijd partner</t>
  </si>
  <si>
    <t>AOW-leeftijd partner – a’ – 1</t>
  </si>
  <si>
    <t>partner AOW</t>
  </si>
  <si>
    <t>aantal jaar na overlijden</t>
  </si>
  <si>
    <t>AOW_partner</t>
  </si>
  <si>
    <t>jaar</t>
  </si>
  <si>
    <t>Arbeid (NPuitkering*)</t>
  </si>
  <si>
    <t>tabblad NPpremie_inkomen</t>
  </si>
  <si>
    <t>voltijdloon CBS</t>
  </si>
  <si>
    <t>voltijdloon BD</t>
  </si>
  <si>
    <t>als loonstaffel = Belastingdienst</t>
  </si>
  <si>
    <t>als netto arbeidsparticipatie = vanaf bepaald leeftijdsjaar</t>
  </si>
  <si>
    <t>vanaf</t>
  </si>
  <si>
    <t>aantal keer modaal 55-jarigen</t>
  </si>
  <si>
    <t>modaal voltijdinkomen (dzd euro/jaar)</t>
  </si>
  <si>
    <t>jaren tot AOW-partner</t>
  </si>
  <si>
    <t>Huidig (ANW-hiaat) risico voor AOW partner</t>
  </si>
  <si>
    <t>risico, ANW</t>
  </si>
  <si>
    <t>p_ris (ANW)</t>
  </si>
  <si>
    <t>Risico (ANW-hiaat)</t>
  </si>
  <si>
    <t>risico ANW-hiaat</t>
  </si>
  <si>
    <t>Anw-hiaat</t>
  </si>
  <si>
    <t>jaren tot AOW-partner - 1</t>
  </si>
  <si>
    <t>r, risico (zonder aftrek franchise)</t>
  </si>
  <si>
    <t>r, risico (met aftrek franchise)</t>
  </si>
  <si>
    <t>r, NP-opbouw</t>
  </si>
  <si>
    <t>reële discontorentes</t>
  </si>
  <si>
    <t>r, NCW voor evt weging van NP-premie over levensloop</t>
  </si>
  <si>
    <t>r, NP-risico (zonder aftrek franchise)</t>
  </si>
  <si>
    <t>r, NP-risico (met aftrek franchise)</t>
  </si>
  <si>
    <t>c_OPopb</t>
  </si>
  <si>
    <t>p_OPopb</t>
  </si>
  <si>
    <t>OP-opbouw</t>
  </si>
  <si>
    <t>r, OP-opbouw</t>
  </si>
  <si>
    <t>geboortejaar</t>
  </si>
  <si>
    <t>overlevingstafel</t>
  </si>
  <si>
    <t>1/c_opb</t>
  </si>
  <si>
    <t>geslacht</t>
  </si>
  <si>
    <t>Tabel 1</t>
  </si>
  <si>
    <t>Uitkering tot pensioenleeftijd</t>
  </si>
  <si>
    <t>Uitkering vanaf pensioenleeftijd</t>
  </si>
  <si>
    <t>Verzekerd overlijden voor pensioenleeftijd</t>
  </si>
  <si>
    <t>Overlijden na pensioenleeftijd</t>
  </si>
  <si>
    <t>Uitkering</t>
  </si>
  <si>
    <t>Tabel 2</t>
  </si>
  <si>
    <t>Tabel 3</t>
  </si>
  <si>
    <t>fondspensioengrondslag</t>
  </si>
  <si>
    <t>OP-opbouw (DSS, euro/jr)</t>
  </si>
  <si>
    <t>OP-opbouw (degr, euro/jr)</t>
  </si>
  <si>
    <t>OP-opbouw (vermogen)</t>
  </si>
  <si>
    <t>opb_1...a (%middelloon)</t>
  </si>
  <si>
    <t>opb_1...a (dzd euro)</t>
  </si>
  <si>
    <t>opb_1...a (dzd euro/jr)</t>
  </si>
  <si>
    <t>NCW toekomstige NP-risicopremies (% pensioengrondslag)</t>
  </si>
  <si>
    <t>NCW toekomstige NP-risicopremies (% bestaande OP-opbouw)</t>
  </si>
  <si>
    <t>Tabel 4</t>
  </si>
  <si>
    <t>Figuur 1-4</t>
  </si>
  <si>
    <t>fondscijfers hierboven</t>
  </si>
  <si>
    <t>Tabel 5</t>
  </si>
  <si>
    <t>Tabel 6</t>
  </si>
  <si>
    <t>Figuur 5</t>
  </si>
  <si>
    <t>inkomen</t>
  </si>
  <si>
    <t>Onverzekerd overiljden</t>
  </si>
  <si>
    <t>Figuren in kolom premie_leeftijd!CD:CP</t>
  </si>
  <si>
    <t>leeftijd (jaar)</t>
  </si>
  <si>
    <t>NP-opbouwpremie</t>
  </si>
  <si>
    <t>pensioenrekenleeftijd</t>
  </si>
  <si>
    <t>Als er (reële) indexatie is op NP-opbouw dan verschillen deze kolommen iets door kleine verschillen in duration per NP-systematiek.</t>
  </si>
  <si>
    <t>MvT met overbrugging</t>
  </si>
  <si>
    <t>Uitkeringsregeling (DSS) opb&amp;ber</t>
  </si>
  <si>
    <t>Uitkeringsregeling (DSS)</t>
  </si>
  <si>
    <t>Uitkeringsregeling (degr) OP</t>
  </si>
  <si>
    <t>Uitkeringsregeling (degr)</t>
  </si>
  <si>
    <t>Uitkeringsregeling (degr) opb&amp;ber, Saldomethode opb.</t>
  </si>
  <si>
    <t>Saldomethode risico, voor AOW-partner</t>
  </si>
  <si>
    <t>Saldomethode</t>
  </si>
  <si>
    <t>Uitkeringsknip risico voor AOW-partner</t>
  </si>
  <si>
    <t>Uitkeringsknip opb&amp;ber / Saldomethode ber.</t>
  </si>
  <si>
    <t>Uitkeringsknip</t>
  </si>
  <si>
    <r>
      <t>loonstaffel (euro/</t>
    </r>
    <r>
      <rPr>
        <b/>
        <sz val="11"/>
        <color theme="1"/>
        <rFont val="Calibri"/>
        <family val="2"/>
        <scheme val="minor"/>
      </rPr>
      <t>voltijd</t>
    </r>
    <r>
      <rPr>
        <sz val="11"/>
        <color theme="1"/>
        <rFont val="Calibri"/>
        <family val="2"/>
        <scheme val="minor"/>
      </rPr>
      <t>jaar)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</si>
</sst>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00%"/>
    <numFmt numFmtId="166" formatCode="0.0000000000"/>
    <numFmt numFmtId="167" formatCode="0.0000%"/>
    <numFmt numFmtId="168" formatCode="0.0000000000000%"/>
    <numFmt numFmtId="169" formatCode="0.000000000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1"/>
      <color theme="0" tint="-0.34998626667073579"/>
      <name val="Calibri"/>
      <family val="2"/>
      <scheme val="minor"/>
    </font>
    <font>
      <sz val="11"/>
      <color indexed="81"/>
      <name val="Tahoma"/>
      <family val="2"/>
    </font>
    <font>
      <sz val="11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Verdana"/>
      <family val="2"/>
    </font>
    <font>
      <sz val="8"/>
      <color theme="0"/>
      <name val="Verdana"/>
      <family val="2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Times New Roman"/>
      <family val="1"/>
    </font>
    <font>
      <b/>
      <sz val="1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</cellStyleXfs>
  <cellXfs count="162">
    <xf numFmtId="0" fontId="0" fillId="0" borderId="0" xfId="0"/>
    <xf numFmtId="0" fontId="0" fillId="0" borderId="0" xfId="0" applyAlignment="1">
      <alignment wrapText="1"/>
    </xf>
    <xf numFmtId="0" fontId="20" fillId="0" borderId="0" xfId="0" applyFont="1"/>
    <xf numFmtId="0" fontId="0" fillId="0" borderId="10" xfId="0" applyBorder="1"/>
    <xf numFmtId="0" fontId="20" fillId="0" borderId="10" xfId="0" applyFont="1" applyBorder="1"/>
    <xf numFmtId="10" fontId="0" fillId="0" borderId="0" xfId="1" applyNumberFormat="1" applyFont="1"/>
    <xf numFmtId="0" fontId="17" fillId="33" borderId="0" xfId="0" applyFont="1" applyFill="1"/>
    <xf numFmtId="165" fontId="17" fillId="33" borderId="0" xfId="1" applyNumberFormat="1" applyFont="1" applyFill="1"/>
    <xf numFmtId="164" fontId="17" fillId="33" borderId="0" xfId="1" applyNumberFormat="1" applyFont="1" applyFill="1"/>
    <xf numFmtId="0" fontId="0" fillId="34" borderId="0" xfId="0" applyFill="1"/>
    <xf numFmtId="0" fontId="21" fillId="0" borderId="0" xfId="0" applyFont="1"/>
    <xf numFmtId="10" fontId="0" fillId="0" borderId="0" xfId="0" applyNumberFormat="1"/>
    <xf numFmtId="10" fontId="0" fillId="0" borderId="10" xfId="1" applyNumberFormat="1" applyFont="1" applyBorder="1"/>
    <xf numFmtId="0" fontId="0" fillId="0" borderId="0" xfId="0" applyAlignment="1">
      <alignment horizontal="right"/>
    </xf>
    <xf numFmtId="164" fontId="0" fillId="0" borderId="0" xfId="1" applyNumberFormat="1" applyFont="1"/>
    <xf numFmtId="164" fontId="0" fillId="0" borderId="0" xfId="0" applyNumberFormat="1"/>
    <xf numFmtId="164" fontId="0" fillId="0" borderId="10" xfId="0" applyNumberFormat="1" applyBorder="1"/>
    <xf numFmtId="164" fontId="0" fillId="0" borderId="0" xfId="0" applyNumberFormat="1" applyBorder="1"/>
    <xf numFmtId="0" fontId="0" fillId="0" borderId="0" xfId="0" applyBorder="1"/>
    <xf numFmtId="9" fontId="17" fillId="33" borderId="0" xfId="0" applyNumberFormat="1" applyFont="1" applyFill="1"/>
    <xf numFmtId="0" fontId="0" fillId="0" borderId="0" xfId="0" applyNumberFormat="1"/>
    <xf numFmtId="0" fontId="0" fillId="0" borderId="10" xfId="0" applyFill="1" applyBorder="1"/>
    <xf numFmtId="164" fontId="17" fillId="33" borderId="0" xfId="0" applyNumberFormat="1" applyFont="1" applyFill="1"/>
    <xf numFmtId="0" fontId="23" fillId="0" borderId="0" xfId="0" applyFont="1" applyAlignment="1">
      <alignment horizontal="right"/>
    </xf>
    <xf numFmtId="0" fontId="0" fillId="0" borderId="11" xfId="0" applyBorder="1"/>
    <xf numFmtId="10" fontId="0" fillId="0" borderId="11" xfId="1" applyNumberFormat="1" applyFont="1" applyBorder="1"/>
    <xf numFmtId="0" fontId="0" fillId="0" borderId="12" xfId="0" applyBorder="1"/>
    <xf numFmtId="0" fontId="0" fillId="0" borderId="0" xfId="0" applyFont="1" applyAlignment="1">
      <alignment horizontal="right"/>
    </xf>
    <xf numFmtId="10" fontId="0" fillId="0" borderId="0" xfId="0" applyNumberFormat="1" applyFont="1"/>
    <xf numFmtId="10" fontId="0" fillId="0" borderId="11" xfId="0" applyNumberFormat="1" applyFont="1" applyBorder="1"/>
    <xf numFmtId="0" fontId="24" fillId="0" borderId="0" xfId="0" applyFont="1"/>
    <xf numFmtId="0" fontId="24" fillId="0" borderId="0" xfId="0" applyNumberFormat="1" applyFont="1"/>
    <xf numFmtId="0" fontId="0" fillId="0" borderId="0" xfId="0" applyFill="1" applyBorder="1"/>
    <xf numFmtId="0" fontId="0" fillId="0" borderId="0" xfId="0" applyBorder="1" applyAlignment="1">
      <alignment horizontal="center"/>
    </xf>
    <xf numFmtId="9" fontId="17" fillId="33" borderId="0" xfId="1" applyFont="1" applyFill="1"/>
    <xf numFmtId="0" fontId="0" fillId="0" borderId="10" xfId="0" applyNumberFormat="1" applyBorder="1"/>
    <xf numFmtId="0" fontId="0" fillId="0" borderId="13" xfId="0" applyBorder="1"/>
    <xf numFmtId="10" fontId="0" fillId="0" borderId="0" xfId="1" applyNumberFormat="1" applyFont="1" applyBorder="1" applyAlignment="1">
      <alignment horizontal="center"/>
    </xf>
    <xf numFmtId="0" fontId="24" fillId="0" borderId="10" xfId="0" applyNumberFormat="1" applyFont="1" applyBorder="1"/>
    <xf numFmtId="0" fontId="26" fillId="0" borderId="0" xfId="0" applyNumberFormat="1" applyFont="1"/>
    <xf numFmtId="0" fontId="0" fillId="0" borderId="0" xfId="0" applyNumberFormat="1" applyBorder="1" applyAlignment="1">
      <alignment horizontal="center"/>
    </xf>
    <xf numFmtId="0" fontId="0" fillId="0" borderId="0" xfId="0" applyNumberFormat="1" applyBorder="1"/>
    <xf numFmtId="0" fontId="24" fillId="0" borderId="0" xfId="0" applyNumberFormat="1" applyFont="1" applyBorder="1"/>
    <xf numFmtId="0" fontId="0" fillId="0" borderId="0" xfId="0" applyNumberFormat="1" applyFill="1" applyBorder="1"/>
    <xf numFmtId="9" fontId="0" fillId="0" borderId="0" xfId="0" applyNumberFormat="1"/>
    <xf numFmtId="0" fontId="27" fillId="0" borderId="0" xfId="0" applyFont="1"/>
    <xf numFmtId="0" fontId="22" fillId="0" borderId="10" xfId="0" applyFont="1" applyBorder="1"/>
    <xf numFmtId="10" fontId="0" fillId="0" borderId="10" xfId="0" applyNumberFormat="1" applyBorder="1"/>
    <xf numFmtId="164" fontId="0" fillId="0" borderId="10" xfId="1" applyNumberFormat="1" applyFont="1" applyBorder="1"/>
    <xf numFmtId="0" fontId="0" fillId="0" borderId="10" xfId="1" applyNumberFormat="1" applyFont="1" applyBorder="1"/>
    <xf numFmtId="10" fontId="20" fillId="0" borderId="0" xfId="1" applyNumberFormat="1" applyFont="1"/>
    <xf numFmtId="0" fontId="20" fillId="0" borderId="10" xfId="1" applyNumberFormat="1" applyFont="1" applyBorder="1"/>
    <xf numFmtId="164" fontId="20" fillId="0" borderId="0" xfId="1" applyNumberFormat="1" applyFont="1"/>
    <xf numFmtId="164" fontId="0" fillId="0" borderId="0" xfId="0" applyNumberFormat="1" applyBorder="1" applyAlignment="1">
      <alignment horizontal="center"/>
    </xf>
    <xf numFmtId="0" fontId="0" fillId="0" borderId="0" xfId="1" applyNumberFormat="1" applyFont="1"/>
    <xf numFmtId="0" fontId="24" fillId="0" borderId="11" xfId="0" applyFont="1" applyBorder="1"/>
    <xf numFmtId="0" fontId="0" fillId="35" borderId="0" xfId="0" applyFill="1"/>
    <xf numFmtId="10" fontId="0" fillId="35" borderId="0" xfId="1" applyNumberFormat="1" applyFont="1" applyFill="1"/>
    <xf numFmtId="0" fontId="0" fillId="36" borderId="0" xfId="0" applyFill="1"/>
    <xf numFmtId="10" fontId="0" fillId="36" borderId="0" xfId="1" applyNumberFormat="1" applyFont="1" applyFill="1"/>
    <xf numFmtId="0" fontId="0" fillId="37" borderId="0" xfId="0" applyFill="1"/>
    <xf numFmtId="10" fontId="0" fillId="37" borderId="0" xfId="1" applyNumberFormat="1" applyFont="1" applyFill="1"/>
    <xf numFmtId="0" fontId="16" fillId="0" borderId="0" xfId="0" applyFont="1"/>
    <xf numFmtId="0" fontId="0" fillId="34" borderId="10" xfId="0" applyFill="1" applyBorder="1"/>
    <xf numFmtId="0" fontId="0" fillId="34" borderId="0" xfId="0" applyNumberFormat="1" applyFill="1" applyAlignment="1"/>
    <xf numFmtId="0" fontId="0" fillId="34" borderId="0" xfId="0" applyNumberFormat="1" applyFill="1"/>
    <xf numFmtId="0" fontId="0" fillId="0" borderId="0" xfId="0" quotePrefix="1"/>
    <xf numFmtId="0" fontId="0" fillId="0" borderId="0" xfId="1" applyNumberFormat="1" applyFont="1" applyBorder="1"/>
    <xf numFmtId="0" fontId="16" fillId="0" borderId="0" xfId="0" applyNumberFormat="1" applyFont="1"/>
    <xf numFmtId="166" fontId="30" fillId="39" borderId="14" xfId="0" applyNumberFormat="1" applyFont="1" applyFill="1" applyBorder="1"/>
    <xf numFmtId="0" fontId="29" fillId="38" borderId="14" xfId="0" applyFont="1" applyFill="1" applyBorder="1" applyAlignment="1">
      <alignment horizontal="center"/>
    </xf>
    <xf numFmtId="0" fontId="30" fillId="38" borderId="14" xfId="0" applyFont="1" applyFill="1" applyBorder="1" applyAlignment="1">
      <alignment horizontal="center"/>
    </xf>
    <xf numFmtId="0" fontId="0" fillId="0" borderId="10" xfId="0" quotePrefix="1" applyBorder="1"/>
    <xf numFmtId="0" fontId="0" fillId="0" borderId="0" xfId="0"/>
    <xf numFmtId="166" fontId="30" fillId="39" borderId="14" xfId="0" applyNumberFormat="1" applyFont="1" applyFill="1" applyBorder="1"/>
    <xf numFmtId="0" fontId="29" fillId="38" borderId="14" xfId="0" applyFont="1" applyFill="1" applyBorder="1" applyAlignment="1">
      <alignment horizontal="center"/>
    </xf>
    <xf numFmtId="0" fontId="30" fillId="38" borderId="14" xfId="0" applyFont="1" applyFill="1" applyBorder="1" applyAlignment="1">
      <alignment horizontal="center"/>
    </xf>
    <xf numFmtId="0" fontId="17" fillId="33" borderId="0" xfId="0" applyFont="1" applyFill="1" applyAlignment="1">
      <alignment horizontal="right"/>
    </xf>
    <xf numFmtId="0" fontId="0" fillId="0" borderId="0" xfId="0" applyAlignment="1"/>
    <xf numFmtId="0" fontId="32" fillId="0" borderId="0" xfId="0" applyFont="1"/>
    <xf numFmtId="0" fontId="0" fillId="0" borderId="13" xfId="0" applyNumberFormat="1" applyBorder="1"/>
    <xf numFmtId="0" fontId="17" fillId="33" borderId="0" xfId="0" applyFont="1" applyFill="1" applyAlignment="1">
      <alignment horizontal="left"/>
    </xf>
    <xf numFmtId="0" fontId="0" fillId="40" borderId="0" xfId="0" applyNumberFormat="1" applyFill="1"/>
    <xf numFmtId="0" fontId="0" fillId="40" borderId="0" xfId="0" applyFill="1"/>
    <xf numFmtId="0" fontId="0" fillId="0" borderId="10" xfId="0" applyBorder="1" applyAlignment="1">
      <alignment horizontal="right"/>
    </xf>
    <xf numFmtId="0" fontId="33" fillId="0" borderId="0" xfId="0" applyNumberFormat="1" applyFont="1"/>
    <xf numFmtId="0" fontId="0" fillId="35" borderId="10" xfId="0" applyFill="1" applyBorder="1"/>
    <xf numFmtId="10" fontId="0" fillId="35" borderId="0" xfId="0" applyNumberFormat="1" applyFill="1"/>
    <xf numFmtId="0" fontId="0" fillId="36" borderId="10" xfId="0" applyFill="1" applyBorder="1"/>
    <xf numFmtId="10" fontId="0" fillId="36" borderId="0" xfId="0" applyNumberFormat="1" applyFill="1"/>
    <xf numFmtId="10" fontId="0" fillId="36" borderId="0" xfId="0" applyNumberFormat="1" applyFill="1" applyBorder="1"/>
    <xf numFmtId="0" fontId="0" fillId="37" borderId="12" xfId="0" applyFill="1" applyBorder="1"/>
    <xf numFmtId="10" fontId="0" fillId="37" borderId="11" xfId="0" applyNumberFormat="1" applyFill="1" applyBorder="1"/>
    <xf numFmtId="0" fontId="0" fillId="41" borderId="10" xfId="0" applyFill="1" applyBorder="1"/>
    <xf numFmtId="0" fontId="0" fillId="41" borderId="12" xfId="0" applyFill="1" applyBorder="1"/>
    <xf numFmtId="10" fontId="0" fillId="41" borderId="0" xfId="0" applyNumberFormat="1" applyFill="1"/>
    <xf numFmtId="10" fontId="0" fillId="41" borderId="0" xfId="0" applyNumberFormat="1" applyFill="1" applyBorder="1"/>
    <xf numFmtId="10" fontId="0" fillId="41" borderId="11" xfId="0" applyNumberFormat="1" applyFill="1" applyBorder="1"/>
    <xf numFmtId="0" fontId="0" fillId="41" borderId="0" xfId="0" applyFill="1"/>
    <xf numFmtId="10" fontId="0" fillId="41" borderId="0" xfId="1" applyNumberFormat="1" applyFont="1" applyFill="1"/>
    <xf numFmtId="0" fontId="24" fillId="0" borderId="0" xfId="0" applyFont="1" applyBorder="1"/>
    <xf numFmtId="10" fontId="0" fillId="0" borderId="0" xfId="1" applyNumberFormat="1" applyFont="1" applyBorder="1"/>
    <xf numFmtId="10" fontId="0" fillId="0" borderId="0" xfId="0" applyNumberFormat="1" applyFont="1" applyBorder="1"/>
    <xf numFmtId="0" fontId="0" fillId="37" borderId="10" xfId="0" applyFill="1" applyBorder="1"/>
    <xf numFmtId="10" fontId="0" fillId="37" borderId="0" xfId="0" applyNumberFormat="1" applyFill="1" applyBorder="1"/>
    <xf numFmtId="0" fontId="0" fillId="42" borderId="12" xfId="0" applyFill="1" applyBorder="1"/>
    <xf numFmtId="10" fontId="0" fillId="42" borderId="11" xfId="0" applyNumberFormat="1" applyFill="1" applyBorder="1"/>
    <xf numFmtId="9" fontId="0" fillId="0" borderId="0" xfId="0" applyNumberFormat="1" applyBorder="1"/>
    <xf numFmtId="0" fontId="0" fillId="42" borderId="0" xfId="0" applyFill="1"/>
    <xf numFmtId="10" fontId="0" fillId="42" borderId="0" xfId="1" applyNumberFormat="1" applyFont="1" applyFill="1"/>
    <xf numFmtId="0" fontId="33" fillId="0" borderId="0" xfId="0" applyFont="1"/>
    <xf numFmtId="0" fontId="20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164" fontId="20" fillId="0" borderId="10" xfId="1" applyNumberFormat="1" applyFont="1" applyBorder="1"/>
    <xf numFmtId="10" fontId="0" fillId="0" borderId="0" xfId="1" applyNumberFormat="1" applyFont="1" applyAlignment="1">
      <alignment horizontal="right"/>
    </xf>
    <xf numFmtId="10" fontId="0" fillId="37" borderId="0" xfId="0" applyNumberFormat="1" applyFill="1"/>
    <xf numFmtId="0" fontId="0" fillId="0" borderId="0" xfId="0" applyNumberFormat="1" applyAlignment="1">
      <alignment horizontal="right"/>
    </xf>
    <xf numFmtId="0" fontId="23" fillId="0" borderId="0" xfId="0" applyNumberFormat="1" applyFont="1" applyAlignment="1">
      <alignment horizontal="right"/>
    </xf>
    <xf numFmtId="0" fontId="0" fillId="0" borderId="0" xfId="1" applyNumberFormat="1" applyFont="1" applyAlignment="1">
      <alignment horizontal="right"/>
    </xf>
    <xf numFmtId="0" fontId="0" fillId="0" borderId="10" xfId="0" applyNumberFormat="1" applyBorder="1" applyAlignment="1">
      <alignment horizontal="left"/>
    </xf>
    <xf numFmtId="9" fontId="0" fillId="0" borderId="0" xfId="1" applyFont="1"/>
    <xf numFmtId="0" fontId="0" fillId="0" borderId="0" xfId="0" applyFont="1" applyFill="1"/>
    <xf numFmtId="168" fontId="0" fillId="0" borderId="0" xfId="0" applyNumberFormat="1"/>
    <xf numFmtId="169" fontId="0" fillId="0" borderId="0" xfId="0" applyNumberFormat="1"/>
    <xf numFmtId="164" fontId="23" fillId="0" borderId="0" xfId="0" applyNumberFormat="1" applyFont="1" applyAlignment="1">
      <alignment horizontal="right"/>
    </xf>
    <xf numFmtId="164" fontId="0" fillId="0" borderId="0" xfId="0" applyNumberFormat="1" applyFont="1"/>
    <xf numFmtId="0" fontId="16" fillId="0" borderId="10" xfId="0" applyFont="1" applyBorder="1"/>
    <xf numFmtId="0" fontId="0" fillId="0" borderId="10" xfId="0" applyFont="1" applyBorder="1"/>
    <xf numFmtId="0" fontId="0" fillId="0" borderId="0" xfId="0" applyFont="1"/>
    <xf numFmtId="0" fontId="14" fillId="0" borderId="0" xfId="0" applyFont="1"/>
    <xf numFmtId="164" fontId="16" fillId="0" borderId="0" xfId="1" applyNumberFormat="1" applyFont="1"/>
    <xf numFmtId="164" fontId="1" fillId="0" borderId="0" xfId="1" applyNumberFormat="1" applyFont="1"/>
    <xf numFmtId="0" fontId="16" fillId="0" borderId="0" xfId="0" applyFont="1" applyBorder="1"/>
    <xf numFmtId="0" fontId="0" fillId="0" borderId="0" xfId="0" applyFont="1" applyBorder="1"/>
    <xf numFmtId="164" fontId="16" fillId="0" borderId="0" xfId="0" applyNumberFormat="1" applyFont="1" applyBorder="1"/>
    <xf numFmtId="0" fontId="0" fillId="0" borderId="0" xfId="0" applyNumberFormat="1" applyFill="1" applyAlignment="1"/>
    <xf numFmtId="0" fontId="0" fillId="0" borderId="0" xfId="0" applyNumberFormat="1" applyFill="1"/>
    <xf numFmtId="0" fontId="0" fillId="0" borderId="0" xfId="0" applyFill="1"/>
    <xf numFmtId="0" fontId="0" fillId="43" borderId="10" xfId="0" applyFill="1" applyBorder="1"/>
    <xf numFmtId="0" fontId="33" fillId="0" borderId="0" xfId="0" applyFont="1" applyBorder="1"/>
    <xf numFmtId="167" fontId="33" fillId="0" borderId="0" xfId="1" applyNumberFormat="1" applyFont="1" applyBorder="1"/>
    <xf numFmtId="10" fontId="33" fillId="0" borderId="0" xfId="0" applyNumberFormat="1" applyFont="1" applyBorder="1"/>
    <xf numFmtId="10" fontId="33" fillId="0" borderId="0" xfId="1" applyNumberFormat="1" applyFont="1" applyBorder="1"/>
    <xf numFmtId="10" fontId="35" fillId="0" borderId="0" xfId="0" applyNumberFormat="1" applyFont="1" applyBorder="1"/>
    <xf numFmtId="0" fontId="0" fillId="34" borderId="10" xfId="0" applyFont="1" applyFill="1" applyBorder="1"/>
    <xf numFmtId="0" fontId="0" fillId="34" borderId="0" xfId="0" applyFont="1" applyFill="1"/>
    <xf numFmtId="164" fontId="0" fillId="34" borderId="0" xfId="0" applyNumberFormat="1" applyFont="1" applyFill="1"/>
    <xf numFmtId="0" fontId="17" fillId="33" borderId="0" xfId="0" applyFont="1" applyFill="1" applyBorder="1" applyAlignment="1">
      <alignment horizontal="left"/>
    </xf>
    <xf numFmtId="0" fontId="17" fillId="33" borderId="0" xfId="0" applyFont="1" applyFill="1" applyAlignment="1">
      <alignment horizontal="left"/>
    </xf>
    <xf numFmtId="0" fontId="13" fillId="33" borderId="0" xfId="0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9" fontId="17" fillId="33" borderId="0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10" fontId="0" fillId="0" borderId="10" xfId="1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146E98E5-F1F7-4E78-9763-F6DD38BED2F0}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font>
        <color theme="0" tint="-0.499984740745262"/>
      </font>
      <fill>
        <patternFill>
          <bgColor theme="1"/>
        </patternFill>
      </fill>
    </dxf>
    <dxf>
      <font>
        <color theme="0" tint="-0.499984740745262"/>
      </font>
      <fill>
        <patternFill>
          <bgColor theme="1"/>
        </patternFill>
      </fill>
    </dxf>
    <dxf>
      <font>
        <color theme="0" tint="-0.499984740745262"/>
      </font>
      <fill>
        <patternFill>
          <bgColor theme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baseline="0"/>
              <a:t>kostendekkende NP-premie (% pensioengrondslag, risico- en opbouwbasis)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Premie_leeftijd!$DC$5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Premie_leeftijd!$DC$6:$DC$48</c:f>
              <c:numCache>
                <c:formatCode>0.00%</c:formatCode>
                <c:ptCount val="43"/>
                <c:pt idx="0">
                  <c:v>4.5700051526845489E-2</c:v>
                </c:pt>
                <c:pt idx="1">
                  <c:v>4.4164637617320535E-2</c:v>
                </c:pt>
                <c:pt idx="2">
                  <c:v>4.4424054906192403E-2</c:v>
                </c:pt>
                <c:pt idx="3">
                  <c:v>4.4399323489191164E-2</c:v>
                </c:pt>
                <c:pt idx="4">
                  <c:v>4.3608214052745779E-2</c:v>
                </c:pt>
                <c:pt idx="5">
                  <c:v>4.5810729856346544E-2</c:v>
                </c:pt>
                <c:pt idx="6">
                  <c:v>4.4854793406115194E-2</c:v>
                </c:pt>
                <c:pt idx="7">
                  <c:v>4.5152184037470115E-2</c:v>
                </c:pt>
                <c:pt idx="8">
                  <c:v>4.5947442576081729E-2</c:v>
                </c:pt>
                <c:pt idx="9">
                  <c:v>4.5961378935523198E-2</c:v>
                </c:pt>
                <c:pt idx="10">
                  <c:v>4.6320425213103492E-2</c:v>
                </c:pt>
                <c:pt idx="11">
                  <c:v>4.5738092107509815E-2</c:v>
                </c:pt>
                <c:pt idx="12">
                  <c:v>4.7278422764142777E-2</c:v>
                </c:pt>
                <c:pt idx="13">
                  <c:v>4.7939701100778692E-2</c:v>
                </c:pt>
                <c:pt idx="14">
                  <c:v>4.7393996609300236E-2</c:v>
                </c:pt>
                <c:pt idx="15">
                  <c:v>4.8310714998584414E-2</c:v>
                </c:pt>
                <c:pt idx="16">
                  <c:v>4.9163685910822527E-2</c:v>
                </c:pt>
                <c:pt idx="17">
                  <c:v>4.994738646776975E-2</c:v>
                </c:pt>
                <c:pt idx="18">
                  <c:v>4.8184036560327409E-2</c:v>
                </c:pt>
                <c:pt idx="19">
                  <c:v>5.0281005393034095E-2</c:v>
                </c:pt>
                <c:pt idx="20">
                  <c:v>5.1454971603119043E-2</c:v>
                </c:pt>
                <c:pt idx="21">
                  <c:v>5.0966183039020042E-2</c:v>
                </c:pt>
                <c:pt idx="22">
                  <c:v>5.1298006132302787E-2</c:v>
                </c:pt>
                <c:pt idx="23">
                  <c:v>5.2873443183336775E-2</c:v>
                </c:pt>
                <c:pt idx="24">
                  <c:v>5.1775254011456856E-2</c:v>
                </c:pt>
                <c:pt idx="25">
                  <c:v>5.2502511991920645E-2</c:v>
                </c:pt>
                <c:pt idx="26">
                  <c:v>5.3040066463196103E-2</c:v>
                </c:pt>
                <c:pt idx="27">
                  <c:v>5.2447062155204574E-2</c:v>
                </c:pt>
                <c:pt idx="28">
                  <c:v>5.1570539994897462E-2</c:v>
                </c:pt>
                <c:pt idx="29">
                  <c:v>5.1641336811854691E-2</c:v>
                </c:pt>
                <c:pt idx="30">
                  <c:v>5.1686873798661201E-2</c:v>
                </c:pt>
                <c:pt idx="31">
                  <c:v>5.3543255480654944E-2</c:v>
                </c:pt>
                <c:pt idx="32">
                  <c:v>5.2955320902140793E-2</c:v>
                </c:pt>
                <c:pt idx="33">
                  <c:v>5.2411337861306792E-2</c:v>
                </c:pt>
                <c:pt idx="34">
                  <c:v>5.1573518505083897E-2</c:v>
                </c:pt>
                <c:pt idx="35">
                  <c:v>5.0516903336255206E-2</c:v>
                </c:pt>
                <c:pt idx="36">
                  <c:v>4.9513841646332504E-2</c:v>
                </c:pt>
                <c:pt idx="37">
                  <c:v>4.8153739330457405E-2</c:v>
                </c:pt>
                <c:pt idx="38">
                  <c:v>4.6672377042953246E-2</c:v>
                </c:pt>
                <c:pt idx="39">
                  <c:v>4.5032330533887409E-2</c:v>
                </c:pt>
                <c:pt idx="40">
                  <c:v>4.323048684922931E-2</c:v>
                </c:pt>
                <c:pt idx="41">
                  <c:v>4.1307948220637977E-2</c:v>
                </c:pt>
                <c:pt idx="42">
                  <c:v>3.923089489069613E-2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B-400A-B257-BA3EC78E3886}"/>
            </c:ext>
          </c:extLst>
        </c:ser>
        <c:ser>
          <c:idx val="0"/>
          <c:order val="1"/>
          <c:tx>
            <c:strRef>
              <c:f>Premie_leeftijd!$DD$5</c:f>
              <c:strCache>
                <c:ptCount val="1"/>
                <c:pt idx="0">
                  <c:v>Uitkeringsregeling (degr)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Premie_leeftijd!$DD$6:$DD$48</c:f>
              <c:numCache>
                <c:formatCode>0.00%</c:formatCode>
                <c:ptCount val="43"/>
                <c:pt idx="0">
                  <c:v>5.0675735144536854E-2</c:v>
                </c:pt>
                <c:pt idx="1">
                  <c:v>4.8841080194631917E-2</c:v>
                </c:pt>
                <c:pt idx="2">
                  <c:v>4.8754658850783963E-2</c:v>
                </c:pt>
                <c:pt idx="3">
                  <c:v>4.8389518383028331E-2</c:v>
                </c:pt>
                <c:pt idx="4">
                  <c:v>4.726999517396243E-2</c:v>
                </c:pt>
                <c:pt idx="5">
                  <c:v>4.9055674391895288E-2</c:v>
                </c:pt>
                <c:pt idx="6">
                  <c:v>4.7798398785618937E-2</c:v>
                </c:pt>
                <c:pt idx="7">
                  <c:v>4.7737399381536448E-2</c:v>
                </c:pt>
                <c:pt idx="8">
                  <c:v>4.8157982115474098E-2</c:v>
                </c:pt>
                <c:pt idx="9">
                  <c:v>4.7834909875366455E-2</c:v>
                </c:pt>
                <c:pt idx="10">
                  <c:v>4.7839687541093946E-2</c:v>
                </c:pt>
                <c:pt idx="11">
                  <c:v>4.6944804030601583E-2</c:v>
                </c:pt>
                <c:pt idx="12">
                  <c:v>4.806295993879052E-2</c:v>
                </c:pt>
                <c:pt idx="13">
                  <c:v>4.8369851248170448E-2</c:v>
                </c:pt>
                <c:pt idx="14">
                  <c:v>4.7539723839438212E-2</c:v>
                </c:pt>
                <c:pt idx="15">
                  <c:v>4.8082542725899485E-2</c:v>
                </c:pt>
                <c:pt idx="16">
                  <c:v>4.8583225128161558E-2</c:v>
                </c:pt>
                <c:pt idx="17">
                  <c:v>4.9037574302584888E-2</c:v>
                </c:pt>
                <c:pt idx="18">
                  <c:v>4.7108603526143634E-2</c:v>
                </c:pt>
                <c:pt idx="19">
                  <c:v>4.8768547930963302E-2</c:v>
                </c:pt>
                <c:pt idx="20">
                  <c:v>4.9618088784986858E-2</c:v>
                </c:pt>
                <c:pt idx="21">
                  <c:v>4.8943697413525958E-2</c:v>
                </c:pt>
                <c:pt idx="22">
                  <c:v>4.9029616125772266E-2</c:v>
                </c:pt>
                <c:pt idx="23">
                  <c:v>5.0297573821068677E-2</c:v>
                </c:pt>
                <c:pt idx="24">
                  <c:v>4.9125214360675379E-2</c:v>
                </c:pt>
                <c:pt idx="25">
                  <c:v>4.9633992139937917E-2</c:v>
                </c:pt>
                <c:pt idx="26">
                  <c:v>5.0006282226371962E-2</c:v>
                </c:pt>
                <c:pt idx="27">
                  <c:v>4.9362231192046982E-2</c:v>
                </c:pt>
                <c:pt idx="28">
                  <c:v>4.8450696956505432E-2</c:v>
                </c:pt>
                <c:pt idx="29">
                  <c:v>4.840677397804518E-2</c:v>
                </c:pt>
                <c:pt idx="30">
                  <c:v>4.8367274113640508E-2</c:v>
                </c:pt>
                <c:pt idx="31">
                  <c:v>5.0050652996389826E-2</c:v>
                </c:pt>
                <c:pt idx="32">
                  <c:v>4.9600506192326421E-2</c:v>
                </c:pt>
                <c:pt idx="33">
                  <c:v>4.9218246826753881E-2</c:v>
                </c:pt>
                <c:pt idx="34">
                  <c:v>4.8599741942633473E-2</c:v>
                </c:pt>
                <c:pt idx="35">
                  <c:v>4.7805143462282505E-2</c:v>
                </c:pt>
                <c:pt idx="36">
                  <c:v>4.7079218483625902E-2</c:v>
                </c:pt>
                <c:pt idx="37">
                  <c:v>4.605750519765614E-2</c:v>
                </c:pt>
                <c:pt idx="38">
                  <c:v>4.4938683787835554E-2</c:v>
                </c:pt>
                <c:pt idx="39">
                  <c:v>4.3687983504653284E-2</c:v>
                </c:pt>
                <c:pt idx="40">
                  <c:v>4.2299003334825648E-2</c:v>
                </c:pt>
                <c:pt idx="41">
                  <c:v>4.0800036402681719E-2</c:v>
                </c:pt>
                <c:pt idx="42">
                  <c:v>3.9159687171057347E-2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8-4030-9547-0FA7B8BC4ED5}"/>
            </c:ext>
          </c:extLst>
        </c:ser>
        <c:ser>
          <c:idx val="1"/>
          <c:order val="2"/>
          <c:tx>
            <c:strRef>
              <c:f>Premie_leeftijd!$DE$5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Premie_leeftijd!$DE$6:$DE$48</c:f>
              <c:numCache>
                <c:formatCode>0.00%</c:formatCode>
                <c:ptCount val="43"/>
                <c:pt idx="0">
                  <c:v>4.0696695897628268E-2</c:v>
                </c:pt>
                <c:pt idx="1">
                  <c:v>3.8408701240056714E-2</c:v>
                </c:pt>
                <c:pt idx="2">
                  <c:v>3.8691023373430042E-2</c:v>
                </c:pt>
                <c:pt idx="3">
                  <c:v>3.8540385498748199E-2</c:v>
                </c:pt>
                <c:pt idx="4">
                  <c:v>3.7135240207348361E-2</c:v>
                </c:pt>
                <c:pt idx="5">
                  <c:v>4.0566952336000238E-2</c:v>
                </c:pt>
                <c:pt idx="6">
                  <c:v>3.8887716317792365E-2</c:v>
                </c:pt>
                <c:pt idx="7">
                  <c:v>3.925492713417543E-2</c:v>
                </c:pt>
                <c:pt idx="8">
                  <c:v>4.0538015379823003E-2</c:v>
                </c:pt>
                <c:pt idx="9">
                  <c:v>4.0471127225513256E-2</c:v>
                </c:pt>
                <c:pt idx="10">
                  <c:v>4.1046678199603129E-2</c:v>
                </c:pt>
                <c:pt idx="11">
                  <c:v>3.9805660169569455E-2</c:v>
                </c:pt>
                <c:pt idx="12">
                  <c:v>4.276128139180059E-2</c:v>
                </c:pt>
                <c:pt idx="13">
                  <c:v>4.4136285287847743E-2</c:v>
                </c:pt>
                <c:pt idx="14">
                  <c:v>4.3001339185148681E-2</c:v>
                </c:pt>
                <c:pt idx="15">
                  <c:v>4.5043355832525361E-2</c:v>
                </c:pt>
                <c:pt idx="16">
                  <c:v>4.7139160403223829E-2</c:v>
                </c:pt>
                <c:pt idx="17">
                  <c:v>4.9283231316750234E-2</c:v>
                </c:pt>
                <c:pt idx="18">
                  <c:v>4.5184642726937653E-2</c:v>
                </c:pt>
                <c:pt idx="19">
                  <c:v>5.0810927309711394E-2</c:v>
                </c:pt>
                <c:pt idx="20">
                  <c:v>5.456713871834995E-2</c:v>
                </c:pt>
                <c:pt idx="21">
                  <c:v>5.3972795005765101E-2</c:v>
                </c:pt>
                <c:pt idx="22">
                  <c:v>5.5776553833945343E-2</c:v>
                </c:pt>
                <c:pt idx="23">
                  <c:v>6.180235543082499E-2</c:v>
                </c:pt>
                <c:pt idx="24">
                  <c:v>5.9687485311031935E-2</c:v>
                </c:pt>
                <c:pt idx="25">
                  <c:v>6.3736462165477459E-2</c:v>
                </c:pt>
                <c:pt idx="26">
                  <c:v>6.7726970359442529E-2</c:v>
                </c:pt>
                <c:pt idx="27">
                  <c:v>6.7840557509199165E-2</c:v>
                </c:pt>
                <c:pt idx="28">
                  <c:v>6.6724226609996412E-2</c:v>
                </c:pt>
                <c:pt idx="29">
                  <c:v>6.9750727885975305E-2</c:v>
                </c:pt>
                <c:pt idx="30">
                  <c:v>7.328598156183766E-2</c:v>
                </c:pt>
                <c:pt idx="31">
                  <c:v>8.755030579264908E-2</c:v>
                </c:pt>
                <c:pt idx="32">
                  <c:v>9.0857982043931348E-2</c:v>
                </c:pt>
                <c:pt idx="33">
                  <c:v>9.5383590606978486E-2</c:v>
                </c:pt>
                <c:pt idx="34">
                  <c:v>9.9147501194668183E-2</c:v>
                </c:pt>
                <c:pt idx="35">
                  <c:v>0.10239652541335281</c:v>
                </c:pt>
                <c:pt idx="36">
                  <c:v>0.10749473317460032</c:v>
                </c:pt>
                <c:pt idx="37">
                  <c:v>0.11093031265821029</c:v>
                </c:pt>
                <c:pt idx="38">
                  <c:v>0.11466286545329633</c:v>
                </c:pt>
                <c:pt idx="39">
                  <c:v>0.11830565237736491</c:v>
                </c:pt>
                <c:pt idx="40">
                  <c:v>0.12161152984546195</c:v>
                </c:pt>
                <c:pt idx="41">
                  <c:v>0.12550999369481627</c:v>
                </c:pt>
                <c:pt idx="42">
                  <c:v>0.12988037774277333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8-4030-9547-0FA7B8BC4ED5}"/>
            </c:ext>
          </c:extLst>
        </c:ser>
        <c:ser>
          <c:idx val="5"/>
          <c:order val="3"/>
          <c:tx>
            <c:strRef>
              <c:f>Premie_leeftijd!$DG$5</c:f>
              <c:strCache>
                <c:ptCount val="1"/>
                <c:pt idx="0">
                  <c:v>MvT met overbrugging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Premie_leeftijd!$DG$6:$DG$48</c:f>
              <c:numCache>
                <c:formatCode>0.00%</c:formatCode>
                <c:ptCount val="43"/>
                <c:pt idx="0">
                  <c:v>3.9643135577268722E-2</c:v>
                </c:pt>
                <c:pt idx="1">
                  <c:v>3.7473353822384842E-2</c:v>
                </c:pt>
                <c:pt idx="2">
                  <c:v>3.7712101868529538E-2</c:v>
                </c:pt>
                <c:pt idx="3">
                  <c:v>3.7545361557563196E-2</c:v>
                </c:pt>
                <c:pt idx="4">
                  <c:v>3.6210723631638256E-2</c:v>
                </c:pt>
                <c:pt idx="5">
                  <c:v>3.9372959990654072E-2</c:v>
                </c:pt>
                <c:pt idx="6">
                  <c:v>3.7783701869157145E-2</c:v>
                </c:pt>
                <c:pt idx="7">
                  <c:v>3.8092588611429792E-2</c:v>
                </c:pt>
                <c:pt idx="8">
                  <c:v>3.9243770968817253E-2</c:v>
                </c:pt>
                <c:pt idx="9">
                  <c:v>3.9145306605450153E-2</c:v>
                </c:pt>
                <c:pt idx="10">
                  <c:v>3.9635497237178761E-2</c:v>
                </c:pt>
                <c:pt idx="11">
                  <c:v>3.8457671049783031E-2</c:v>
                </c:pt>
                <c:pt idx="12">
                  <c:v>4.1117094184987255E-2</c:v>
                </c:pt>
                <c:pt idx="13">
                  <c:v>4.2319862392769865E-2</c:v>
                </c:pt>
                <c:pt idx="14">
                  <c:v>4.1233929132534208E-2</c:v>
                </c:pt>
                <c:pt idx="15">
                  <c:v>4.3027489431132208E-2</c:v>
                </c:pt>
                <c:pt idx="16">
                  <c:v>4.48548358633028E-2</c:v>
                </c:pt>
                <c:pt idx="17">
                  <c:v>4.6709461323239471E-2</c:v>
                </c:pt>
                <c:pt idx="18">
                  <c:v>4.2954653950822715E-2</c:v>
                </c:pt>
                <c:pt idx="19">
                  <c:v>4.790147002843638E-2</c:v>
                </c:pt>
                <c:pt idx="20">
                  <c:v>5.1141983623296756E-2</c:v>
                </c:pt>
                <c:pt idx="21">
                  <c:v>5.0499135930593256E-2</c:v>
                </c:pt>
                <c:pt idx="22">
                  <c:v>5.196735359900069E-2</c:v>
                </c:pt>
                <c:pt idx="23">
                  <c:v>5.7115238573592277E-2</c:v>
                </c:pt>
                <c:pt idx="24">
                  <c:v>5.5101557685059949E-2</c:v>
                </c:pt>
                <c:pt idx="25">
                  <c:v>5.844557456691489E-2</c:v>
                </c:pt>
                <c:pt idx="26">
                  <c:v>6.1689209345167181E-2</c:v>
                </c:pt>
                <c:pt idx="27">
                  <c:v>6.1555457542510933E-2</c:v>
                </c:pt>
                <c:pt idx="28">
                  <c:v>6.0358907748374685E-2</c:v>
                </c:pt>
                <c:pt idx="29">
                  <c:v>6.2664316653471747E-2</c:v>
                </c:pt>
                <c:pt idx="30">
                  <c:v>6.5342432535915554E-2</c:v>
                </c:pt>
                <c:pt idx="31">
                  <c:v>7.6889055246834287E-2</c:v>
                </c:pt>
                <c:pt idx="32">
                  <c:v>7.9163196841398331E-2</c:v>
                </c:pt>
                <c:pt idx="33">
                  <c:v>8.2351724755273442E-2</c:v>
                </c:pt>
                <c:pt idx="34">
                  <c:v>8.4813316514386811E-2</c:v>
                </c:pt>
                <c:pt idx="35">
                  <c:v>8.6754107512038964E-2</c:v>
                </c:pt>
                <c:pt idx="36">
                  <c:v>9.0048226681429089E-2</c:v>
                </c:pt>
                <c:pt idx="37">
                  <c:v>9.1883021278901106E-2</c:v>
                </c:pt>
                <c:pt idx="38">
                  <c:v>9.3804461598262931E-2</c:v>
                </c:pt>
                <c:pt idx="39">
                  <c:v>9.5491870270679596E-2</c:v>
                </c:pt>
                <c:pt idx="40">
                  <c:v>9.6744185909758917E-2</c:v>
                </c:pt>
                <c:pt idx="41">
                  <c:v>9.8232584440858445E-2</c:v>
                </c:pt>
                <c:pt idx="42">
                  <c:v>9.9817916122801012E-2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0-4B0B-AC59-C687C333040D}"/>
            </c:ext>
          </c:extLst>
        </c:ser>
        <c:ser>
          <c:idx val="2"/>
          <c:order val="4"/>
          <c:tx>
            <c:strRef>
              <c:f>Premie_leeftijd!$DH$5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Premie_leeftijd!$DH$6:$DH$48</c:f>
              <c:numCache>
                <c:formatCode>0.00%</c:formatCode>
                <c:ptCount val="43"/>
                <c:pt idx="0">
                  <c:v>4.9971916844998215E-2</c:v>
                </c:pt>
                <c:pt idx="1">
                  <c:v>4.7745761044799447E-2</c:v>
                </c:pt>
                <c:pt idx="2">
                  <c:v>4.7911719680857549E-2</c:v>
                </c:pt>
                <c:pt idx="3">
                  <c:v>4.7674765580264254E-2</c:v>
                </c:pt>
                <c:pt idx="4">
                  <c:v>4.6298212808710479E-2</c:v>
                </c:pt>
                <c:pt idx="5">
                  <c:v>4.9290581785213693E-2</c:v>
                </c:pt>
                <c:pt idx="6">
                  <c:v>4.7666728456044388E-2</c:v>
                </c:pt>
                <c:pt idx="7">
                  <c:v>4.7874301472101699E-2</c:v>
                </c:pt>
                <c:pt idx="8">
                  <c:v>4.8873919499484324E-2</c:v>
                </c:pt>
                <c:pt idx="9">
                  <c:v>4.8674670553381726E-2</c:v>
                </c:pt>
                <c:pt idx="10">
                  <c:v>4.9022624685239255E-2</c:v>
                </c:pt>
                <c:pt idx="11">
                  <c:v>4.7809226291427101E-2</c:v>
                </c:pt>
                <c:pt idx="12">
                  <c:v>5.0140218070316669E-2</c:v>
                </c:pt>
                <c:pt idx="13">
                  <c:v>5.1092259297672388E-2</c:v>
                </c:pt>
                <c:pt idx="14">
                  <c:v>4.994833910468785E-2</c:v>
                </c:pt>
                <c:pt idx="15">
                  <c:v>5.1389847478508853E-2</c:v>
                </c:pt>
                <c:pt idx="16">
                  <c:v>5.2817229288046642E-2</c:v>
                </c:pt>
                <c:pt idx="17">
                  <c:v>5.4220066235391558E-2</c:v>
                </c:pt>
                <c:pt idx="18">
                  <c:v>5.0729559198671073E-2</c:v>
                </c:pt>
                <c:pt idx="19">
                  <c:v>5.4718731391514244E-2</c:v>
                </c:pt>
                <c:pt idx="20">
                  <c:v>5.7141342678005788E-2</c:v>
                </c:pt>
                <c:pt idx="21">
                  <c:v>5.6253433919240647E-2</c:v>
                </c:pt>
                <c:pt idx="22">
                  <c:v>5.7074794433689083E-2</c:v>
                </c:pt>
                <c:pt idx="23">
                  <c:v>6.0761931068841118E-2</c:v>
                </c:pt>
                <c:pt idx="24">
                  <c:v>5.8661607742930284E-2</c:v>
                </c:pt>
                <c:pt idx="25">
                  <c:v>6.0688760401815103E-2</c:v>
                </c:pt>
                <c:pt idx="26">
                  <c:v>6.2481677734171473E-2</c:v>
                </c:pt>
                <c:pt idx="27">
                  <c:v>6.1646414452539156E-2</c:v>
                </c:pt>
                <c:pt idx="28">
                  <c:v>6.0009744049182794E-2</c:v>
                </c:pt>
                <c:pt idx="29">
                  <c:v>6.0757400390724817E-2</c:v>
                </c:pt>
                <c:pt idx="30">
                  <c:v>6.1569749509585797E-2</c:v>
                </c:pt>
                <c:pt idx="31">
                  <c:v>6.7766407563164557E-2</c:v>
                </c:pt>
                <c:pt idx="32">
                  <c:v>6.7603393151398697E-2</c:v>
                </c:pt>
                <c:pt idx="33">
                  <c:v>6.7678876935022059E-2</c:v>
                </c:pt>
                <c:pt idx="34">
                  <c:v>6.6976605621903371E-2</c:v>
                </c:pt>
                <c:pt idx="35">
                  <c:v>6.5625907938928835E-2</c:v>
                </c:pt>
                <c:pt idx="36">
                  <c:v>6.4490617472793207E-2</c:v>
                </c:pt>
                <c:pt idx="37">
                  <c:v>6.2162939666335813E-2</c:v>
                </c:pt>
                <c:pt idx="38">
                  <c:v>5.9325953253239992E-2</c:v>
                </c:pt>
                <c:pt idx="39">
                  <c:v>5.5774424584700694E-2</c:v>
                </c:pt>
                <c:pt idx="40">
                  <c:v>5.1389121030631084E-2</c:v>
                </c:pt>
                <c:pt idx="41">
                  <c:v>4.6234273260269312E-2</c:v>
                </c:pt>
                <c:pt idx="42">
                  <c:v>4.0074809060204344E-2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030-9547-0FA7B8BC4ED5}"/>
            </c:ext>
          </c:extLst>
        </c:ser>
        <c:ser>
          <c:idx val="3"/>
          <c:order val="5"/>
          <c:tx>
            <c:strRef>
              <c:f>Premie_leeftijd!$DI$5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Premie_leeftijd!$DI$6:$DI$48</c:f>
              <c:numCache>
                <c:formatCode>0.00%</c:formatCode>
                <c:ptCount val="43"/>
                <c:pt idx="0">
                  <c:v>5.4684584932185726E-2</c:v>
                </c:pt>
                <c:pt idx="1">
                  <c:v>5.2280839287521703E-2</c:v>
                </c:pt>
                <c:pt idx="2">
                  <c:v>5.2228155260000408E-2</c:v>
                </c:pt>
                <c:pt idx="3">
                  <c:v>5.1794631938138519E-2</c:v>
                </c:pt>
                <c:pt idx="4">
                  <c:v>5.0319407593657238E-2</c:v>
                </c:pt>
                <c:pt idx="5">
                  <c:v>5.2850940420503811E-2</c:v>
                </c:pt>
                <c:pt idx="6">
                  <c:v>5.1176262210255299E-2</c:v>
                </c:pt>
                <c:pt idx="7">
                  <c:v>5.1158636631891942E-2</c:v>
                </c:pt>
                <c:pt idx="8">
                  <c:v>5.1820097041927797E-2</c:v>
                </c:pt>
                <c:pt idx="9">
                  <c:v>5.1437637874090412E-2</c:v>
                </c:pt>
                <c:pt idx="10">
                  <c:v>5.1519131615199984E-2</c:v>
                </c:pt>
                <c:pt idx="11">
                  <c:v>5.0313284450558091E-2</c:v>
                </c:pt>
                <c:pt idx="12">
                  <c:v>5.1998016918940904E-2</c:v>
                </c:pt>
                <c:pt idx="13">
                  <c:v>5.2528148265802321E-2</c:v>
                </c:pt>
                <c:pt idx="14">
                  <c:v>5.1404414805803926E-2</c:v>
                </c:pt>
                <c:pt idx="15">
                  <c:v>5.2288648162891201E-2</c:v>
                </c:pt>
                <c:pt idx="16">
                  <c:v>5.3124918401581983E-2</c:v>
                </c:pt>
                <c:pt idx="17">
                  <c:v>5.3906475785278546E-2</c:v>
                </c:pt>
                <c:pt idx="18">
                  <c:v>5.1113921695380975E-2</c:v>
                </c:pt>
                <c:pt idx="19">
                  <c:v>5.3725673351191244E-2</c:v>
                </c:pt>
                <c:pt idx="20">
                  <c:v>5.5142648973086572E-2</c:v>
                </c:pt>
                <c:pt idx="21">
                  <c:v>5.4235067092114252E-2</c:v>
                </c:pt>
                <c:pt idx="22">
                  <c:v>5.4498642998523687E-2</c:v>
                </c:pt>
                <c:pt idx="23">
                  <c:v>5.6627297103956913E-2</c:v>
                </c:pt>
                <c:pt idx="24">
                  <c:v>5.4931152634670063E-2</c:v>
                </c:pt>
                <c:pt idx="25">
                  <c:v>5.5898640093780483E-2</c:v>
                </c:pt>
                <c:pt idx="26">
                  <c:v>5.667068892640853E-2</c:v>
                </c:pt>
                <c:pt idx="27">
                  <c:v>5.5804195868336473E-2</c:v>
                </c:pt>
                <c:pt idx="28">
                  <c:v>5.4483817498476535E-2</c:v>
                </c:pt>
                <c:pt idx="29">
                  <c:v>5.4591098103360575E-2</c:v>
                </c:pt>
                <c:pt idx="30">
                  <c:v>5.4716634962571592E-2</c:v>
                </c:pt>
                <c:pt idx="31">
                  <c:v>5.7814089008040859E-2</c:v>
                </c:pt>
                <c:pt idx="32">
                  <c:v>5.7298317370303456E-2</c:v>
                </c:pt>
                <c:pt idx="33">
                  <c:v>5.6908871296864484E-2</c:v>
                </c:pt>
                <c:pt idx="34">
                  <c:v>5.6108717187969503E-2</c:v>
                </c:pt>
                <c:pt idx="35">
                  <c:v>5.4990876227751145E-2</c:v>
                </c:pt>
                <c:pt idx="36">
                  <c:v>5.4001677348971287E-2</c:v>
                </c:pt>
                <c:pt idx="37">
                  <c:v>5.2456749600079934E-2</c:v>
                </c:pt>
                <c:pt idx="38">
                  <c:v>5.0715919415671169E-2</c:v>
                </c:pt>
                <c:pt idx="39">
                  <c:v>4.8701972263596058E-2</c:v>
                </c:pt>
                <c:pt idx="40">
                  <c:v>4.6386019924676197E-2</c:v>
                </c:pt>
                <c:pt idx="41">
                  <c:v>4.3818651605409771E-2</c:v>
                </c:pt>
                <c:pt idx="42">
                  <c:v>4.0923026763029856E-2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C-42D3-A207-93E2E0B6D30A}"/>
            </c:ext>
          </c:extLst>
        </c:ser>
        <c:ser>
          <c:idx val="6"/>
          <c:order val="6"/>
          <c:tx>
            <c:strRef>
              <c:f>Premie_leeftijd!$CJ$4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Premie_leeftijd!$CJ$6:$CJ$48</c:f>
              <c:numCache>
                <c:formatCode>0.00%</c:formatCode>
                <c:ptCount val="43"/>
                <c:pt idx="0">
                  <c:v>3.4143580072814594E-2</c:v>
                </c:pt>
                <c:pt idx="1">
                  <c:v>3.4415533171274423E-2</c:v>
                </c:pt>
                <c:pt idx="2">
                  <c:v>3.4729144314386638E-2</c:v>
                </c:pt>
                <c:pt idx="3">
                  <c:v>3.5042374325159394E-2</c:v>
                </c:pt>
                <c:pt idx="4">
                  <c:v>3.5359567212225745E-2</c:v>
                </c:pt>
                <c:pt idx="5">
                  <c:v>3.5714519598019891E-2</c:v>
                </c:pt>
                <c:pt idx="6">
                  <c:v>3.6014448668308198E-2</c:v>
                </c:pt>
                <c:pt idx="7">
                  <c:v>3.634848368925446E-2</c:v>
                </c:pt>
                <c:pt idx="8">
                  <c:v>3.6686051727667188E-2</c:v>
                </c:pt>
                <c:pt idx="9">
                  <c:v>3.7008341533451485E-2</c:v>
                </c:pt>
                <c:pt idx="10">
                  <c:v>3.7339348739914416E-2</c:v>
                </c:pt>
                <c:pt idx="11">
                  <c:v>3.7663195356284943E-2</c:v>
                </c:pt>
                <c:pt idx="12">
                  <c:v>3.802269661452537E-2</c:v>
                </c:pt>
                <c:pt idx="13">
                  <c:v>3.8344524344372827E-2</c:v>
                </c:pt>
                <c:pt idx="14">
                  <c:v>3.864626499327492E-2</c:v>
                </c:pt>
                <c:pt idx="15">
                  <c:v>3.897951537899734E-2</c:v>
                </c:pt>
                <c:pt idx="16">
                  <c:v>3.9292862260723829E-2</c:v>
                </c:pt>
                <c:pt idx="17">
                  <c:v>3.9585646965650159E-2</c:v>
                </c:pt>
                <c:pt idx="18">
                  <c:v>3.9834900503140785E-2</c:v>
                </c:pt>
                <c:pt idx="19">
                  <c:v>4.0177924817391873E-2</c:v>
                </c:pt>
                <c:pt idx="20">
                  <c:v>4.0449699971952323E-2</c:v>
                </c:pt>
                <c:pt idx="21">
                  <c:v>4.0664011789861468E-2</c:v>
                </c:pt>
                <c:pt idx="22">
                  <c:v>4.090114065193675E-2</c:v>
                </c:pt>
                <c:pt idx="23">
                  <c:v>4.1139258499283904E-2</c:v>
                </c:pt>
                <c:pt idx="24">
                  <c:v>4.1276480769395017E-2</c:v>
                </c:pt>
                <c:pt idx="25">
                  <c:v>4.1471117029368537E-2</c:v>
                </c:pt>
                <c:pt idx="26">
                  <c:v>4.1623106434542201E-2</c:v>
                </c:pt>
                <c:pt idx="27">
                  <c:v>4.1716554523662318E-2</c:v>
                </c:pt>
                <c:pt idx="28">
                  <c:v>4.1809126462758882E-2</c:v>
                </c:pt>
                <c:pt idx="29">
                  <c:v>4.1940267434449667E-2</c:v>
                </c:pt>
                <c:pt idx="30">
                  <c:v>4.2045653441525555E-2</c:v>
                </c:pt>
                <c:pt idx="31">
                  <c:v>4.2167922958118047E-2</c:v>
                </c:pt>
                <c:pt idx="32">
                  <c:v>4.2080632460926623E-2</c:v>
                </c:pt>
                <c:pt idx="33">
                  <c:v>4.1967434350396141E-2</c:v>
                </c:pt>
                <c:pt idx="34">
                  <c:v>4.1805268383580008E-2</c:v>
                </c:pt>
                <c:pt idx="35">
                  <c:v>4.1604018361135066E-2</c:v>
                </c:pt>
                <c:pt idx="36">
                  <c:v>4.1382460537383522E-2</c:v>
                </c:pt>
                <c:pt idx="37">
                  <c:v>4.1102108714328782E-2</c:v>
                </c:pt>
                <c:pt idx="38">
                  <c:v>4.0791869215346069E-2</c:v>
                </c:pt>
                <c:pt idx="39">
                  <c:v>4.0447149607241766E-2</c:v>
                </c:pt>
                <c:pt idx="40">
                  <c:v>4.0068172670317634E-2</c:v>
                </c:pt>
                <c:pt idx="41">
                  <c:v>3.9664616188673937E-2</c:v>
                </c:pt>
                <c:pt idx="42">
                  <c:v>3.923089489069613E-2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2-4E21-A72C-1EDF4252666D}"/>
            </c:ext>
          </c:extLst>
        </c:ser>
        <c:ser>
          <c:idx val="7"/>
          <c:order val="7"/>
          <c:tx>
            <c:strRef>
              <c:f>Premie_leeftijd!$CM$4</c:f>
              <c:strCache>
                <c:ptCount val="1"/>
                <c:pt idx="0">
                  <c:v>Uitkeringsregeling (degr)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Premie_leeftijd!$CM$6:$CM$48</c:f>
              <c:numCache>
                <c:formatCode>0.00%</c:formatCode>
                <c:ptCount val="43"/>
                <c:pt idx="0">
                  <c:v>3.9159687171057347E-2</c:v>
                </c:pt>
                <c:pt idx="1">
                  <c:v>3.9159687171057347E-2</c:v>
                </c:pt>
                <c:pt idx="2">
                  <c:v>3.9159687171057347E-2</c:v>
                </c:pt>
                <c:pt idx="3">
                  <c:v>3.9159687171057347E-2</c:v>
                </c:pt>
                <c:pt idx="4">
                  <c:v>3.9159687171057347E-2</c:v>
                </c:pt>
                <c:pt idx="5">
                  <c:v>3.9159687171057347E-2</c:v>
                </c:pt>
                <c:pt idx="6">
                  <c:v>3.9159687171057347E-2</c:v>
                </c:pt>
                <c:pt idx="7">
                  <c:v>3.9159687171057347E-2</c:v>
                </c:pt>
                <c:pt idx="8">
                  <c:v>3.9159687171057347E-2</c:v>
                </c:pt>
                <c:pt idx="9">
                  <c:v>3.9159687171057347E-2</c:v>
                </c:pt>
                <c:pt idx="10">
                  <c:v>3.9159687171057347E-2</c:v>
                </c:pt>
                <c:pt idx="11">
                  <c:v>3.9159687171057347E-2</c:v>
                </c:pt>
                <c:pt idx="12">
                  <c:v>3.9159687171057347E-2</c:v>
                </c:pt>
                <c:pt idx="13">
                  <c:v>3.9159687171057347E-2</c:v>
                </c:pt>
                <c:pt idx="14">
                  <c:v>3.9159687171057347E-2</c:v>
                </c:pt>
                <c:pt idx="15">
                  <c:v>3.9159687171057347E-2</c:v>
                </c:pt>
                <c:pt idx="16">
                  <c:v>3.9159687171057347E-2</c:v>
                </c:pt>
                <c:pt idx="17">
                  <c:v>3.9159687171057347E-2</c:v>
                </c:pt>
                <c:pt idx="18">
                  <c:v>3.9159687171057347E-2</c:v>
                </c:pt>
                <c:pt idx="19">
                  <c:v>3.9159687171057347E-2</c:v>
                </c:pt>
                <c:pt idx="20">
                  <c:v>3.9159687171057347E-2</c:v>
                </c:pt>
                <c:pt idx="21">
                  <c:v>3.9159687171057347E-2</c:v>
                </c:pt>
                <c:pt idx="22">
                  <c:v>3.9159687171057347E-2</c:v>
                </c:pt>
                <c:pt idx="23">
                  <c:v>3.9159687171057347E-2</c:v>
                </c:pt>
                <c:pt idx="24">
                  <c:v>3.9159687171057347E-2</c:v>
                </c:pt>
                <c:pt idx="25">
                  <c:v>3.9159687171057347E-2</c:v>
                </c:pt>
                <c:pt idx="26">
                  <c:v>3.9159687171057347E-2</c:v>
                </c:pt>
                <c:pt idx="27">
                  <c:v>3.9159687171057347E-2</c:v>
                </c:pt>
                <c:pt idx="28">
                  <c:v>3.9159687171057347E-2</c:v>
                </c:pt>
                <c:pt idx="29">
                  <c:v>3.9159687171057347E-2</c:v>
                </c:pt>
                <c:pt idx="30">
                  <c:v>3.9159687171057347E-2</c:v>
                </c:pt>
                <c:pt idx="31">
                  <c:v>3.9159687171057347E-2</c:v>
                </c:pt>
                <c:pt idx="32">
                  <c:v>3.9159687171057347E-2</c:v>
                </c:pt>
                <c:pt idx="33">
                  <c:v>3.9159687171057347E-2</c:v>
                </c:pt>
                <c:pt idx="34">
                  <c:v>3.9159687171057347E-2</c:v>
                </c:pt>
                <c:pt idx="35">
                  <c:v>3.9159687171057347E-2</c:v>
                </c:pt>
                <c:pt idx="36">
                  <c:v>3.9159687171057347E-2</c:v>
                </c:pt>
                <c:pt idx="37">
                  <c:v>3.9159687171057347E-2</c:v>
                </c:pt>
                <c:pt idx="38">
                  <c:v>3.9159687171057347E-2</c:v>
                </c:pt>
                <c:pt idx="39">
                  <c:v>3.9159687171057347E-2</c:v>
                </c:pt>
                <c:pt idx="40">
                  <c:v>3.9159687171057347E-2</c:v>
                </c:pt>
                <c:pt idx="41">
                  <c:v>3.9159687171057347E-2</c:v>
                </c:pt>
                <c:pt idx="42">
                  <c:v>3.9159687171057347E-2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2-4E21-A72C-1EDF4252666D}"/>
            </c:ext>
          </c:extLst>
        </c:ser>
        <c:ser>
          <c:idx val="8"/>
          <c:order val="8"/>
          <c:tx>
            <c:strRef>
              <c:f>Premie_leeftijd!$CP$4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Premie_leeftijd!$CP$6:$CP$48</c:f>
              <c:numCache>
                <c:formatCode>0.00%</c:formatCode>
                <c:ptCount val="43"/>
                <c:pt idx="0">
                  <c:v>2.3794373702957207E-2</c:v>
                </c:pt>
                <c:pt idx="1">
                  <c:v>2.3794373702957207E-2</c:v>
                </c:pt>
                <c:pt idx="2">
                  <c:v>2.3794373702957207E-2</c:v>
                </c:pt>
                <c:pt idx="3">
                  <c:v>2.3794373702957207E-2</c:v>
                </c:pt>
                <c:pt idx="4">
                  <c:v>2.3794373702957207E-2</c:v>
                </c:pt>
                <c:pt idx="5">
                  <c:v>2.3794373702957207E-2</c:v>
                </c:pt>
                <c:pt idx="6">
                  <c:v>2.3794373702957207E-2</c:v>
                </c:pt>
                <c:pt idx="7">
                  <c:v>2.3794373702957207E-2</c:v>
                </c:pt>
                <c:pt idx="8">
                  <c:v>2.3794373702957207E-2</c:v>
                </c:pt>
                <c:pt idx="9">
                  <c:v>2.3794373702957207E-2</c:v>
                </c:pt>
                <c:pt idx="10">
                  <c:v>2.3794373702957207E-2</c:v>
                </c:pt>
                <c:pt idx="11">
                  <c:v>2.3794373702957207E-2</c:v>
                </c:pt>
                <c:pt idx="12">
                  <c:v>2.3794373702957207E-2</c:v>
                </c:pt>
                <c:pt idx="13">
                  <c:v>2.3794373702957207E-2</c:v>
                </c:pt>
                <c:pt idx="14">
                  <c:v>2.3794373702957207E-2</c:v>
                </c:pt>
                <c:pt idx="15">
                  <c:v>2.3794373702957207E-2</c:v>
                </c:pt>
                <c:pt idx="16">
                  <c:v>2.3794373702957207E-2</c:v>
                </c:pt>
                <c:pt idx="17">
                  <c:v>2.3794373702957207E-2</c:v>
                </c:pt>
                <c:pt idx="18">
                  <c:v>2.3794373702957207E-2</c:v>
                </c:pt>
                <c:pt idx="19">
                  <c:v>2.3794373702957207E-2</c:v>
                </c:pt>
                <c:pt idx="20">
                  <c:v>2.3794373702957207E-2</c:v>
                </c:pt>
                <c:pt idx="21">
                  <c:v>2.3794373702957207E-2</c:v>
                </c:pt>
                <c:pt idx="22">
                  <c:v>2.3794373702957207E-2</c:v>
                </c:pt>
                <c:pt idx="23">
                  <c:v>2.3794373702957207E-2</c:v>
                </c:pt>
                <c:pt idx="24">
                  <c:v>2.3794373702957207E-2</c:v>
                </c:pt>
                <c:pt idx="25">
                  <c:v>2.3794373702957207E-2</c:v>
                </c:pt>
                <c:pt idx="26">
                  <c:v>2.3794373702957207E-2</c:v>
                </c:pt>
                <c:pt idx="27">
                  <c:v>2.3794373702957207E-2</c:v>
                </c:pt>
                <c:pt idx="28">
                  <c:v>2.3794373702957207E-2</c:v>
                </c:pt>
                <c:pt idx="29">
                  <c:v>2.3794373702957207E-2</c:v>
                </c:pt>
                <c:pt idx="30">
                  <c:v>2.3794373702957207E-2</c:v>
                </c:pt>
                <c:pt idx="31">
                  <c:v>2.3794373702957207E-2</c:v>
                </c:pt>
                <c:pt idx="32">
                  <c:v>2.3794373702957207E-2</c:v>
                </c:pt>
                <c:pt idx="33">
                  <c:v>2.3794373702957207E-2</c:v>
                </c:pt>
                <c:pt idx="34">
                  <c:v>2.3794373702957207E-2</c:v>
                </c:pt>
                <c:pt idx="35">
                  <c:v>2.3794373702957207E-2</c:v>
                </c:pt>
                <c:pt idx="36">
                  <c:v>2.3794373702957207E-2</c:v>
                </c:pt>
                <c:pt idx="37">
                  <c:v>2.3794373702957207E-2</c:v>
                </c:pt>
                <c:pt idx="38">
                  <c:v>2.3794373702957207E-2</c:v>
                </c:pt>
                <c:pt idx="39">
                  <c:v>2.3794373702957207E-2</c:v>
                </c:pt>
                <c:pt idx="40">
                  <c:v>2.3794373702957207E-2</c:v>
                </c:pt>
                <c:pt idx="41">
                  <c:v>2.3794373702957207E-2</c:v>
                </c:pt>
                <c:pt idx="42">
                  <c:v>2.3794373702957207E-2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B2-4E21-A72C-1EDF4252666D}"/>
            </c:ext>
          </c:extLst>
        </c:ser>
        <c:ser>
          <c:idx val="9"/>
          <c:order val="9"/>
          <c:tx>
            <c:strRef>
              <c:f>Premie_leeftijd!$CU$4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Premie_leeftijd!$CU$6:$CU$48</c:f>
              <c:numCache>
                <c:formatCode>0.00%</c:formatCode>
                <c:ptCount val="43"/>
                <c:pt idx="0">
                  <c:v>3.4197010420295985E-2</c:v>
                </c:pt>
                <c:pt idx="1">
                  <c:v>3.4197010420295985E-2</c:v>
                </c:pt>
                <c:pt idx="2">
                  <c:v>3.4197010420295985E-2</c:v>
                </c:pt>
                <c:pt idx="3">
                  <c:v>3.4197010420295985E-2</c:v>
                </c:pt>
                <c:pt idx="4">
                  <c:v>3.4197010420295985E-2</c:v>
                </c:pt>
                <c:pt idx="5">
                  <c:v>3.4197010420295985E-2</c:v>
                </c:pt>
                <c:pt idx="6">
                  <c:v>3.4197010420295985E-2</c:v>
                </c:pt>
                <c:pt idx="7">
                  <c:v>3.4197010420295985E-2</c:v>
                </c:pt>
                <c:pt idx="8">
                  <c:v>3.4197010420295985E-2</c:v>
                </c:pt>
                <c:pt idx="9">
                  <c:v>3.4197010420295985E-2</c:v>
                </c:pt>
                <c:pt idx="10">
                  <c:v>3.4197010420295985E-2</c:v>
                </c:pt>
                <c:pt idx="11">
                  <c:v>3.4197010420295985E-2</c:v>
                </c:pt>
                <c:pt idx="12">
                  <c:v>3.4197010420295985E-2</c:v>
                </c:pt>
                <c:pt idx="13">
                  <c:v>3.4197010420295985E-2</c:v>
                </c:pt>
                <c:pt idx="14">
                  <c:v>3.4197010420295985E-2</c:v>
                </c:pt>
                <c:pt idx="15">
                  <c:v>3.4197010420295985E-2</c:v>
                </c:pt>
                <c:pt idx="16">
                  <c:v>3.4197010420295985E-2</c:v>
                </c:pt>
                <c:pt idx="17">
                  <c:v>3.4197010420295985E-2</c:v>
                </c:pt>
                <c:pt idx="18">
                  <c:v>3.4197010420295985E-2</c:v>
                </c:pt>
                <c:pt idx="19">
                  <c:v>3.4197010420295985E-2</c:v>
                </c:pt>
                <c:pt idx="20">
                  <c:v>3.4197010420295985E-2</c:v>
                </c:pt>
                <c:pt idx="21">
                  <c:v>3.4197010420295985E-2</c:v>
                </c:pt>
                <c:pt idx="22">
                  <c:v>3.4197010420295985E-2</c:v>
                </c:pt>
                <c:pt idx="23">
                  <c:v>3.4197010420295985E-2</c:v>
                </c:pt>
                <c:pt idx="24">
                  <c:v>3.4197010420295985E-2</c:v>
                </c:pt>
                <c:pt idx="25">
                  <c:v>3.4197010420295985E-2</c:v>
                </c:pt>
                <c:pt idx="26">
                  <c:v>3.4197010420295985E-2</c:v>
                </c:pt>
                <c:pt idx="27">
                  <c:v>3.4197010420295985E-2</c:v>
                </c:pt>
                <c:pt idx="28">
                  <c:v>3.4197010420295985E-2</c:v>
                </c:pt>
                <c:pt idx="29">
                  <c:v>3.4197010420295985E-2</c:v>
                </c:pt>
                <c:pt idx="30">
                  <c:v>3.4197010420295985E-2</c:v>
                </c:pt>
                <c:pt idx="31">
                  <c:v>3.4197010420295985E-2</c:v>
                </c:pt>
                <c:pt idx="32">
                  <c:v>3.4197010420295985E-2</c:v>
                </c:pt>
                <c:pt idx="33">
                  <c:v>3.4197010420295985E-2</c:v>
                </c:pt>
                <c:pt idx="34">
                  <c:v>3.4197010420295985E-2</c:v>
                </c:pt>
                <c:pt idx="35">
                  <c:v>3.4197010420295985E-2</c:v>
                </c:pt>
                <c:pt idx="36">
                  <c:v>3.4197010420295985E-2</c:v>
                </c:pt>
                <c:pt idx="37">
                  <c:v>3.4197010420295985E-2</c:v>
                </c:pt>
                <c:pt idx="38">
                  <c:v>3.4197010420295985E-2</c:v>
                </c:pt>
                <c:pt idx="39">
                  <c:v>3.4197010420295985E-2</c:v>
                </c:pt>
                <c:pt idx="40">
                  <c:v>3.4197010420295985E-2</c:v>
                </c:pt>
                <c:pt idx="41">
                  <c:v>3.4197010420295985E-2</c:v>
                </c:pt>
                <c:pt idx="42">
                  <c:v>3.4197010420295985E-2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B2-4E21-A72C-1EDF4252666D}"/>
            </c:ext>
          </c:extLst>
        </c:ser>
        <c:ser>
          <c:idx val="10"/>
          <c:order val="10"/>
          <c:tx>
            <c:strRef>
              <c:f>Premie_leeftijd!$CX$4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Premie_leeftijd!$CX$6:$CX$48</c:f>
              <c:numCache>
                <c:formatCode>0.00%</c:formatCode>
                <c:ptCount val="43"/>
                <c:pt idx="0">
                  <c:v>3.9159687171057347E-2</c:v>
                </c:pt>
                <c:pt idx="1">
                  <c:v>3.9159687171057347E-2</c:v>
                </c:pt>
                <c:pt idx="2">
                  <c:v>3.9159687171057347E-2</c:v>
                </c:pt>
                <c:pt idx="3">
                  <c:v>3.9159687171057347E-2</c:v>
                </c:pt>
                <c:pt idx="4">
                  <c:v>3.9159687171057347E-2</c:v>
                </c:pt>
                <c:pt idx="5">
                  <c:v>3.9159687171057347E-2</c:v>
                </c:pt>
                <c:pt idx="6">
                  <c:v>3.9159687171057347E-2</c:v>
                </c:pt>
                <c:pt idx="7">
                  <c:v>3.9159687171057347E-2</c:v>
                </c:pt>
                <c:pt idx="8">
                  <c:v>3.9159687171057347E-2</c:v>
                </c:pt>
                <c:pt idx="9">
                  <c:v>3.9159687171057347E-2</c:v>
                </c:pt>
                <c:pt idx="10">
                  <c:v>3.9159687171057347E-2</c:v>
                </c:pt>
                <c:pt idx="11">
                  <c:v>3.9159687171057347E-2</c:v>
                </c:pt>
                <c:pt idx="12">
                  <c:v>3.9159687171057347E-2</c:v>
                </c:pt>
                <c:pt idx="13">
                  <c:v>3.9159687171057347E-2</c:v>
                </c:pt>
                <c:pt idx="14">
                  <c:v>3.9159687171057347E-2</c:v>
                </c:pt>
                <c:pt idx="15">
                  <c:v>3.9159687171057347E-2</c:v>
                </c:pt>
                <c:pt idx="16">
                  <c:v>3.9159687171057347E-2</c:v>
                </c:pt>
                <c:pt idx="17">
                  <c:v>3.9159687171057347E-2</c:v>
                </c:pt>
                <c:pt idx="18">
                  <c:v>3.9159687171057347E-2</c:v>
                </c:pt>
                <c:pt idx="19">
                  <c:v>3.9159687171057347E-2</c:v>
                </c:pt>
                <c:pt idx="20">
                  <c:v>3.9159687171057347E-2</c:v>
                </c:pt>
                <c:pt idx="21">
                  <c:v>3.9159687171057347E-2</c:v>
                </c:pt>
                <c:pt idx="22">
                  <c:v>3.9159687171057347E-2</c:v>
                </c:pt>
                <c:pt idx="23">
                  <c:v>3.9159687171057347E-2</c:v>
                </c:pt>
                <c:pt idx="24">
                  <c:v>3.9159687171057347E-2</c:v>
                </c:pt>
                <c:pt idx="25">
                  <c:v>3.9159687171057347E-2</c:v>
                </c:pt>
                <c:pt idx="26">
                  <c:v>3.9159687171057347E-2</c:v>
                </c:pt>
                <c:pt idx="27">
                  <c:v>3.9159687171057347E-2</c:v>
                </c:pt>
                <c:pt idx="28">
                  <c:v>3.9159687171057347E-2</c:v>
                </c:pt>
                <c:pt idx="29">
                  <c:v>3.9159687171057347E-2</c:v>
                </c:pt>
                <c:pt idx="30">
                  <c:v>3.9159687171057347E-2</c:v>
                </c:pt>
                <c:pt idx="31">
                  <c:v>3.9159687171057347E-2</c:v>
                </c:pt>
                <c:pt idx="32">
                  <c:v>3.9159687171057347E-2</c:v>
                </c:pt>
                <c:pt idx="33">
                  <c:v>3.9159687171057347E-2</c:v>
                </c:pt>
                <c:pt idx="34">
                  <c:v>3.9159687171057347E-2</c:v>
                </c:pt>
                <c:pt idx="35">
                  <c:v>3.9159687171057347E-2</c:v>
                </c:pt>
                <c:pt idx="36">
                  <c:v>3.9159687171057347E-2</c:v>
                </c:pt>
                <c:pt idx="37">
                  <c:v>3.9159687171057347E-2</c:v>
                </c:pt>
                <c:pt idx="38">
                  <c:v>3.9159687171057347E-2</c:v>
                </c:pt>
                <c:pt idx="39">
                  <c:v>3.9159687171057347E-2</c:v>
                </c:pt>
                <c:pt idx="40">
                  <c:v>3.9159687171057347E-2</c:v>
                </c:pt>
                <c:pt idx="41">
                  <c:v>3.9159687171057347E-2</c:v>
                </c:pt>
                <c:pt idx="42">
                  <c:v>3.9159687171057347E-2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2-4E21-A72C-1EDF42526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039520"/>
        <c:axId val="2138031616"/>
      </c:lineChart>
      <c:catAx>
        <c:axId val="21380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8031616"/>
        <c:crosses val="autoZero"/>
        <c:auto val="1"/>
        <c:lblAlgn val="ctr"/>
        <c:lblOffset val="100"/>
        <c:tickLblSkip val="5"/>
        <c:noMultiLvlLbl val="0"/>
      </c:catAx>
      <c:valAx>
        <c:axId val="213803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803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Premie_leeftijd!$DV$4</c:f>
          <c:strCache>
            <c:ptCount val="1"/>
            <c:pt idx="0">
              <c:v>NCW toekomstige NP-risicopremies (% pensioengrondslag)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Premie_leeftijd!$DW$5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Premie_leeftijd!$DV$6:$DV$48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Premie_leeftijd!$DW$6:$DW$48</c:f>
              <c:numCache>
                <c:formatCode>0.00%</c:formatCode>
                <c:ptCount val="43"/>
                <c:pt idx="0">
                  <c:v>0.29253188396161384</c:v>
                </c:pt>
                <c:pt idx="1">
                  <c:v>0.28519004369519663</c:v>
                </c:pt>
                <c:pt idx="2">
                  <c:v>0.27957255333788777</c:v>
                </c:pt>
                <c:pt idx="3">
                  <c:v>0.27392580738727329</c:v>
                </c:pt>
                <c:pt idx="4">
                  <c:v>0.26853739109659019</c:v>
                </c:pt>
                <c:pt idx="5">
                  <c:v>0.26419307541991111</c:v>
                </c:pt>
                <c:pt idx="6">
                  <c:v>0.25790831813900816</c:v>
                </c:pt>
                <c:pt idx="7">
                  <c:v>0.25280399300221934</c:v>
                </c:pt>
                <c:pt idx="8">
                  <c:v>0.24766029704381368</c:v>
                </c:pt>
                <c:pt idx="9">
                  <c:v>0.24197488978833012</c:v>
                </c:pt>
                <c:pt idx="10">
                  <c:v>0.23651718017205223</c:v>
                </c:pt>
                <c:pt idx="11">
                  <c:v>0.23094914525434607</c:v>
                </c:pt>
                <c:pt idx="12">
                  <c:v>0.22621736223066799</c:v>
                </c:pt>
                <c:pt idx="13">
                  <c:v>0.22021606062226634</c:v>
                </c:pt>
                <c:pt idx="14">
                  <c:v>0.21378019712384838</c:v>
                </c:pt>
                <c:pt idx="15">
                  <c:v>0.20810795249044037</c:v>
                </c:pt>
                <c:pt idx="16">
                  <c:v>0.20175840416391611</c:v>
                </c:pt>
                <c:pt idx="17">
                  <c:v>0.19476589422152468</c:v>
                </c:pt>
                <c:pt idx="18">
                  <c:v>0.18717021704019612</c:v>
                </c:pt>
                <c:pt idx="19">
                  <c:v>0.18150339719775471</c:v>
                </c:pt>
                <c:pt idx="20">
                  <c:v>0.17397132137144411</c:v>
                </c:pt>
                <c:pt idx="21">
                  <c:v>0.16541054048638151</c:v>
                </c:pt>
                <c:pt idx="22">
                  <c:v>0.15743499477578124</c:v>
                </c:pt>
                <c:pt idx="23">
                  <c:v>0.14924370123484643</c:v>
                </c:pt>
                <c:pt idx="24">
                  <c:v>0.13957215929905542</c:v>
                </c:pt>
                <c:pt idx="25">
                  <c:v>0.13100948684784844</c:v>
                </c:pt>
                <c:pt idx="26">
                  <c:v>0.12177776326357577</c:v>
                </c:pt>
                <c:pt idx="27">
                  <c:v>0.11201621528344573</c:v>
                </c:pt>
                <c:pt idx="28">
                  <c:v>0.10280499326668199</c:v>
                </c:pt>
                <c:pt idx="29">
                  <c:v>9.4439233430561542E-2</c:v>
                </c:pt>
                <c:pt idx="30">
                  <c:v>8.6009236513953868E-2</c:v>
                </c:pt>
                <c:pt idx="31">
                  <c:v>7.751353639917051E-2</c:v>
                </c:pt>
                <c:pt idx="32">
                  <c:v>6.7130276934783101E-2</c:v>
                </c:pt>
                <c:pt idx="33">
                  <c:v>5.7099422320972461E-2</c:v>
                </c:pt>
                <c:pt idx="34">
                  <c:v>4.7355351592212713E-2</c:v>
                </c:pt>
                <c:pt idx="35">
                  <c:v>3.8150907992769448E-2</c:v>
                </c:pt>
                <c:pt idx="36">
                  <c:v>2.9676593362914051E-2</c:v>
                </c:pt>
                <c:pt idx="37">
                  <c:v>2.1868390437774547E-2</c:v>
                </c:pt>
                <c:pt idx="38">
                  <c:v>1.5039011218970612E-2</c:v>
                </c:pt>
                <c:pt idx="39">
                  <c:v>9.2958809422338789E-3</c:v>
                </c:pt>
                <c:pt idx="40">
                  <c:v>4.7813605158220614E-3</c:v>
                </c:pt>
                <c:pt idx="41">
                  <c:v>1.6433320319640399E-3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1-4427-AA96-4A16B7AFC0D6}"/>
            </c:ext>
          </c:extLst>
        </c:ser>
        <c:ser>
          <c:idx val="1"/>
          <c:order val="1"/>
          <c:tx>
            <c:strRef>
              <c:f>Premie_leeftijd!$DX$5</c:f>
              <c:strCache>
                <c:ptCount val="1"/>
                <c:pt idx="0">
                  <c:v>Uitkeringsregeling (degr)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Premie_leeftijd!$DV$6:$DV$48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Premie_leeftijd!$DX$6:$DX$48</c:f>
              <c:numCache>
                <c:formatCode>0.00%</c:formatCode>
                <c:ptCount val="43"/>
                <c:pt idx="0">
                  <c:v>0.28242463202970169</c:v>
                </c:pt>
                <c:pt idx="1">
                  <c:v>0.27497221281706546</c:v>
                </c:pt>
                <c:pt idx="2">
                  <c:v>0.26927018209039327</c:v>
                </c:pt>
                <c:pt idx="3">
                  <c:v>0.26357033856682666</c:v>
                </c:pt>
                <c:pt idx="4">
                  <c:v>0.25815561496517847</c:v>
                </c:pt>
                <c:pt idx="5">
                  <c:v>0.25379598656670754</c:v>
                </c:pt>
                <c:pt idx="6">
                  <c:v>0.24755849933605759</c:v>
                </c:pt>
                <c:pt idx="7">
                  <c:v>0.24250358453731841</c:v>
                </c:pt>
                <c:pt idx="8">
                  <c:v>0.23743476041174191</c:v>
                </c:pt>
                <c:pt idx="9">
                  <c:v>0.23186301244933502</c:v>
                </c:pt>
                <c:pt idx="10">
                  <c:v>0.22653560659120126</c:v>
                </c:pt>
                <c:pt idx="11">
                  <c:v>0.22112344031448211</c:v>
                </c:pt>
                <c:pt idx="12">
                  <c:v>0.21653839830676194</c:v>
                </c:pt>
                <c:pt idx="13">
                  <c:v>0.21074965242211421</c:v>
                </c:pt>
                <c:pt idx="14">
                  <c:v>0.2045625806701761</c:v>
                </c:pt>
                <c:pt idx="15">
                  <c:v>0.19912528216182215</c:v>
                </c:pt>
                <c:pt idx="16">
                  <c:v>0.1930554630060847</c:v>
                </c:pt>
                <c:pt idx="17">
                  <c:v>0.18638640392471517</c:v>
                </c:pt>
                <c:pt idx="18">
                  <c:v>0.17915614454508541</c:v>
                </c:pt>
                <c:pt idx="19">
                  <c:v>0.17377533661284911</c:v>
                </c:pt>
                <c:pt idx="20">
                  <c:v>0.16662897299073723</c:v>
                </c:pt>
                <c:pt idx="21">
                  <c:v>0.15851312994745986</c:v>
                </c:pt>
                <c:pt idx="22">
                  <c:v>0.15096005650056607</c:v>
                </c:pt>
                <c:pt idx="23">
                  <c:v>0.14320647945903894</c:v>
                </c:pt>
                <c:pt idx="24">
                  <c:v>0.13404962170116302</c:v>
                </c:pt>
                <c:pt idx="25">
                  <c:v>0.12594535592921813</c:v>
                </c:pt>
                <c:pt idx="26">
                  <c:v>0.11720311672474261</c:v>
                </c:pt>
                <c:pt idx="27">
                  <c:v>0.10795186949446942</c:v>
                </c:pt>
                <c:pt idx="28">
                  <c:v>9.9215565355581944E-2</c:v>
                </c:pt>
                <c:pt idx="29">
                  <c:v>9.1273423903685869E-2</c:v>
                </c:pt>
                <c:pt idx="30">
                  <c:v>8.3256732153148508E-2</c:v>
                </c:pt>
                <c:pt idx="31">
                  <c:v>7.5159882388723814E-2</c:v>
                </c:pt>
                <c:pt idx="32">
                  <c:v>6.5232950311842203E-2</c:v>
                </c:pt>
                <c:pt idx="33">
                  <c:v>5.5614013259931726E-2</c:v>
                </c:pt>
                <c:pt idx="34">
                  <c:v>4.6238785408298719E-2</c:v>
                </c:pt>
                <c:pt idx="35">
                  <c:v>3.7350711596273414E-2</c:v>
                </c:pt>
                <c:pt idx="36">
                  <c:v>2.9135834134623975E-2</c:v>
                </c:pt>
                <c:pt idx="37">
                  <c:v>2.1534547364386255E-2</c:v>
                </c:pt>
                <c:pt idx="38">
                  <c:v>1.4856280277854274E-2</c:v>
                </c:pt>
                <c:pt idx="39">
                  <c:v>9.2134429159922045E-3</c:v>
                </c:pt>
                <c:pt idx="40">
                  <c:v>4.7554237811322127E-3</c:v>
                </c:pt>
                <c:pt idx="41">
                  <c:v>1.6403492316243702E-3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1-4427-AA96-4A16B7AFC0D6}"/>
            </c:ext>
          </c:extLst>
        </c:ser>
        <c:ser>
          <c:idx val="2"/>
          <c:order val="2"/>
          <c:tx>
            <c:strRef>
              <c:f>Premie_leeftijd!$DY$5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Premie_leeftijd!$DV$6:$DV$48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Premie_leeftijd!$DY$6:$DY$48</c:f>
              <c:numCache>
                <c:formatCode>0.00%</c:formatCode>
                <c:ptCount val="43"/>
                <c:pt idx="0">
                  <c:v>1.197811128303234</c:v>
                </c:pt>
                <c:pt idx="1">
                  <c:v>1.1986224382001913</c:v>
                </c:pt>
                <c:pt idx="2">
                  <c:v>1.2017682323230381</c:v>
                </c:pt>
                <c:pt idx="3">
                  <c:v>1.2046746563923536</c:v>
                </c:pt>
                <c:pt idx="4">
                  <c:v>1.207777574265511</c:v>
                </c:pt>
                <c:pt idx="5">
                  <c:v>1.2123532583775365</c:v>
                </c:pt>
                <c:pt idx="6">
                  <c:v>1.2135143899406609</c:v>
                </c:pt>
                <c:pt idx="7">
                  <c:v>1.2163973630357132</c:v>
                </c:pt>
                <c:pt idx="8">
                  <c:v>1.218950861748562</c:v>
                </c:pt>
                <c:pt idx="9">
                  <c:v>1.2202403283727714</c:v>
                </c:pt>
                <c:pt idx="10">
                  <c:v>1.2216170284729688</c:v>
                </c:pt>
                <c:pt idx="11">
                  <c:v>1.2224301948359673</c:v>
                </c:pt>
                <c:pt idx="12">
                  <c:v>1.2245151919948953</c:v>
                </c:pt>
                <c:pt idx="13">
                  <c:v>1.2236315085706426</c:v>
                </c:pt>
                <c:pt idx="14">
                  <c:v>1.2213389409405384</c:v>
                </c:pt>
                <c:pt idx="15">
                  <c:v>1.2201639550902221</c:v>
                </c:pt>
                <c:pt idx="16">
                  <c:v>1.2168986975550635</c:v>
                </c:pt>
                <c:pt idx="17">
                  <c:v>1.2114572195176188</c:v>
                </c:pt>
                <c:pt idx="18">
                  <c:v>1.2037578873323831</c:v>
                </c:pt>
                <c:pt idx="19">
                  <c:v>1.2001031325830285</c:v>
                </c:pt>
                <c:pt idx="20">
                  <c:v>1.1906828776609184</c:v>
                </c:pt>
                <c:pt idx="21">
                  <c:v>1.1773087643352083</c:v>
                </c:pt>
                <c:pt idx="22">
                  <c:v>1.1643372981778863</c:v>
                </c:pt>
                <c:pt idx="23">
                  <c:v>1.1493404448176017</c:v>
                </c:pt>
                <c:pt idx="24">
                  <c:v>1.1280024500360797</c:v>
                </c:pt>
                <c:pt idx="25">
                  <c:v>1.1084909785044248</c:v>
                </c:pt>
                <c:pt idx="26">
                  <c:v>1.0845771233925332</c:v>
                </c:pt>
                <c:pt idx="27">
                  <c:v>1.0562541946370883</c:v>
                </c:pt>
                <c:pt idx="28">
                  <c:v>1.0273911309933088</c:v>
                </c:pt>
                <c:pt idx="29">
                  <c:v>0.99922819725756373</c:v>
                </c:pt>
                <c:pt idx="30">
                  <c:v>0.96757092072066375</c:v>
                </c:pt>
                <c:pt idx="31">
                  <c:v>0.93185050255470991</c:v>
                </c:pt>
                <c:pt idx="32">
                  <c:v>0.88111598902199328</c:v>
                </c:pt>
                <c:pt idx="33">
                  <c:v>0.82626316639123432</c:v>
                </c:pt>
                <c:pt idx="34">
                  <c:v>0.7659940587295212</c:v>
                </c:pt>
                <c:pt idx="35">
                  <c:v>0.70100054520637711</c:v>
                </c:pt>
                <c:pt idx="36">
                  <c:v>0.63173436939842131</c:v>
                </c:pt>
                <c:pt idx="37">
                  <c:v>0.55625452007567988</c:v>
                </c:pt>
                <c:pt idx="38">
                  <c:v>0.47615535983723323</c:v>
                </c:pt>
                <c:pt idx="39">
                  <c:v>0.39106617110819747</c:v>
                </c:pt>
                <c:pt idx="40">
                  <c:v>0.30100321582029654</c:v>
                </c:pt>
                <c:pt idx="41">
                  <c:v>0.2062338505729587</c:v>
                </c:pt>
                <c:pt idx="42">
                  <c:v>0.10608600403981612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1-4427-AA96-4A16B7AFC0D6}"/>
            </c:ext>
          </c:extLst>
        </c:ser>
        <c:ser>
          <c:idx val="4"/>
          <c:order val="4"/>
          <c:tx>
            <c:strRef>
              <c:f>Premie_leeftijd!$EA$5</c:f>
              <c:strCache>
                <c:ptCount val="1"/>
                <c:pt idx="0">
                  <c:v>MvT met overbrugging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Premie_leeftijd!$DV$6:$DV$48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Premie_leeftijd!$EA$6:$EA$48</c:f>
              <c:numCache>
                <c:formatCode>0.00%</c:formatCode>
                <c:ptCount val="43"/>
                <c:pt idx="0">
                  <c:v>1.0011250267175427</c:v>
                </c:pt>
                <c:pt idx="1">
                  <c:v>1.0000554088158795</c:v>
                </c:pt>
                <c:pt idx="2">
                  <c:v>1.0011720751268987</c:v>
                </c:pt>
                <c:pt idx="3">
                  <c:v>1.0020631621657461</c:v>
                </c:pt>
                <c:pt idx="4">
                  <c:v>1.003136856925807</c:v>
                </c:pt>
                <c:pt idx="5">
                  <c:v>1.0055813146020827</c:v>
                </c:pt>
                <c:pt idx="6">
                  <c:v>1.0048527692391016</c:v>
                </c:pt>
                <c:pt idx="7">
                  <c:v>1.0057263926889952</c:v>
                </c:pt>
                <c:pt idx="8">
                  <c:v>1.0062996004472302</c:v>
                </c:pt>
                <c:pt idx="9">
                  <c:v>1.0057129562290907</c:v>
                </c:pt>
                <c:pt idx="10">
                  <c:v>1.0052174536764968</c:v>
                </c:pt>
                <c:pt idx="11">
                  <c:v>1.0042169750944092</c:v>
                </c:pt>
                <c:pt idx="12">
                  <c:v>1.0043969829137971</c:v>
                </c:pt>
                <c:pt idx="13">
                  <c:v>1.0018803763682433</c:v>
                </c:pt>
                <c:pt idx="14">
                  <c:v>0.99810521099360727</c:v>
                </c:pt>
                <c:pt idx="15">
                  <c:v>0.99537564039749049</c:v>
                </c:pt>
                <c:pt idx="16">
                  <c:v>0.99078466253935515</c:v>
                </c:pt>
                <c:pt idx="17">
                  <c:v>0.98427006338469469</c:v>
                </c:pt>
                <c:pt idx="18">
                  <c:v>0.97577530040087845</c:v>
                </c:pt>
                <c:pt idx="19">
                  <c:v>0.97096424545530802</c:v>
                </c:pt>
                <c:pt idx="20">
                  <c:v>0.96106000636677602</c:v>
                </c:pt>
                <c:pt idx="21">
                  <c:v>0.94771808239313304</c:v>
                </c:pt>
                <c:pt idx="22">
                  <c:v>0.93482851996797933</c:v>
                </c:pt>
                <c:pt idx="23">
                  <c:v>0.92025537317301487</c:v>
                </c:pt>
                <c:pt idx="24">
                  <c:v>0.90023852592691544</c:v>
                </c:pt>
                <c:pt idx="25">
                  <c:v>0.88196531207398465</c:v>
                </c:pt>
                <c:pt idx="26">
                  <c:v>0.86002382287817736</c:v>
                </c:pt>
                <c:pt idx="27">
                  <c:v>0.83446092204450695</c:v>
                </c:pt>
                <c:pt idx="28">
                  <c:v>0.80865033577802725</c:v>
                </c:pt>
                <c:pt idx="29">
                  <c:v>0.78366708875859892</c:v>
                </c:pt>
                <c:pt idx="30">
                  <c:v>0.75596910299520559</c:v>
                </c:pt>
                <c:pt idx="31">
                  <c:v>0.72513735982468064</c:v>
                </c:pt>
                <c:pt idx="32">
                  <c:v>0.68212331845501561</c:v>
                </c:pt>
                <c:pt idx="33">
                  <c:v>0.63615581274632316</c:v>
                </c:pt>
                <c:pt idx="34">
                  <c:v>0.58626243861941685</c:v>
                </c:pt>
                <c:pt idx="35">
                  <c:v>0.53312214824510706</c:v>
                </c:pt>
                <c:pt idx="36">
                  <c:v>0.47721485065256558</c:v>
                </c:pt>
                <c:pt idx="37">
                  <c:v>0.41712541263920516</c:v>
                </c:pt>
                <c:pt idx="38">
                  <c:v>0.3542723165392101</c:v>
                </c:pt>
                <c:pt idx="39">
                  <c:v>0.28852616207356291</c:v>
                </c:pt>
                <c:pt idx="40">
                  <c:v>0.22008109548842811</c:v>
                </c:pt>
                <c:pt idx="41">
                  <c:v>0.14933825253085078</c:v>
                </c:pt>
                <c:pt idx="42">
                  <c:v>7.6023542419843798E-2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F1-4427-AA96-4A16B7AFC0D6}"/>
            </c:ext>
          </c:extLst>
        </c:ser>
        <c:ser>
          <c:idx val="5"/>
          <c:order val="5"/>
          <c:tx>
            <c:strRef>
              <c:f>Premie_leeftijd!$EB$5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Premie_leeftijd!$DV$6:$DV$48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Premie_leeftijd!$EB$6:$EB$48</c:f>
              <c:numCache>
                <c:formatCode>0.00%</c:formatCode>
                <c:ptCount val="43"/>
                <c:pt idx="0">
                  <c:v>0.64092281491952674</c:v>
                </c:pt>
                <c:pt idx="1">
                  <c:v>0.63452512712224696</c:v>
                </c:pt>
                <c:pt idx="2">
                  <c:v>0.63029102214520949</c:v>
                </c:pt>
                <c:pt idx="3">
                  <c:v>0.62582495757791756</c:v>
                </c:pt>
                <c:pt idx="4">
                  <c:v>0.62153241045421848</c:v>
                </c:pt>
                <c:pt idx="5">
                  <c:v>0.61857267618679102</c:v>
                </c:pt>
                <c:pt idx="6">
                  <c:v>0.61253129139420137</c:v>
                </c:pt>
                <c:pt idx="7">
                  <c:v>0.60804749695882976</c:v>
                </c:pt>
                <c:pt idx="8">
                  <c:v>0.6032857589956292</c:v>
                </c:pt>
                <c:pt idx="9">
                  <c:v>0.59743798266518755</c:v>
                </c:pt>
                <c:pt idx="10">
                  <c:v>0.59170472737008328</c:v>
                </c:pt>
                <c:pt idx="11">
                  <c:v>0.58553229980171706</c:v>
                </c:pt>
                <c:pt idx="12">
                  <c:v>0.58049888518954462</c:v>
                </c:pt>
                <c:pt idx="13">
                  <c:v>0.57302401270261694</c:v>
                </c:pt>
                <c:pt idx="14">
                  <c:v>0.56447069528261895</c:v>
                </c:pt>
                <c:pt idx="15">
                  <c:v>0.55695015709720053</c:v>
                </c:pt>
                <c:pt idx="16">
                  <c:v>0.54785367983957245</c:v>
                </c:pt>
                <c:pt idx="17">
                  <c:v>0.53717196288639901</c:v>
                </c:pt>
                <c:pt idx="18">
                  <c:v>0.52490614067737296</c:v>
                </c:pt>
                <c:pt idx="19">
                  <c:v>0.51599919577748277</c:v>
                </c:pt>
                <c:pt idx="20">
                  <c:v>0.50290963692835844</c:v>
                </c:pt>
                <c:pt idx="21">
                  <c:v>0.48716478424070814</c:v>
                </c:pt>
                <c:pt idx="22">
                  <c:v>0.47208498615288996</c:v>
                </c:pt>
                <c:pt idx="23">
                  <c:v>0.45594531017158935</c:v>
                </c:pt>
                <c:pt idx="24">
                  <c:v>0.43582109536588975</c:v>
                </c:pt>
                <c:pt idx="25">
                  <c:v>0.41752684551390429</c:v>
                </c:pt>
                <c:pt idx="26">
                  <c:v>0.39690062196537101</c:v>
                </c:pt>
                <c:pt idx="27">
                  <c:v>0.37414519397126783</c:v>
                </c:pt>
                <c:pt idx="28">
                  <c:v>0.35189622678811011</c:v>
                </c:pt>
                <c:pt idx="29">
                  <c:v>0.33097474555661155</c:v>
                </c:pt>
                <c:pt idx="30">
                  <c:v>0.30898057091997549</c:v>
                </c:pt>
                <c:pt idx="31">
                  <c:v>0.28583194930814587</c:v>
                </c:pt>
                <c:pt idx="32">
                  <c:v>0.25604649044775646</c:v>
                </c:pt>
                <c:pt idx="33">
                  <c:v>0.22597970933240349</c:v>
                </c:pt>
                <c:pt idx="34">
                  <c:v>0.19538531045994256</c:v>
                </c:pt>
                <c:pt idx="35">
                  <c:v>0.16504480098721011</c:v>
                </c:pt>
                <c:pt idx="36">
                  <c:v>0.13562014202060596</c:v>
                </c:pt>
                <c:pt idx="37">
                  <c:v>0.10690643299263035</c:v>
                </c:pt>
                <c:pt idx="38">
                  <c:v>8.0124611302789389E-2</c:v>
                </c:pt>
                <c:pt idx="39">
                  <c:v>5.5820603496893072E-2</c:v>
                </c:pt>
                <c:pt idx="40">
                  <c:v>3.4756837172475678E-2</c:v>
                </c:pt>
                <c:pt idx="41">
                  <c:v>1.7828197460572692E-2</c:v>
                </c:pt>
                <c:pt idx="42">
                  <c:v>5.8777986399083581E-3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1-4427-AA96-4A16B7AFC0D6}"/>
            </c:ext>
          </c:extLst>
        </c:ser>
        <c:ser>
          <c:idx val="6"/>
          <c:order val="6"/>
          <c:tx>
            <c:strRef>
              <c:f>Premie_leeftijd!$EC$5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Premie_leeftijd!$DV$6:$DV$48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Premie_leeftijd!$EC$6:$EC$48</c:f>
              <c:numCache>
                <c:formatCode>0.00%</c:formatCode>
                <c:ptCount val="43"/>
                <c:pt idx="0">
                  <c:v>0.4363390009019118</c:v>
                </c:pt>
                <c:pt idx="1">
                  <c:v>0.42712631468789514</c:v>
                </c:pt>
                <c:pt idx="2">
                  <c:v>0.42021524001000221</c:v>
                </c:pt>
                <c:pt idx="3">
                  <c:v>0.41325397349987503</c:v>
                </c:pt>
                <c:pt idx="4">
                  <c:v>0.40662831416378575</c:v>
                </c:pt>
                <c:pt idx="5">
                  <c:v>0.40140062264730358</c:v>
                </c:pt>
                <c:pt idx="6">
                  <c:v>0.39352500993882505</c:v>
                </c:pt>
                <c:pt idx="7">
                  <c:v>0.38723106142312153</c:v>
                </c:pt>
                <c:pt idx="8">
                  <c:v>0.38086059364172109</c:v>
                </c:pt>
                <c:pt idx="9">
                  <c:v>0.37372318652741338</c:v>
                </c:pt>
                <c:pt idx="10">
                  <c:v>0.36686691436174601</c:v>
                </c:pt>
                <c:pt idx="11">
                  <c:v>0.35982508196636737</c:v>
                </c:pt>
                <c:pt idx="12">
                  <c:v>0.35390155695716963</c:v>
                </c:pt>
                <c:pt idx="13">
                  <c:v>0.34617917561742539</c:v>
                </c:pt>
                <c:pt idx="14">
                  <c:v>0.33780287524052061</c:v>
                </c:pt>
                <c:pt idx="15">
                  <c:v>0.33044151981986059</c:v>
                </c:pt>
                <c:pt idx="16">
                  <c:v>0.32207224721044708</c:v>
                </c:pt>
                <c:pt idx="17">
                  <c:v>0.31272862121962125</c:v>
                </c:pt>
                <c:pt idx="18">
                  <c:v>0.30245156009448099</c:v>
                </c:pt>
                <c:pt idx="19">
                  <c:v>0.29485478545370974</c:v>
                </c:pt>
                <c:pt idx="20">
                  <c:v>0.28449313126267933</c:v>
                </c:pt>
                <c:pt idx="21">
                  <c:v>0.27253782200255983</c:v>
                </c:pt>
                <c:pt idx="22">
                  <c:v>0.26132437871272551</c:v>
                </c:pt>
                <c:pt idx="23">
                  <c:v>0.24967520422853806</c:v>
                </c:pt>
                <c:pt idx="24">
                  <c:v>0.23569070821007299</c:v>
                </c:pt>
                <c:pt idx="25">
                  <c:v>0.2232180313876572</c:v>
                </c:pt>
                <c:pt idx="26">
                  <c:v>0.20957626464190801</c:v>
                </c:pt>
                <c:pt idx="27">
                  <c:v>0.19494624182985515</c:v>
                </c:pt>
                <c:pt idx="28">
                  <c:v>0.18097625912956464</c:v>
                </c:pt>
                <c:pt idx="29">
                  <c:v>0.16813691073417766</c:v>
                </c:pt>
                <c:pt idx="30">
                  <c:v>0.15499608229890255</c:v>
                </c:pt>
                <c:pt idx="31">
                  <c:v>0.1415307215249991</c:v>
                </c:pt>
                <c:pt idx="32">
                  <c:v>0.12471946448333583</c:v>
                </c:pt>
                <c:pt idx="33">
                  <c:v>0.10817954679835107</c:v>
                </c:pt>
                <c:pt idx="34">
                  <c:v>9.1786818112632076E-2</c:v>
                </c:pt>
                <c:pt idx="35">
                  <c:v>7.5960354917155692E-2</c:v>
                </c:pt>
                <c:pt idx="36">
                  <c:v>6.1031103348368809E-2</c:v>
                </c:pt>
                <c:pt idx="37">
                  <c:v>4.6881949868011703E-2</c:v>
                </c:pt>
                <c:pt idx="38">
                  <c:v>3.408866075057395E-2</c:v>
                </c:pt>
                <c:pt idx="39">
                  <c:v>2.2870414933549521E-2</c:v>
                </c:pt>
                <c:pt idx="40">
                  <c:v>1.3528051788625971E-2</c:v>
                </c:pt>
                <c:pt idx="41">
                  <c:v>6.3962448205322339E-3</c:v>
                </c:pt>
                <c:pt idx="42">
                  <c:v>1.7633395919725067E-3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F1-4427-AA96-4A16B7AFC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155823"/>
        <c:axId val="2052157487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Premie_leeftijd!$DZ$5</c15:sqref>
                        </c15:formulaRef>
                      </c:ext>
                    </c:extLst>
                    <c:strCache>
                      <c:ptCount val="1"/>
                      <c:pt idx="0">
                        <c:v>MvT_x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Premie_leeftijd!$DV$6:$DV$48</c15:sqref>
                        </c15:formulaRef>
                      </c:ext>
                    </c:extLst>
                    <c:numCache>
                      <c:formatCode>General</c:formatCode>
                      <c:ptCount val="43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27</c:v>
                      </c:pt>
                      <c:pt idx="3">
                        <c:v>28</c:v>
                      </c:pt>
                      <c:pt idx="4">
                        <c:v>29</c:v>
                      </c:pt>
                      <c:pt idx="5">
                        <c:v>30</c:v>
                      </c:pt>
                      <c:pt idx="6">
                        <c:v>31</c:v>
                      </c:pt>
                      <c:pt idx="7">
                        <c:v>32</c:v>
                      </c:pt>
                      <c:pt idx="8">
                        <c:v>33</c:v>
                      </c:pt>
                      <c:pt idx="9">
                        <c:v>34</c:v>
                      </c:pt>
                      <c:pt idx="10">
                        <c:v>35</c:v>
                      </c:pt>
                      <c:pt idx="11">
                        <c:v>36</c:v>
                      </c:pt>
                      <c:pt idx="12">
                        <c:v>37</c:v>
                      </c:pt>
                      <c:pt idx="13">
                        <c:v>38</c:v>
                      </c:pt>
                      <c:pt idx="14">
                        <c:v>39</c:v>
                      </c:pt>
                      <c:pt idx="15">
                        <c:v>40</c:v>
                      </c:pt>
                      <c:pt idx="16">
                        <c:v>41</c:v>
                      </c:pt>
                      <c:pt idx="17">
                        <c:v>42</c:v>
                      </c:pt>
                      <c:pt idx="18">
                        <c:v>43</c:v>
                      </c:pt>
                      <c:pt idx="19">
                        <c:v>44</c:v>
                      </c:pt>
                      <c:pt idx="20">
                        <c:v>45</c:v>
                      </c:pt>
                      <c:pt idx="21">
                        <c:v>46</c:v>
                      </c:pt>
                      <c:pt idx="22">
                        <c:v>47</c:v>
                      </c:pt>
                      <c:pt idx="23">
                        <c:v>48</c:v>
                      </c:pt>
                      <c:pt idx="24">
                        <c:v>49</c:v>
                      </c:pt>
                      <c:pt idx="25">
                        <c:v>50</c:v>
                      </c:pt>
                      <c:pt idx="26">
                        <c:v>51</c:v>
                      </c:pt>
                      <c:pt idx="27">
                        <c:v>52</c:v>
                      </c:pt>
                      <c:pt idx="28">
                        <c:v>53</c:v>
                      </c:pt>
                      <c:pt idx="29">
                        <c:v>54</c:v>
                      </c:pt>
                      <c:pt idx="30">
                        <c:v>55</c:v>
                      </c:pt>
                      <c:pt idx="31">
                        <c:v>56</c:v>
                      </c:pt>
                      <c:pt idx="32">
                        <c:v>57</c:v>
                      </c:pt>
                      <c:pt idx="33">
                        <c:v>58</c:v>
                      </c:pt>
                      <c:pt idx="34">
                        <c:v>59</c:v>
                      </c:pt>
                      <c:pt idx="35">
                        <c:v>60</c:v>
                      </c:pt>
                      <c:pt idx="36">
                        <c:v>61</c:v>
                      </c:pt>
                      <c:pt idx="37">
                        <c:v>62</c:v>
                      </c:pt>
                      <c:pt idx="38">
                        <c:v>63</c:v>
                      </c:pt>
                      <c:pt idx="39">
                        <c:v>64</c:v>
                      </c:pt>
                      <c:pt idx="40">
                        <c:v>65</c:v>
                      </c:pt>
                      <c:pt idx="41">
                        <c:v>66</c:v>
                      </c:pt>
                      <c:pt idx="42">
                        <c:v>67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Premie_leeftijd!$DZ$6:$DZ$48</c15:sqref>
                        </c15:formulaRef>
                      </c:ext>
                    </c:extLst>
                    <c:numCache>
                      <c:formatCode>0.00%</c:formatCode>
                      <c:ptCount val="43"/>
                      <c:pt idx="0">
                        <c:v>1.197811128303234</c:v>
                      </c:pt>
                      <c:pt idx="1">
                        <c:v>1.1986224382001913</c:v>
                      </c:pt>
                      <c:pt idx="2">
                        <c:v>1.2017682323230381</c:v>
                      </c:pt>
                      <c:pt idx="3">
                        <c:v>1.2046746563923536</c:v>
                      </c:pt>
                      <c:pt idx="4">
                        <c:v>1.207777574265511</c:v>
                      </c:pt>
                      <c:pt idx="5">
                        <c:v>1.2123532583775365</c:v>
                      </c:pt>
                      <c:pt idx="6">
                        <c:v>1.2135143899406609</c:v>
                      </c:pt>
                      <c:pt idx="7">
                        <c:v>1.2163973630357132</c:v>
                      </c:pt>
                      <c:pt idx="8">
                        <c:v>1.218950861748562</c:v>
                      </c:pt>
                      <c:pt idx="9">
                        <c:v>1.2202403283727714</c:v>
                      </c:pt>
                      <c:pt idx="10">
                        <c:v>1.2216170284729688</c:v>
                      </c:pt>
                      <c:pt idx="11">
                        <c:v>1.2224301948359673</c:v>
                      </c:pt>
                      <c:pt idx="12">
                        <c:v>1.2245151919948953</c:v>
                      </c:pt>
                      <c:pt idx="13">
                        <c:v>1.2236315085706426</c:v>
                      </c:pt>
                      <c:pt idx="14">
                        <c:v>1.2213389409405384</c:v>
                      </c:pt>
                      <c:pt idx="15">
                        <c:v>1.2201639550902221</c:v>
                      </c:pt>
                      <c:pt idx="16">
                        <c:v>1.2168986975550635</c:v>
                      </c:pt>
                      <c:pt idx="17">
                        <c:v>1.2114572195176188</c:v>
                      </c:pt>
                      <c:pt idx="18">
                        <c:v>1.2037578873323831</c:v>
                      </c:pt>
                      <c:pt idx="19">
                        <c:v>1.2001031325830285</c:v>
                      </c:pt>
                      <c:pt idx="20">
                        <c:v>1.1906828776609184</c:v>
                      </c:pt>
                      <c:pt idx="21">
                        <c:v>1.1773087643352083</c:v>
                      </c:pt>
                      <c:pt idx="22">
                        <c:v>1.1643372981778863</c:v>
                      </c:pt>
                      <c:pt idx="23">
                        <c:v>1.1493404448176017</c:v>
                      </c:pt>
                      <c:pt idx="24">
                        <c:v>1.1280024500360797</c:v>
                      </c:pt>
                      <c:pt idx="25">
                        <c:v>1.1084909785044248</c:v>
                      </c:pt>
                      <c:pt idx="26">
                        <c:v>1.0845771233925332</c:v>
                      </c:pt>
                      <c:pt idx="27">
                        <c:v>1.0562541946370883</c:v>
                      </c:pt>
                      <c:pt idx="28">
                        <c:v>1.0273911309933088</c:v>
                      </c:pt>
                      <c:pt idx="29">
                        <c:v>0.99922819725756373</c:v>
                      </c:pt>
                      <c:pt idx="30">
                        <c:v>0.96757092072066375</c:v>
                      </c:pt>
                      <c:pt idx="31">
                        <c:v>0.93185050255470991</c:v>
                      </c:pt>
                      <c:pt idx="32">
                        <c:v>0.88111598902199328</c:v>
                      </c:pt>
                      <c:pt idx="33">
                        <c:v>0.82626316639123432</c:v>
                      </c:pt>
                      <c:pt idx="34">
                        <c:v>0.7659940587295212</c:v>
                      </c:pt>
                      <c:pt idx="35">
                        <c:v>0.70100054520637711</c:v>
                      </c:pt>
                      <c:pt idx="36">
                        <c:v>0.63173436939842131</c:v>
                      </c:pt>
                      <c:pt idx="37">
                        <c:v>0.55625452007567988</c:v>
                      </c:pt>
                      <c:pt idx="38">
                        <c:v>0.47615535983723323</c:v>
                      </c:pt>
                      <c:pt idx="39">
                        <c:v>0.39106617110819747</c:v>
                      </c:pt>
                      <c:pt idx="40">
                        <c:v>0.30100321582029654</c:v>
                      </c:pt>
                      <c:pt idx="41">
                        <c:v>0.2062338505729587</c:v>
                      </c:pt>
                      <c:pt idx="42">
                        <c:v>0.10608600403981612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6F1-4427-AA96-4A16B7AFC0D6}"/>
                  </c:ext>
                </c:extLst>
              </c15:ser>
            </c15:filteredLineSeries>
          </c:ext>
        </c:extLst>
      </c:lineChart>
      <c:catAx>
        <c:axId val="20521558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500"/>
                  <a:t>Uittreedleeftijd (jaar)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52157487"/>
        <c:crosses val="autoZero"/>
        <c:auto val="1"/>
        <c:lblAlgn val="ctr"/>
        <c:lblOffset val="100"/>
        <c:tickLblSkip val="5"/>
        <c:noMultiLvlLbl val="0"/>
      </c:catAx>
      <c:valAx>
        <c:axId val="2052157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52155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Premie_leeftijd!$EE$4</c:f>
          <c:strCache>
            <c:ptCount val="1"/>
            <c:pt idx="0">
              <c:v>NCW toekomstige NP-risicopremies (% bestaande OP-opbouw)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Premie_leeftijd!$EF$5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Premie_leeftijd!$EE$21:$EE$48</c:f>
              <c:numCache>
                <c:formatCode>General</c:formatCode>
                <c:ptCount val="28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</c:numCache>
            </c:numRef>
          </c:cat>
          <c:val>
            <c:numRef>
              <c:f>Premie_leeftijd!$EF$21:$EF$48</c:f>
              <c:numCache>
                <c:formatCode>0.0%</c:formatCode>
                <c:ptCount val="28"/>
                <c:pt idx="0">
                  <c:v>6.6271331195661878E-2</c:v>
                </c:pt>
                <c:pt idx="1">
                  <c:v>5.9737553255962604E-2</c:v>
                </c:pt>
                <c:pt idx="2">
                  <c:v>5.3821756076625274E-2</c:v>
                </c:pt>
                <c:pt idx="3">
                  <c:v>4.8435731421725831E-2</c:v>
                </c:pt>
                <c:pt idx="4">
                  <c:v>4.4127106886651488E-2</c:v>
                </c:pt>
                <c:pt idx="5">
                  <c:v>3.9835889297421066E-2</c:v>
                </c:pt>
                <c:pt idx="6">
                  <c:v>3.5755190839729264E-2</c:v>
                </c:pt>
                <c:pt idx="7">
                  <c:v>3.2199004459390182E-2</c:v>
                </c:pt>
                <c:pt idx="8">
                  <c:v>2.8936874604531492E-2</c:v>
                </c:pt>
                <c:pt idx="9">
                  <c:v>2.5695315880150286E-2</c:v>
                </c:pt>
                <c:pt idx="10">
                  <c:v>2.2942627624617809E-2</c:v>
                </c:pt>
                <c:pt idx="11">
                  <c:v>2.0313630024812006E-2</c:v>
                </c:pt>
                <c:pt idx="12">
                  <c:v>1.7820496206737355E-2</c:v>
                </c:pt>
                <c:pt idx="13">
                  <c:v>1.5618854020984953E-2</c:v>
                </c:pt>
                <c:pt idx="14">
                  <c:v>1.371968705857509E-2</c:v>
                </c:pt>
                <c:pt idx="15">
                  <c:v>1.1959660836175265E-2</c:v>
                </c:pt>
                <c:pt idx="16">
                  <c:v>1.0325455026269593E-2</c:v>
                </c:pt>
                <c:pt idx="17">
                  <c:v>8.5681563561803946E-3</c:v>
                </c:pt>
                <c:pt idx="18">
                  <c:v>6.9879982815991186E-3</c:v>
                </c:pt>
                <c:pt idx="19">
                  <c:v>5.5602579018919525E-3</c:v>
                </c:pt>
                <c:pt idx="20">
                  <c:v>4.3000956696515585E-3</c:v>
                </c:pt>
                <c:pt idx="21">
                  <c:v>3.2126453480588015E-3</c:v>
                </c:pt>
                <c:pt idx="22">
                  <c:v>2.2745270865596884E-3</c:v>
                </c:pt>
                <c:pt idx="23">
                  <c:v>1.5034496334804944E-3</c:v>
                </c:pt>
                <c:pt idx="24">
                  <c:v>8.9349225793117454E-4</c:v>
                </c:pt>
                <c:pt idx="25">
                  <c:v>4.4197195134406075E-4</c:v>
                </c:pt>
                <c:pt idx="26">
                  <c:v>1.4611969252212068E-4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3-46E0-BA46-45E7AA474547}"/>
            </c:ext>
          </c:extLst>
        </c:ser>
        <c:ser>
          <c:idx val="1"/>
          <c:order val="1"/>
          <c:tx>
            <c:strRef>
              <c:f>Premie_leeftijd!$EG$5</c:f>
              <c:strCache>
                <c:ptCount val="1"/>
                <c:pt idx="0">
                  <c:v>Uitkeringsregeling (degr)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Premie_leeftijd!$EE$21:$EE$48</c:f>
              <c:numCache>
                <c:formatCode>General</c:formatCode>
                <c:ptCount val="28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</c:numCache>
            </c:numRef>
          </c:cat>
          <c:val>
            <c:numRef>
              <c:f>Premie_leeftijd!$EG$21:$EG$48</c:f>
              <c:numCache>
                <c:formatCode>0.0%</c:formatCode>
                <c:ptCount val="28"/>
                <c:pt idx="0">
                  <c:v>6.3410827725009319E-2</c:v>
                </c:pt>
                <c:pt idx="1">
                  <c:v>5.7160746539762157E-2</c:v>
                </c:pt>
                <c:pt idx="2">
                  <c:v>5.1506161323221639E-2</c:v>
                </c:pt>
                <c:pt idx="3">
                  <c:v>4.6361857334781424E-2</c:v>
                </c:pt>
                <c:pt idx="4">
                  <c:v>4.2248260756377144E-2</c:v>
                </c:pt>
                <c:pt idx="5">
                  <c:v>3.8154641060808271E-2</c:v>
                </c:pt>
                <c:pt idx="6">
                  <c:v>3.4264244559075473E-2</c:v>
                </c:pt>
                <c:pt idx="7">
                  <c:v>3.0874733659909701E-2</c:v>
                </c:pt>
                <c:pt idx="8">
                  <c:v>2.7766317133490308E-2</c:v>
                </c:pt>
                <c:pt idx="9">
                  <c:v>2.4678613489426352E-2</c:v>
                </c:pt>
                <c:pt idx="10">
                  <c:v>2.2055787497968177E-2</c:v>
                </c:pt>
                <c:pt idx="11">
                  <c:v>1.9550537693390123E-2</c:v>
                </c:pt>
                <c:pt idx="12">
                  <c:v>1.7173905366901818E-2</c:v>
                </c:pt>
                <c:pt idx="13">
                  <c:v>1.507352301340548E-2</c:v>
                </c:pt>
                <c:pt idx="14">
                  <c:v>1.3259773160314516E-2</c:v>
                </c:pt>
                <c:pt idx="15">
                  <c:v>1.1576922656654455E-2</c:v>
                </c:pt>
                <c:pt idx="16">
                  <c:v>1.0011928515143641E-2</c:v>
                </c:pt>
                <c:pt idx="17">
                  <c:v>8.3259915401482105E-3</c:v>
                </c:pt>
                <c:pt idx="18">
                  <c:v>6.8062094728144132E-3</c:v>
                </c:pt>
                <c:pt idx="19">
                  <c:v>5.4291555926840093E-3</c:v>
                </c:pt>
                <c:pt idx="20">
                  <c:v>4.2099032931006376E-3</c:v>
                </c:pt>
                <c:pt idx="21">
                  <c:v>3.1541053533248715E-3</c:v>
                </c:pt>
                <c:pt idx="22">
                  <c:v>2.239804132657678E-3</c:v>
                </c:pt>
                <c:pt idx="23">
                  <c:v>1.4851820251619132E-3</c:v>
                </c:pt>
                <c:pt idx="24">
                  <c:v>8.8556856154739082E-4</c:v>
                </c:pt>
                <c:pt idx="25">
                  <c:v>4.3957445188665063E-4</c:v>
                </c:pt>
                <c:pt idx="26">
                  <c:v>1.458544717024629E-4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3-46E0-BA46-45E7AA474547}"/>
            </c:ext>
          </c:extLst>
        </c:ser>
        <c:ser>
          <c:idx val="2"/>
          <c:order val="2"/>
          <c:tx>
            <c:strRef>
              <c:f>Premie_leeftijd!$EH$5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Premie_leeftijd!$EE$21:$EE$48</c:f>
              <c:numCache>
                <c:formatCode>General</c:formatCode>
                <c:ptCount val="28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</c:numCache>
            </c:numRef>
          </c:cat>
          <c:val>
            <c:numRef>
              <c:f>Premie_leeftijd!$EH$21:$EH$48</c:f>
              <c:numCache>
                <c:formatCode>0.0%</c:formatCode>
                <c:ptCount val="28"/>
                <c:pt idx="0">
                  <c:v>0.38855742230469198</c:v>
                </c:pt>
                <c:pt idx="1">
                  <c:v>0.36030494518209688</c:v>
                </c:pt>
                <c:pt idx="2">
                  <c:v>0.33477501400724213</c:v>
                </c:pt>
                <c:pt idx="3">
                  <c:v>0.31150732552227595</c:v>
                </c:pt>
                <c:pt idx="4">
                  <c:v>0.29176907994067941</c:v>
                </c:pt>
                <c:pt idx="5">
                  <c:v>0.27264212819056416</c:v>
                </c:pt>
                <c:pt idx="6">
                  <c:v>0.2544874070437908</c:v>
                </c:pt>
                <c:pt idx="7">
                  <c:v>0.23813321752039954</c:v>
                </c:pt>
                <c:pt idx="8">
                  <c:v>0.22284572182559895</c:v>
                </c:pt>
                <c:pt idx="9">
                  <c:v>0.2076659085366509</c:v>
                </c:pt>
                <c:pt idx="10">
                  <c:v>0.19412102403401563</c:v>
                </c:pt>
                <c:pt idx="11">
                  <c:v>0.18091725309722917</c:v>
                </c:pt>
                <c:pt idx="12">
                  <c:v>0.1680379382685892</c:v>
                </c:pt>
                <c:pt idx="13">
                  <c:v>0.15608845044922223</c:v>
                </c:pt>
                <c:pt idx="14">
                  <c:v>0.14516316649856995</c:v>
                </c:pt>
                <c:pt idx="15">
                  <c:v>0.13454159710960334</c:v>
                </c:pt>
                <c:pt idx="16">
                  <c:v>0.12413032487366092</c:v>
                </c:pt>
                <c:pt idx="17">
                  <c:v>0.11246102215853103</c:v>
                </c:pt>
                <c:pt idx="18">
                  <c:v>0.10112056045740143</c:v>
                </c:pt>
                <c:pt idx="19">
                  <c:v>8.993966626051815E-2</c:v>
                </c:pt>
                <c:pt idx="20">
                  <c:v>7.901173438484406E-2</c:v>
                </c:pt>
                <c:pt idx="21">
                  <c:v>6.838852621113016E-2</c:v>
                </c:pt>
                <c:pt idx="22">
                  <c:v>5.7855925726838689E-2</c:v>
                </c:pt>
                <c:pt idx="23">
                  <c:v>4.7601241252086875E-2</c:v>
                </c:pt>
                <c:pt idx="24">
                  <c:v>3.7588110088251102E-2</c:v>
                </c:pt>
                <c:pt idx="25">
                  <c:v>2.7823666133667636E-2</c:v>
                </c:pt>
                <c:pt idx="26">
                  <c:v>1.8337637341224254E-2</c:v>
                </c:pt>
                <c:pt idx="27">
                  <c:v>9.0747473919865641E-3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3-46E0-BA46-45E7AA474547}"/>
            </c:ext>
          </c:extLst>
        </c:ser>
        <c:ser>
          <c:idx val="4"/>
          <c:order val="4"/>
          <c:tx>
            <c:strRef>
              <c:f>Premie_leeftijd!$EJ$5</c:f>
              <c:strCache>
                <c:ptCount val="1"/>
                <c:pt idx="0">
                  <c:v>MvT met overbrugging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Premie_leeftijd!$EE$21:$EE$48</c:f>
              <c:numCache>
                <c:formatCode>General</c:formatCode>
                <c:ptCount val="28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</c:numCache>
            </c:numRef>
          </c:cat>
          <c:val>
            <c:numRef>
              <c:f>Premie_leeftijd!$EJ$21:$EJ$48</c:f>
              <c:numCache>
                <c:formatCode>0.0%</c:formatCode>
                <c:ptCount val="28"/>
                <c:pt idx="0">
                  <c:v>0.31697428156622842</c:v>
                </c:pt>
                <c:pt idx="1">
                  <c:v>0.29335606508638862</c:v>
                </c:pt>
                <c:pt idx="2">
                  <c:v>0.27199394163313917</c:v>
                </c:pt>
                <c:pt idx="3">
                  <c:v>0.25251020768983162</c:v>
                </c:pt>
                <c:pt idx="4">
                  <c:v>0.23606083249032056</c:v>
                </c:pt>
                <c:pt idx="5">
                  <c:v>0.22006316742323587</c:v>
                </c:pt>
                <c:pt idx="6">
                  <c:v>0.20485901804437065</c:v>
                </c:pt>
                <c:pt idx="7">
                  <c:v>0.19119350006066479</c:v>
                </c:pt>
                <c:pt idx="8">
                  <c:v>0.17842839675860486</c:v>
                </c:pt>
                <c:pt idx="9">
                  <c:v>0.16573443735013926</c:v>
                </c:pt>
                <c:pt idx="10">
                  <c:v>0.15445142347777679</c:v>
                </c:pt>
                <c:pt idx="11">
                  <c:v>0.14345973585226093</c:v>
                </c:pt>
                <c:pt idx="12">
                  <c:v>0.13275317022929556</c:v>
                </c:pt>
                <c:pt idx="13">
                  <c:v>0.1228558180610356</c:v>
                </c:pt>
                <c:pt idx="14">
                  <c:v>0.11384746386974816</c:v>
                </c:pt>
                <c:pt idx="15">
                  <c:v>0.10511817615057542</c:v>
                </c:pt>
                <c:pt idx="16">
                  <c:v>9.6594395566988178E-2</c:v>
                </c:pt>
                <c:pt idx="17">
                  <c:v>8.7062641680998296E-2</c:v>
                </c:pt>
                <c:pt idx="18">
                  <c:v>7.7854653262714235E-2</c:v>
                </c:pt>
                <c:pt idx="19">
                  <c:v>6.883636690076031E-2</c:v>
                </c:pt>
                <c:pt idx="20">
                  <c:v>6.0089690171950892E-2</c:v>
                </c:pt>
                <c:pt idx="21">
                  <c:v>5.1660985855925004E-2</c:v>
                </c:pt>
                <c:pt idx="22">
                  <c:v>4.3385134001513219E-2</c:v>
                </c:pt>
                <c:pt idx="23">
                  <c:v>3.5416595991449661E-2</c:v>
                </c:pt>
                <c:pt idx="24">
                  <c:v>2.7732271274267549E-2</c:v>
                </c:pt>
                <c:pt idx="25">
                  <c:v>2.0343513296076046E-2</c:v>
                </c:pt>
                <c:pt idx="26">
                  <c:v>1.3278667437352206E-2</c:v>
                </c:pt>
                <c:pt idx="27">
                  <c:v>6.503161746436662E-3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63-46E0-BA46-45E7AA474547}"/>
            </c:ext>
          </c:extLst>
        </c:ser>
        <c:ser>
          <c:idx val="5"/>
          <c:order val="5"/>
          <c:tx>
            <c:strRef>
              <c:f>Premie_leeftijd!$EK$5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Premie_leeftijd!$EE$21:$EE$48</c:f>
              <c:numCache>
                <c:formatCode>General</c:formatCode>
                <c:ptCount val="28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</c:numCache>
            </c:numRef>
          </c:cat>
          <c:val>
            <c:numRef>
              <c:f>Premie_leeftijd!$EK$21:$EK$48</c:f>
              <c:numCache>
                <c:formatCode>0.0%</c:formatCode>
                <c:ptCount val="28"/>
                <c:pt idx="0">
                  <c:v>0.17735904793047239</c:v>
                </c:pt>
                <c:pt idx="1">
                  <c:v>0.16221102913414473</c:v>
                </c:pt>
                <c:pt idx="2">
                  <c:v>0.1484425108062816</c:v>
                </c:pt>
                <c:pt idx="3">
                  <c:v>0.13583471373548625</c:v>
                </c:pt>
                <c:pt idx="4">
                  <c:v>0.12544972720643305</c:v>
                </c:pt>
                <c:pt idx="5">
                  <c:v>0.11515606403029077</c:v>
                </c:pt>
                <c:pt idx="6">
                  <c:v>0.10530568233259691</c:v>
                </c:pt>
                <c:pt idx="7">
                  <c:v>9.6552018793514299E-2</c:v>
                </c:pt>
                <c:pt idx="8">
                  <c:v>8.8403277041476644E-2</c:v>
                </c:pt>
                <c:pt idx="9">
                  <c:v>8.0234917686305571E-2</c:v>
                </c:pt>
                <c:pt idx="10">
                  <c:v>7.3118086104954086E-2</c:v>
                </c:pt>
                <c:pt idx="11">
                  <c:v>6.620660599400123E-2</c:v>
                </c:pt>
                <c:pt idx="12">
                  <c:v>5.9522212860545883E-2</c:v>
                </c:pt>
                <c:pt idx="13">
                  <c:v>5.3462537393309389E-2</c:v>
                </c:pt>
                <c:pt idx="14">
                  <c:v>4.808245226457708E-2</c:v>
                </c:pt>
                <c:pt idx="15">
                  <c:v>4.2964023201987042E-2</c:v>
                </c:pt>
                <c:pt idx="16">
                  <c:v>3.8075219822944546E-2</c:v>
                </c:pt>
                <c:pt idx="17">
                  <c:v>3.2680430720387815E-2</c:v>
                </c:pt>
                <c:pt idx="18">
                  <c:v>2.765607349955777E-2</c:v>
                </c:pt>
                <c:pt idx="19">
                  <c:v>2.2941287095779018E-2</c:v>
                </c:pt>
                <c:pt idx="20">
                  <c:v>1.8602661676050094E-2</c:v>
                </c:pt>
                <c:pt idx="21">
                  <c:v>1.4681584676429008E-2</c:v>
                </c:pt>
                <c:pt idx="22">
                  <c:v>1.1119317549278288E-2</c:v>
                </c:pt>
                <c:pt idx="23">
                  <c:v>8.0100556972781643E-3</c:v>
                </c:pt>
                <c:pt idx="24">
                  <c:v>5.3653093630881155E-3</c:v>
                </c:pt>
                <c:pt idx="25">
                  <c:v>3.2127983440767053E-3</c:v>
                </c:pt>
                <c:pt idx="26">
                  <c:v>1.5852248240114262E-3</c:v>
                </c:pt>
                <c:pt idx="27">
                  <c:v>5.0279524015355676E-4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63-46E0-BA46-45E7AA474547}"/>
            </c:ext>
          </c:extLst>
        </c:ser>
        <c:ser>
          <c:idx val="6"/>
          <c:order val="6"/>
          <c:tx>
            <c:strRef>
              <c:f>Premie_leeftijd!$EL$5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Premie_leeftijd!$EE$21:$EE$48</c:f>
              <c:numCache>
                <c:formatCode>General</c:formatCode>
                <c:ptCount val="28"/>
                <c:pt idx="0">
                  <c:v>40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</c:numCache>
            </c:numRef>
          </c:cat>
          <c:val>
            <c:numRef>
              <c:f>Premie_leeftijd!$EL$21:$EL$48</c:f>
              <c:numCache>
                <c:formatCode>0.0%</c:formatCode>
                <c:ptCount val="28"/>
                <c:pt idx="0">
                  <c:v>0.10522807580736632</c:v>
                </c:pt>
                <c:pt idx="1">
                  <c:v>9.536062747785462E-2</c:v>
                </c:pt>
                <c:pt idx="2">
                  <c:v>8.6419666218961855E-2</c:v>
                </c:pt>
                <c:pt idx="3">
                  <c:v>7.8268128148145363E-2</c:v>
                </c:pt>
                <c:pt idx="4">
                  <c:v>7.1685096998930969E-2</c:v>
                </c:pt>
                <c:pt idx="5">
                  <c:v>6.5143132750367191E-2</c:v>
                </c:pt>
                <c:pt idx="6">
                  <c:v>5.8911855363582358E-2</c:v>
                </c:pt>
                <c:pt idx="7">
                  <c:v>5.3446724773625942E-2</c:v>
                </c:pt>
                <c:pt idx="8">
                  <c:v>4.8409547718554553E-2</c:v>
                </c:pt>
                <c:pt idx="9">
                  <c:v>4.3390796759817288E-2</c:v>
                </c:pt>
                <c:pt idx="10">
                  <c:v>3.909036128944561E-2</c:v>
                </c:pt>
                <c:pt idx="11">
                  <c:v>3.4959212485315624E-2</c:v>
                </c:pt>
                <c:pt idx="12">
                  <c:v>3.1013713097304101E-2</c:v>
                </c:pt>
                <c:pt idx="13">
                  <c:v>2.7495179784469671E-2</c:v>
                </c:pt>
                <c:pt idx="14">
                  <c:v>2.4426138528163787E-2</c:v>
                </c:pt>
                <c:pt idx="15">
                  <c:v>2.155234310131383E-2</c:v>
                </c:pt>
                <c:pt idx="16">
                  <c:v>1.8853082543109238E-2</c:v>
                </c:pt>
                <c:pt idx="17">
                  <c:v>1.5918538119401276E-2</c:v>
                </c:pt>
                <c:pt idx="18">
                  <c:v>1.3239336868971916E-2</c:v>
                </c:pt>
                <c:pt idx="19">
                  <c:v>1.0777206029322504E-2</c:v>
                </c:pt>
                <c:pt idx="20">
                  <c:v>8.5617043061298158E-3</c:v>
                </c:pt>
                <c:pt idx="21">
                  <c:v>6.6069338842664272E-3</c:v>
                </c:pt>
                <c:pt idx="22">
                  <c:v>4.8761825955572127E-3</c:v>
                </c:pt>
                <c:pt idx="23">
                  <c:v>3.4078426942485722E-3</c:v>
                </c:pt>
                <c:pt idx="24">
                  <c:v>2.1982358429269455E-3</c:v>
                </c:pt>
                <c:pt idx="25">
                  <c:v>1.2504849670124814E-3</c:v>
                </c:pt>
                <c:pt idx="26">
                  <c:v>5.6873310341024779E-4</c:v>
                </c:pt>
                <c:pt idx="27">
                  <c:v>1.5083857204606696E-4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63-46E0-BA46-45E7AA47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155823"/>
        <c:axId val="2052157487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Premie_leeftijd!$EI$5</c15:sqref>
                        </c15:formulaRef>
                      </c:ext>
                    </c:extLst>
                    <c:strCache>
                      <c:ptCount val="1"/>
                      <c:pt idx="0">
                        <c:v>MvT_x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Premie_leeftijd!$EE$21:$EE$48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40</c:v>
                      </c:pt>
                      <c:pt idx="1">
                        <c:v>41</c:v>
                      </c:pt>
                      <c:pt idx="2">
                        <c:v>42</c:v>
                      </c:pt>
                      <c:pt idx="3">
                        <c:v>43</c:v>
                      </c:pt>
                      <c:pt idx="4">
                        <c:v>44</c:v>
                      </c:pt>
                      <c:pt idx="5">
                        <c:v>45</c:v>
                      </c:pt>
                      <c:pt idx="6">
                        <c:v>46</c:v>
                      </c:pt>
                      <c:pt idx="7">
                        <c:v>47</c:v>
                      </c:pt>
                      <c:pt idx="8">
                        <c:v>48</c:v>
                      </c:pt>
                      <c:pt idx="9">
                        <c:v>49</c:v>
                      </c:pt>
                      <c:pt idx="10">
                        <c:v>50</c:v>
                      </c:pt>
                      <c:pt idx="11">
                        <c:v>51</c:v>
                      </c:pt>
                      <c:pt idx="12">
                        <c:v>52</c:v>
                      </c:pt>
                      <c:pt idx="13">
                        <c:v>53</c:v>
                      </c:pt>
                      <c:pt idx="14">
                        <c:v>54</c:v>
                      </c:pt>
                      <c:pt idx="15">
                        <c:v>55</c:v>
                      </c:pt>
                      <c:pt idx="16">
                        <c:v>56</c:v>
                      </c:pt>
                      <c:pt idx="17">
                        <c:v>57</c:v>
                      </c:pt>
                      <c:pt idx="18">
                        <c:v>58</c:v>
                      </c:pt>
                      <c:pt idx="19">
                        <c:v>59</c:v>
                      </c:pt>
                      <c:pt idx="20">
                        <c:v>60</c:v>
                      </c:pt>
                      <c:pt idx="21">
                        <c:v>61</c:v>
                      </c:pt>
                      <c:pt idx="22">
                        <c:v>62</c:v>
                      </c:pt>
                      <c:pt idx="23">
                        <c:v>63</c:v>
                      </c:pt>
                      <c:pt idx="24">
                        <c:v>64</c:v>
                      </c:pt>
                      <c:pt idx="25">
                        <c:v>65</c:v>
                      </c:pt>
                      <c:pt idx="26">
                        <c:v>66</c:v>
                      </c:pt>
                      <c:pt idx="27">
                        <c:v>67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Premie_leeftijd!$EI$21:$EI$48</c15:sqref>
                        </c15:formulaRef>
                      </c:ext>
                    </c:extLst>
                    <c:numCache>
                      <c:formatCode>0.0%</c:formatCode>
                      <c:ptCount val="28"/>
                      <c:pt idx="0">
                        <c:v>0.38855742230469198</c:v>
                      </c:pt>
                      <c:pt idx="1">
                        <c:v>0.36030494518209688</c:v>
                      </c:pt>
                      <c:pt idx="2">
                        <c:v>0.33477501400724213</c:v>
                      </c:pt>
                      <c:pt idx="3">
                        <c:v>0.31150732552227595</c:v>
                      </c:pt>
                      <c:pt idx="4">
                        <c:v>0.29176907994067941</c:v>
                      </c:pt>
                      <c:pt idx="5">
                        <c:v>0.27264212819056416</c:v>
                      </c:pt>
                      <c:pt idx="6">
                        <c:v>0.2544874070437908</c:v>
                      </c:pt>
                      <c:pt idx="7">
                        <c:v>0.23813321752039954</c:v>
                      </c:pt>
                      <c:pt idx="8">
                        <c:v>0.22284572182559895</c:v>
                      </c:pt>
                      <c:pt idx="9">
                        <c:v>0.2076659085366509</c:v>
                      </c:pt>
                      <c:pt idx="10">
                        <c:v>0.19412102403401563</c:v>
                      </c:pt>
                      <c:pt idx="11">
                        <c:v>0.18091725309722917</c:v>
                      </c:pt>
                      <c:pt idx="12">
                        <c:v>0.1680379382685892</c:v>
                      </c:pt>
                      <c:pt idx="13">
                        <c:v>0.15608845044922223</c:v>
                      </c:pt>
                      <c:pt idx="14">
                        <c:v>0.14516316649856995</c:v>
                      </c:pt>
                      <c:pt idx="15">
                        <c:v>0.13454159710960334</c:v>
                      </c:pt>
                      <c:pt idx="16">
                        <c:v>0.12413032487366092</c:v>
                      </c:pt>
                      <c:pt idx="17">
                        <c:v>0.11246102215853103</c:v>
                      </c:pt>
                      <c:pt idx="18">
                        <c:v>0.10112056045740143</c:v>
                      </c:pt>
                      <c:pt idx="19">
                        <c:v>8.993966626051815E-2</c:v>
                      </c:pt>
                      <c:pt idx="20">
                        <c:v>7.901173438484406E-2</c:v>
                      </c:pt>
                      <c:pt idx="21">
                        <c:v>6.838852621113016E-2</c:v>
                      </c:pt>
                      <c:pt idx="22">
                        <c:v>5.7855925726838689E-2</c:v>
                      </c:pt>
                      <c:pt idx="23">
                        <c:v>4.7601241252086875E-2</c:v>
                      </c:pt>
                      <c:pt idx="24">
                        <c:v>3.7588110088251102E-2</c:v>
                      </c:pt>
                      <c:pt idx="25">
                        <c:v>2.7823666133667636E-2</c:v>
                      </c:pt>
                      <c:pt idx="26">
                        <c:v>1.8337637341224254E-2</c:v>
                      </c:pt>
                      <c:pt idx="27">
                        <c:v>9.0747473919865641E-3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9963-46E0-BA46-45E7AA474547}"/>
                  </c:ext>
                </c:extLst>
              </c15:ser>
            </c15:filteredLineSeries>
          </c:ext>
        </c:extLst>
      </c:lineChart>
      <c:catAx>
        <c:axId val="20521558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500"/>
                  <a:t>Uittreedleeftijd (jaar)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52157487"/>
        <c:crosses val="autoZero"/>
        <c:auto val="1"/>
        <c:lblAlgn val="ctr"/>
        <c:lblOffset val="100"/>
        <c:tickLblSkip val="5"/>
        <c:noMultiLvlLbl val="0"/>
      </c:catAx>
      <c:valAx>
        <c:axId val="2052157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52155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baseline="0"/>
              <a:t>kostendekkende NP-premie (% pensioengrondslag, risico- en opbouwbasis)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Premie_leeftijd!$DC$5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Premie_leeftijd!$DC$6:$DC$48</c:f>
              <c:numCache>
                <c:formatCode>0.00%</c:formatCode>
                <c:ptCount val="43"/>
                <c:pt idx="0">
                  <c:v>4.5700051526845489E-2</c:v>
                </c:pt>
                <c:pt idx="1">
                  <c:v>4.4164637617320535E-2</c:v>
                </c:pt>
                <c:pt idx="2">
                  <c:v>4.4424054906192403E-2</c:v>
                </c:pt>
                <c:pt idx="3">
                  <c:v>4.4399323489191164E-2</c:v>
                </c:pt>
                <c:pt idx="4">
                  <c:v>4.3608214052745779E-2</c:v>
                </c:pt>
                <c:pt idx="5">
                  <c:v>4.5810729856346544E-2</c:v>
                </c:pt>
                <c:pt idx="6">
                  <c:v>4.4854793406115194E-2</c:v>
                </c:pt>
                <c:pt idx="7">
                  <c:v>4.5152184037470115E-2</c:v>
                </c:pt>
                <c:pt idx="8">
                  <c:v>4.5947442576081729E-2</c:v>
                </c:pt>
                <c:pt idx="9">
                  <c:v>4.5961378935523198E-2</c:v>
                </c:pt>
                <c:pt idx="10">
                  <c:v>4.6320425213103492E-2</c:v>
                </c:pt>
                <c:pt idx="11">
                  <c:v>4.5738092107509815E-2</c:v>
                </c:pt>
                <c:pt idx="12">
                  <c:v>4.7278422764142777E-2</c:v>
                </c:pt>
                <c:pt idx="13">
                  <c:v>4.7939701100778692E-2</c:v>
                </c:pt>
                <c:pt idx="14">
                  <c:v>4.7393996609300236E-2</c:v>
                </c:pt>
                <c:pt idx="15">
                  <c:v>4.8310714998584414E-2</c:v>
                </c:pt>
                <c:pt idx="16">
                  <c:v>4.9163685910822527E-2</c:v>
                </c:pt>
                <c:pt idx="17">
                  <c:v>4.994738646776975E-2</c:v>
                </c:pt>
                <c:pt idx="18">
                  <c:v>4.8184036560327409E-2</c:v>
                </c:pt>
                <c:pt idx="19">
                  <c:v>5.0281005393034095E-2</c:v>
                </c:pt>
                <c:pt idx="20">
                  <c:v>5.1454971603119043E-2</c:v>
                </c:pt>
                <c:pt idx="21">
                  <c:v>5.0966183039020042E-2</c:v>
                </c:pt>
                <c:pt idx="22">
                  <c:v>5.1298006132302787E-2</c:v>
                </c:pt>
                <c:pt idx="23">
                  <c:v>5.2873443183336775E-2</c:v>
                </c:pt>
                <c:pt idx="24">
                  <c:v>5.1775254011456856E-2</c:v>
                </c:pt>
                <c:pt idx="25">
                  <c:v>5.2502511991920645E-2</c:v>
                </c:pt>
                <c:pt idx="26">
                  <c:v>5.3040066463196103E-2</c:v>
                </c:pt>
                <c:pt idx="27">
                  <c:v>5.2447062155204574E-2</c:v>
                </c:pt>
                <c:pt idx="28">
                  <c:v>5.1570539994897462E-2</c:v>
                </c:pt>
                <c:pt idx="29">
                  <c:v>5.1641336811854691E-2</c:v>
                </c:pt>
                <c:pt idx="30">
                  <c:v>5.1686873798661201E-2</c:v>
                </c:pt>
                <c:pt idx="31">
                  <c:v>5.3543255480654944E-2</c:v>
                </c:pt>
                <c:pt idx="32">
                  <c:v>5.2955320902140793E-2</c:v>
                </c:pt>
                <c:pt idx="33">
                  <c:v>5.2411337861306792E-2</c:v>
                </c:pt>
                <c:pt idx="34">
                  <c:v>5.1573518505083897E-2</c:v>
                </c:pt>
                <c:pt idx="35">
                  <c:v>5.0516903336255206E-2</c:v>
                </c:pt>
                <c:pt idx="36">
                  <c:v>4.9513841646332504E-2</c:v>
                </c:pt>
                <c:pt idx="37">
                  <c:v>4.8153739330457405E-2</c:v>
                </c:pt>
                <c:pt idx="38">
                  <c:v>4.6672377042953246E-2</c:v>
                </c:pt>
                <c:pt idx="39">
                  <c:v>4.5032330533887409E-2</c:v>
                </c:pt>
                <c:pt idx="40">
                  <c:v>4.323048684922931E-2</c:v>
                </c:pt>
                <c:pt idx="41">
                  <c:v>4.1307948220637977E-2</c:v>
                </c:pt>
                <c:pt idx="42">
                  <c:v>3.923089489069613E-2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4-4586-9E5A-4715E54726BF}"/>
            </c:ext>
          </c:extLst>
        </c:ser>
        <c:ser>
          <c:idx val="1"/>
          <c:order val="1"/>
          <c:tx>
            <c:strRef>
              <c:f>Premie_leeftijd!$DE$5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Premie_leeftijd!$DE$6:$DE$48</c:f>
              <c:numCache>
                <c:formatCode>0.00%</c:formatCode>
                <c:ptCount val="43"/>
                <c:pt idx="0">
                  <c:v>4.0696695897628268E-2</c:v>
                </c:pt>
                <c:pt idx="1">
                  <c:v>3.8408701240056714E-2</c:v>
                </c:pt>
                <c:pt idx="2">
                  <c:v>3.8691023373430042E-2</c:v>
                </c:pt>
                <c:pt idx="3">
                  <c:v>3.8540385498748199E-2</c:v>
                </c:pt>
                <c:pt idx="4">
                  <c:v>3.7135240207348361E-2</c:v>
                </c:pt>
                <c:pt idx="5">
                  <c:v>4.0566952336000238E-2</c:v>
                </c:pt>
                <c:pt idx="6">
                  <c:v>3.8887716317792365E-2</c:v>
                </c:pt>
                <c:pt idx="7">
                  <c:v>3.925492713417543E-2</c:v>
                </c:pt>
                <c:pt idx="8">
                  <c:v>4.0538015379823003E-2</c:v>
                </c:pt>
                <c:pt idx="9">
                  <c:v>4.0471127225513256E-2</c:v>
                </c:pt>
                <c:pt idx="10">
                  <c:v>4.1046678199603129E-2</c:v>
                </c:pt>
                <c:pt idx="11">
                  <c:v>3.9805660169569455E-2</c:v>
                </c:pt>
                <c:pt idx="12">
                  <c:v>4.276128139180059E-2</c:v>
                </c:pt>
                <c:pt idx="13">
                  <c:v>4.4136285287847743E-2</c:v>
                </c:pt>
                <c:pt idx="14">
                  <c:v>4.3001339185148681E-2</c:v>
                </c:pt>
                <c:pt idx="15">
                  <c:v>4.5043355832525361E-2</c:v>
                </c:pt>
                <c:pt idx="16">
                  <c:v>4.7139160403223829E-2</c:v>
                </c:pt>
                <c:pt idx="17">
                  <c:v>4.9283231316750234E-2</c:v>
                </c:pt>
                <c:pt idx="18">
                  <c:v>4.5184642726937653E-2</c:v>
                </c:pt>
                <c:pt idx="19">
                  <c:v>5.0810927309711394E-2</c:v>
                </c:pt>
                <c:pt idx="20">
                  <c:v>5.456713871834995E-2</c:v>
                </c:pt>
                <c:pt idx="21">
                  <c:v>5.3972795005765101E-2</c:v>
                </c:pt>
                <c:pt idx="22">
                  <c:v>5.5776553833945343E-2</c:v>
                </c:pt>
                <c:pt idx="23">
                  <c:v>6.180235543082499E-2</c:v>
                </c:pt>
                <c:pt idx="24">
                  <c:v>5.9687485311031935E-2</c:v>
                </c:pt>
                <c:pt idx="25">
                  <c:v>6.3736462165477459E-2</c:v>
                </c:pt>
                <c:pt idx="26">
                  <c:v>6.7726970359442529E-2</c:v>
                </c:pt>
                <c:pt idx="27">
                  <c:v>6.7840557509199165E-2</c:v>
                </c:pt>
                <c:pt idx="28">
                  <c:v>6.6724226609996412E-2</c:v>
                </c:pt>
                <c:pt idx="29">
                  <c:v>6.9750727885975305E-2</c:v>
                </c:pt>
                <c:pt idx="30">
                  <c:v>7.328598156183766E-2</c:v>
                </c:pt>
                <c:pt idx="31">
                  <c:v>8.755030579264908E-2</c:v>
                </c:pt>
                <c:pt idx="32">
                  <c:v>9.0857982043931348E-2</c:v>
                </c:pt>
                <c:pt idx="33">
                  <c:v>9.5383590606978486E-2</c:v>
                </c:pt>
                <c:pt idx="34">
                  <c:v>9.9147501194668183E-2</c:v>
                </c:pt>
                <c:pt idx="35">
                  <c:v>0.10239652541335281</c:v>
                </c:pt>
                <c:pt idx="36">
                  <c:v>0.10749473317460032</c:v>
                </c:pt>
                <c:pt idx="37">
                  <c:v>0.11093031265821029</c:v>
                </c:pt>
                <c:pt idx="38">
                  <c:v>0.11466286545329633</c:v>
                </c:pt>
                <c:pt idx="39">
                  <c:v>0.11830565237736491</c:v>
                </c:pt>
                <c:pt idx="40">
                  <c:v>0.12161152984546195</c:v>
                </c:pt>
                <c:pt idx="41">
                  <c:v>0.12550999369481627</c:v>
                </c:pt>
                <c:pt idx="42">
                  <c:v>0.12988037774277333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4-4586-9E5A-4715E54726BF}"/>
            </c:ext>
          </c:extLst>
        </c:ser>
        <c:ser>
          <c:idx val="5"/>
          <c:order val="2"/>
          <c:tx>
            <c:strRef>
              <c:f>Premie_leeftijd!$DG$5</c:f>
              <c:strCache>
                <c:ptCount val="1"/>
                <c:pt idx="0">
                  <c:v>MvT met overbrugging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Premie_leeftijd!$DG$6:$DG$48</c:f>
              <c:numCache>
                <c:formatCode>0.00%</c:formatCode>
                <c:ptCount val="43"/>
                <c:pt idx="0">
                  <c:v>3.9643135577268722E-2</c:v>
                </c:pt>
                <c:pt idx="1">
                  <c:v>3.7473353822384842E-2</c:v>
                </c:pt>
                <c:pt idx="2">
                  <c:v>3.7712101868529538E-2</c:v>
                </c:pt>
                <c:pt idx="3">
                  <c:v>3.7545361557563196E-2</c:v>
                </c:pt>
                <c:pt idx="4">
                  <c:v>3.6210723631638256E-2</c:v>
                </c:pt>
                <c:pt idx="5">
                  <c:v>3.9372959990654072E-2</c:v>
                </c:pt>
                <c:pt idx="6">
                  <c:v>3.7783701869157145E-2</c:v>
                </c:pt>
                <c:pt idx="7">
                  <c:v>3.8092588611429792E-2</c:v>
                </c:pt>
                <c:pt idx="8">
                  <c:v>3.9243770968817253E-2</c:v>
                </c:pt>
                <c:pt idx="9">
                  <c:v>3.9145306605450153E-2</c:v>
                </c:pt>
                <c:pt idx="10">
                  <c:v>3.9635497237178761E-2</c:v>
                </c:pt>
                <c:pt idx="11">
                  <c:v>3.8457671049783031E-2</c:v>
                </c:pt>
                <c:pt idx="12">
                  <c:v>4.1117094184987255E-2</c:v>
                </c:pt>
                <c:pt idx="13">
                  <c:v>4.2319862392769865E-2</c:v>
                </c:pt>
                <c:pt idx="14">
                  <c:v>4.1233929132534208E-2</c:v>
                </c:pt>
                <c:pt idx="15">
                  <c:v>4.3027489431132208E-2</c:v>
                </c:pt>
                <c:pt idx="16">
                  <c:v>4.48548358633028E-2</c:v>
                </c:pt>
                <c:pt idx="17">
                  <c:v>4.6709461323239471E-2</c:v>
                </c:pt>
                <c:pt idx="18">
                  <c:v>4.2954653950822715E-2</c:v>
                </c:pt>
                <c:pt idx="19">
                  <c:v>4.790147002843638E-2</c:v>
                </c:pt>
                <c:pt idx="20">
                  <c:v>5.1141983623296756E-2</c:v>
                </c:pt>
                <c:pt idx="21">
                  <c:v>5.0499135930593256E-2</c:v>
                </c:pt>
                <c:pt idx="22">
                  <c:v>5.196735359900069E-2</c:v>
                </c:pt>
                <c:pt idx="23">
                  <c:v>5.7115238573592277E-2</c:v>
                </c:pt>
                <c:pt idx="24">
                  <c:v>5.5101557685059949E-2</c:v>
                </c:pt>
                <c:pt idx="25">
                  <c:v>5.844557456691489E-2</c:v>
                </c:pt>
                <c:pt idx="26">
                  <c:v>6.1689209345167181E-2</c:v>
                </c:pt>
                <c:pt idx="27">
                  <c:v>6.1555457542510933E-2</c:v>
                </c:pt>
                <c:pt idx="28">
                  <c:v>6.0358907748374685E-2</c:v>
                </c:pt>
                <c:pt idx="29">
                  <c:v>6.2664316653471747E-2</c:v>
                </c:pt>
                <c:pt idx="30">
                  <c:v>6.5342432535915554E-2</c:v>
                </c:pt>
                <c:pt idx="31">
                  <c:v>7.6889055246834287E-2</c:v>
                </c:pt>
                <c:pt idx="32">
                  <c:v>7.9163196841398331E-2</c:v>
                </c:pt>
                <c:pt idx="33">
                  <c:v>8.2351724755273442E-2</c:v>
                </c:pt>
                <c:pt idx="34">
                  <c:v>8.4813316514386811E-2</c:v>
                </c:pt>
                <c:pt idx="35">
                  <c:v>8.6754107512038964E-2</c:v>
                </c:pt>
                <c:pt idx="36">
                  <c:v>9.0048226681429089E-2</c:v>
                </c:pt>
                <c:pt idx="37">
                  <c:v>9.1883021278901106E-2</c:v>
                </c:pt>
                <c:pt idx="38">
                  <c:v>9.3804461598262931E-2</c:v>
                </c:pt>
                <c:pt idx="39">
                  <c:v>9.5491870270679596E-2</c:v>
                </c:pt>
                <c:pt idx="40">
                  <c:v>9.6744185909758917E-2</c:v>
                </c:pt>
                <c:pt idx="41">
                  <c:v>9.8232584440858445E-2</c:v>
                </c:pt>
                <c:pt idx="42">
                  <c:v>9.9817916122801012E-2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14-4586-9E5A-4715E54726BF}"/>
            </c:ext>
          </c:extLst>
        </c:ser>
        <c:ser>
          <c:idx val="2"/>
          <c:order val="3"/>
          <c:tx>
            <c:strRef>
              <c:f>Premie_leeftijd!$DH$5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Premie_leeftijd!$DH$6:$DH$48</c:f>
              <c:numCache>
                <c:formatCode>0.00%</c:formatCode>
                <c:ptCount val="43"/>
                <c:pt idx="0">
                  <c:v>4.9971916844998215E-2</c:v>
                </c:pt>
                <c:pt idx="1">
                  <c:v>4.7745761044799447E-2</c:v>
                </c:pt>
                <c:pt idx="2">
                  <c:v>4.7911719680857549E-2</c:v>
                </c:pt>
                <c:pt idx="3">
                  <c:v>4.7674765580264254E-2</c:v>
                </c:pt>
                <c:pt idx="4">
                  <c:v>4.6298212808710479E-2</c:v>
                </c:pt>
                <c:pt idx="5">
                  <c:v>4.9290581785213693E-2</c:v>
                </c:pt>
                <c:pt idx="6">
                  <c:v>4.7666728456044388E-2</c:v>
                </c:pt>
                <c:pt idx="7">
                  <c:v>4.7874301472101699E-2</c:v>
                </c:pt>
                <c:pt idx="8">
                  <c:v>4.8873919499484324E-2</c:v>
                </c:pt>
                <c:pt idx="9">
                  <c:v>4.8674670553381726E-2</c:v>
                </c:pt>
                <c:pt idx="10">
                  <c:v>4.9022624685239255E-2</c:v>
                </c:pt>
                <c:pt idx="11">
                  <c:v>4.7809226291427101E-2</c:v>
                </c:pt>
                <c:pt idx="12">
                  <c:v>5.0140218070316669E-2</c:v>
                </c:pt>
                <c:pt idx="13">
                  <c:v>5.1092259297672388E-2</c:v>
                </c:pt>
                <c:pt idx="14">
                  <c:v>4.994833910468785E-2</c:v>
                </c:pt>
                <c:pt idx="15">
                  <c:v>5.1389847478508853E-2</c:v>
                </c:pt>
                <c:pt idx="16">
                  <c:v>5.2817229288046642E-2</c:v>
                </c:pt>
                <c:pt idx="17">
                  <c:v>5.4220066235391558E-2</c:v>
                </c:pt>
                <c:pt idx="18">
                  <c:v>5.0729559198671073E-2</c:v>
                </c:pt>
                <c:pt idx="19">
                  <c:v>5.4718731391514244E-2</c:v>
                </c:pt>
                <c:pt idx="20">
                  <c:v>5.7141342678005788E-2</c:v>
                </c:pt>
                <c:pt idx="21">
                  <c:v>5.6253433919240647E-2</c:v>
                </c:pt>
                <c:pt idx="22">
                  <c:v>5.7074794433689083E-2</c:v>
                </c:pt>
                <c:pt idx="23">
                  <c:v>6.0761931068841118E-2</c:v>
                </c:pt>
                <c:pt idx="24">
                  <c:v>5.8661607742930284E-2</c:v>
                </c:pt>
                <c:pt idx="25">
                  <c:v>6.0688760401815103E-2</c:v>
                </c:pt>
                <c:pt idx="26">
                  <c:v>6.2481677734171473E-2</c:v>
                </c:pt>
                <c:pt idx="27">
                  <c:v>6.1646414452539156E-2</c:v>
                </c:pt>
                <c:pt idx="28">
                  <c:v>6.0009744049182794E-2</c:v>
                </c:pt>
                <c:pt idx="29">
                  <c:v>6.0757400390724817E-2</c:v>
                </c:pt>
                <c:pt idx="30">
                  <c:v>6.1569749509585797E-2</c:v>
                </c:pt>
                <c:pt idx="31">
                  <c:v>6.7766407563164557E-2</c:v>
                </c:pt>
                <c:pt idx="32">
                  <c:v>6.7603393151398697E-2</c:v>
                </c:pt>
                <c:pt idx="33">
                  <c:v>6.7678876935022059E-2</c:v>
                </c:pt>
                <c:pt idx="34">
                  <c:v>6.6976605621903371E-2</c:v>
                </c:pt>
                <c:pt idx="35">
                  <c:v>6.5625907938928835E-2</c:v>
                </c:pt>
                <c:pt idx="36">
                  <c:v>6.4490617472793207E-2</c:v>
                </c:pt>
                <c:pt idx="37">
                  <c:v>6.2162939666335813E-2</c:v>
                </c:pt>
                <c:pt idx="38">
                  <c:v>5.9325953253239992E-2</c:v>
                </c:pt>
                <c:pt idx="39">
                  <c:v>5.5774424584700694E-2</c:v>
                </c:pt>
                <c:pt idx="40">
                  <c:v>5.1389121030631084E-2</c:v>
                </c:pt>
                <c:pt idx="41">
                  <c:v>4.6234273260269312E-2</c:v>
                </c:pt>
                <c:pt idx="42">
                  <c:v>4.0074809060204344E-2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14-4586-9E5A-4715E54726BF}"/>
            </c:ext>
          </c:extLst>
        </c:ser>
        <c:ser>
          <c:idx val="3"/>
          <c:order val="4"/>
          <c:tx>
            <c:strRef>
              <c:f>Premie_leeftijd!$DI$5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Premie_leeftijd!$DB$6:$DB$48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Premie_leeftijd!$DI$6:$DI$48</c:f>
              <c:numCache>
                <c:formatCode>0.00%</c:formatCode>
                <c:ptCount val="43"/>
                <c:pt idx="0">
                  <c:v>5.4684584932185726E-2</c:v>
                </c:pt>
                <c:pt idx="1">
                  <c:v>5.2280839287521703E-2</c:v>
                </c:pt>
                <c:pt idx="2">
                  <c:v>5.2228155260000408E-2</c:v>
                </c:pt>
                <c:pt idx="3">
                  <c:v>5.1794631938138519E-2</c:v>
                </c:pt>
                <c:pt idx="4">
                  <c:v>5.0319407593657238E-2</c:v>
                </c:pt>
                <c:pt idx="5">
                  <c:v>5.2850940420503811E-2</c:v>
                </c:pt>
                <c:pt idx="6">
                  <c:v>5.1176262210255299E-2</c:v>
                </c:pt>
                <c:pt idx="7">
                  <c:v>5.1158636631891942E-2</c:v>
                </c:pt>
                <c:pt idx="8">
                  <c:v>5.1820097041927797E-2</c:v>
                </c:pt>
                <c:pt idx="9">
                  <c:v>5.1437637874090412E-2</c:v>
                </c:pt>
                <c:pt idx="10">
                  <c:v>5.1519131615199984E-2</c:v>
                </c:pt>
                <c:pt idx="11">
                  <c:v>5.0313284450558091E-2</c:v>
                </c:pt>
                <c:pt idx="12">
                  <c:v>5.1998016918940904E-2</c:v>
                </c:pt>
                <c:pt idx="13">
                  <c:v>5.2528148265802321E-2</c:v>
                </c:pt>
                <c:pt idx="14">
                  <c:v>5.1404414805803926E-2</c:v>
                </c:pt>
                <c:pt idx="15">
                  <c:v>5.2288648162891201E-2</c:v>
                </c:pt>
                <c:pt idx="16">
                  <c:v>5.3124918401581983E-2</c:v>
                </c:pt>
                <c:pt idx="17">
                  <c:v>5.3906475785278546E-2</c:v>
                </c:pt>
                <c:pt idx="18">
                  <c:v>5.1113921695380975E-2</c:v>
                </c:pt>
                <c:pt idx="19">
                  <c:v>5.3725673351191244E-2</c:v>
                </c:pt>
                <c:pt idx="20">
                  <c:v>5.5142648973086572E-2</c:v>
                </c:pt>
                <c:pt idx="21">
                  <c:v>5.4235067092114252E-2</c:v>
                </c:pt>
                <c:pt idx="22">
                  <c:v>5.4498642998523687E-2</c:v>
                </c:pt>
                <c:pt idx="23">
                  <c:v>5.6627297103956913E-2</c:v>
                </c:pt>
                <c:pt idx="24">
                  <c:v>5.4931152634670063E-2</c:v>
                </c:pt>
                <c:pt idx="25">
                  <c:v>5.5898640093780483E-2</c:v>
                </c:pt>
                <c:pt idx="26">
                  <c:v>5.667068892640853E-2</c:v>
                </c:pt>
                <c:pt idx="27">
                  <c:v>5.5804195868336473E-2</c:v>
                </c:pt>
                <c:pt idx="28">
                  <c:v>5.4483817498476535E-2</c:v>
                </c:pt>
                <c:pt idx="29">
                  <c:v>5.4591098103360575E-2</c:v>
                </c:pt>
                <c:pt idx="30">
                  <c:v>5.4716634962571592E-2</c:v>
                </c:pt>
                <c:pt idx="31">
                  <c:v>5.7814089008040859E-2</c:v>
                </c:pt>
                <c:pt idx="32">
                  <c:v>5.7298317370303456E-2</c:v>
                </c:pt>
                <c:pt idx="33">
                  <c:v>5.6908871296864484E-2</c:v>
                </c:pt>
                <c:pt idx="34">
                  <c:v>5.6108717187969503E-2</c:v>
                </c:pt>
                <c:pt idx="35">
                  <c:v>5.4990876227751145E-2</c:v>
                </c:pt>
                <c:pt idx="36">
                  <c:v>5.4001677348971287E-2</c:v>
                </c:pt>
                <c:pt idx="37">
                  <c:v>5.2456749600079934E-2</c:v>
                </c:pt>
                <c:pt idx="38">
                  <c:v>5.0715919415671169E-2</c:v>
                </c:pt>
                <c:pt idx="39">
                  <c:v>4.8701972263596058E-2</c:v>
                </c:pt>
                <c:pt idx="40">
                  <c:v>4.6386019924676197E-2</c:v>
                </c:pt>
                <c:pt idx="41">
                  <c:v>4.3818651605409771E-2</c:v>
                </c:pt>
                <c:pt idx="42">
                  <c:v>4.0923026763029856E-2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4-4586-9E5A-4715E5472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039520"/>
        <c:axId val="2138031616"/>
      </c:lineChart>
      <c:catAx>
        <c:axId val="21380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8031616"/>
        <c:crosses val="autoZero"/>
        <c:auto val="1"/>
        <c:lblAlgn val="ctr"/>
        <c:lblOffset val="100"/>
        <c:tickLblSkip val="5"/>
        <c:noMultiLvlLbl val="0"/>
      </c:catAx>
      <c:valAx>
        <c:axId val="213803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803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100" b="0" i="0" baseline="0">
                <a:effectLst/>
              </a:rPr>
              <a:t>kostendekkende NP-premie (% pensioengrondslag, risico- en opbouwbasis)</a:t>
            </a:r>
            <a:endParaRPr lang="nl-NL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NPpremie_inkomen!$V$9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NPpremie_inkomen!$U$35:$U$110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cat>
          <c:val>
            <c:numRef>
              <c:f>NPpremie_inkomen!$V$35:$V$110</c:f>
              <c:numCache>
                <c:formatCode>0.00%</c:formatCode>
                <c:ptCount val="76"/>
                <c:pt idx="0">
                  <c:v>5.0516903336255206E-2</c:v>
                </c:pt>
                <c:pt idx="1">
                  <c:v>5.0516903336255206E-2</c:v>
                </c:pt>
                <c:pt idx="2">
                  <c:v>5.0516903336255206E-2</c:v>
                </c:pt>
                <c:pt idx="3">
                  <c:v>5.0516903336255206E-2</c:v>
                </c:pt>
                <c:pt idx="4">
                  <c:v>5.0516903336255206E-2</c:v>
                </c:pt>
                <c:pt idx="5">
                  <c:v>5.0516903336255206E-2</c:v>
                </c:pt>
                <c:pt idx="6">
                  <c:v>5.0516903336255206E-2</c:v>
                </c:pt>
                <c:pt idx="7">
                  <c:v>5.0516903336255206E-2</c:v>
                </c:pt>
                <c:pt idx="8">
                  <c:v>5.0516903336255206E-2</c:v>
                </c:pt>
                <c:pt idx="9">
                  <c:v>5.0516903336255206E-2</c:v>
                </c:pt>
                <c:pt idx="10">
                  <c:v>5.0516903336255206E-2</c:v>
                </c:pt>
                <c:pt idx="11">
                  <c:v>5.0516903336255206E-2</c:v>
                </c:pt>
                <c:pt idx="12">
                  <c:v>5.0516903336255206E-2</c:v>
                </c:pt>
                <c:pt idx="13">
                  <c:v>5.0516903336255206E-2</c:v>
                </c:pt>
                <c:pt idx="14">
                  <c:v>5.0516903336255206E-2</c:v>
                </c:pt>
                <c:pt idx="15">
                  <c:v>5.0516903336255206E-2</c:v>
                </c:pt>
                <c:pt idx="16">
                  <c:v>5.0516903336255206E-2</c:v>
                </c:pt>
                <c:pt idx="17">
                  <c:v>5.0516903336255206E-2</c:v>
                </c:pt>
                <c:pt idx="18">
                  <c:v>5.0516903336255206E-2</c:v>
                </c:pt>
                <c:pt idx="19">
                  <c:v>5.0516903336255206E-2</c:v>
                </c:pt>
                <c:pt idx="20">
                  <c:v>5.0516903336255206E-2</c:v>
                </c:pt>
                <c:pt idx="21">
                  <c:v>5.0516903336255206E-2</c:v>
                </c:pt>
                <c:pt idx="22">
                  <c:v>5.0516903336255206E-2</c:v>
                </c:pt>
                <c:pt idx="23">
                  <c:v>5.0516903336255206E-2</c:v>
                </c:pt>
                <c:pt idx="24">
                  <c:v>5.0516903336255206E-2</c:v>
                </c:pt>
                <c:pt idx="25">
                  <c:v>5.0516903336255206E-2</c:v>
                </c:pt>
                <c:pt idx="26">
                  <c:v>5.0516903336255206E-2</c:v>
                </c:pt>
                <c:pt idx="27">
                  <c:v>5.0516903336255206E-2</c:v>
                </c:pt>
                <c:pt idx="28">
                  <c:v>5.0516903336255206E-2</c:v>
                </c:pt>
                <c:pt idx="29">
                  <c:v>5.0516903336255206E-2</c:v>
                </c:pt>
                <c:pt idx="30">
                  <c:v>5.0516903336255206E-2</c:v>
                </c:pt>
                <c:pt idx="31">
                  <c:v>5.0516903336255206E-2</c:v>
                </c:pt>
                <c:pt idx="32">
                  <c:v>5.0516903336255206E-2</c:v>
                </c:pt>
                <c:pt idx="33">
                  <c:v>5.0516903336255206E-2</c:v>
                </c:pt>
                <c:pt idx="34">
                  <c:v>5.0516903336255206E-2</c:v>
                </c:pt>
                <c:pt idx="35">
                  <c:v>5.0516903336255206E-2</c:v>
                </c:pt>
                <c:pt idx="36">
                  <c:v>5.0516903336255206E-2</c:v>
                </c:pt>
                <c:pt idx="37">
                  <c:v>5.0516903336255206E-2</c:v>
                </c:pt>
                <c:pt idx="38">
                  <c:v>5.0516903336255206E-2</c:v>
                </c:pt>
                <c:pt idx="39">
                  <c:v>5.0516903336255206E-2</c:v>
                </c:pt>
                <c:pt idx="40">
                  <c:v>5.0516903336255206E-2</c:v>
                </c:pt>
                <c:pt idx="41">
                  <c:v>5.0516903336255206E-2</c:v>
                </c:pt>
                <c:pt idx="42">
                  <c:v>5.0516903336255206E-2</c:v>
                </c:pt>
                <c:pt idx="43">
                  <c:v>5.0516903336255206E-2</c:v>
                </c:pt>
                <c:pt idx="44">
                  <c:v>5.0516903336255206E-2</c:v>
                </c:pt>
                <c:pt idx="45">
                  <c:v>5.0516903336255206E-2</c:v>
                </c:pt>
                <c:pt idx="46">
                  <c:v>5.0516903336255206E-2</c:v>
                </c:pt>
                <c:pt idx="47">
                  <c:v>5.0516903336255206E-2</c:v>
                </c:pt>
                <c:pt idx="48">
                  <c:v>5.0516903336255206E-2</c:v>
                </c:pt>
                <c:pt idx="49">
                  <c:v>5.0516903336255206E-2</c:v>
                </c:pt>
                <c:pt idx="50">
                  <c:v>5.0516903336255206E-2</c:v>
                </c:pt>
                <c:pt idx="51">
                  <c:v>5.0516903336255206E-2</c:v>
                </c:pt>
                <c:pt idx="52">
                  <c:v>5.0516903336255206E-2</c:v>
                </c:pt>
                <c:pt idx="53">
                  <c:v>5.0516903336255206E-2</c:v>
                </c:pt>
                <c:pt idx="54">
                  <c:v>5.0516903336255206E-2</c:v>
                </c:pt>
                <c:pt idx="55">
                  <c:v>5.0516903336255206E-2</c:v>
                </c:pt>
                <c:pt idx="56">
                  <c:v>5.0516903336255206E-2</c:v>
                </c:pt>
                <c:pt idx="57">
                  <c:v>5.0516903336255206E-2</c:v>
                </c:pt>
                <c:pt idx="58">
                  <c:v>5.0516903336255206E-2</c:v>
                </c:pt>
                <c:pt idx="59">
                  <c:v>5.0516903336255206E-2</c:v>
                </c:pt>
                <c:pt idx="60">
                  <c:v>5.0516903336255206E-2</c:v>
                </c:pt>
                <c:pt idx="61">
                  <c:v>5.0516903336255206E-2</c:v>
                </c:pt>
                <c:pt idx="62">
                  <c:v>5.0516903336255206E-2</c:v>
                </c:pt>
                <c:pt idx="63">
                  <c:v>5.0516903336255206E-2</c:v>
                </c:pt>
                <c:pt idx="64">
                  <c:v>5.0516903336255206E-2</c:v>
                </c:pt>
                <c:pt idx="65">
                  <c:v>5.0516903336255206E-2</c:v>
                </c:pt>
                <c:pt idx="66">
                  <c:v>5.0516903336255206E-2</c:v>
                </c:pt>
                <c:pt idx="67">
                  <c:v>5.0516903336255206E-2</c:v>
                </c:pt>
                <c:pt idx="68">
                  <c:v>5.0516903336255206E-2</c:v>
                </c:pt>
                <c:pt idx="69">
                  <c:v>5.0516903336255206E-2</c:v>
                </c:pt>
                <c:pt idx="70">
                  <c:v>5.0516903336255206E-2</c:v>
                </c:pt>
                <c:pt idx="71">
                  <c:v>5.0516903336255206E-2</c:v>
                </c:pt>
                <c:pt idx="72">
                  <c:v>5.0516903336255206E-2</c:v>
                </c:pt>
                <c:pt idx="73">
                  <c:v>5.0516903336255206E-2</c:v>
                </c:pt>
                <c:pt idx="74">
                  <c:v>5.0516903336255206E-2</c:v>
                </c:pt>
                <c:pt idx="75">
                  <c:v>5.0516903336255206E-2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E-4EAE-8432-D14F5F4EB1E0}"/>
            </c:ext>
          </c:extLst>
        </c:ser>
        <c:ser>
          <c:idx val="1"/>
          <c:order val="1"/>
          <c:tx>
            <c:strRef>
              <c:f>NPpremie_inkomen!$W$9</c:f>
              <c:strCache>
                <c:ptCount val="1"/>
                <c:pt idx="0">
                  <c:v>Uitkeringsregeling (degr)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NPpremie_inkomen!$U$35:$U$110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cat>
          <c:val>
            <c:numRef>
              <c:f>NPpremie_inkomen!$W$35:$W$110</c:f>
              <c:numCache>
                <c:formatCode>0.00%</c:formatCode>
                <c:ptCount val="76"/>
                <c:pt idx="0">
                  <c:v>4.7805143462282505E-2</c:v>
                </c:pt>
                <c:pt idx="1">
                  <c:v>4.7805143462282505E-2</c:v>
                </c:pt>
                <c:pt idx="2">
                  <c:v>4.7805143462282505E-2</c:v>
                </c:pt>
                <c:pt idx="3">
                  <c:v>4.7805143462282505E-2</c:v>
                </c:pt>
                <c:pt idx="4">
                  <c:v>4.7805143462282505E-2</c:v>
                </c:pt>
                <c:pt idx="5">
                  <c:v>4.7805143462282505E-2</c:v>
                </c:pt>
                <c:pt idx="6">
                  <c:v>4.7805143462282505E-2</c:v>
                </c:pt>
                <c:pt idx="7">
                  <c:v>4.7805143462282505E-2</c:v>
                </c:pt>
                <c:pt idx="8">
                  <c:v>4.7805143462282505E-2</c:v>
                </c:pt>
                <c:pt idx="9">
                  <c:v>4.7805143462282505E-2</c:v>
                </c:pt>
                <c:pt idx="10">
                  <c:v>4.7805143462282505E-2</c:v>
                </c:pt>
                <c:pt idx="11">
                  <c:v>4.7805143462282505E-2</c:v>
                </c:pt>
                <c:pt idx="12">
                  <c:v>4.7805143462282505E-2</c:v>
                </c:pt>
                <c:pt idx="13">
                  <c:v>4.7805143462282505E-2</c:v>
                </c:pt>
                <c:pt idx="14">
                  <c:v>4.7805143462282505E-2</c:v>
                </c:pt>
                <c:pt idx="15">
                  <c:v>4.7805143462282505E-2</c:v>
                </c:pt>
                <c:pt idx="16">
                  <c:v>4.7805143462282505E-2</c:v>
                </c:pt>
                <c:pt idx="17">
                  <c:v>4.7805143462282505E-2</c:v>
                </c:pt>
                <c:pt idx="18">
                  <c:v>4.7805143462282505E-2</c:v>
                </c:pt>
                <c:pt idx="19">
                  <c:v>4.7805143462282505E-2</c:v>
                </c:pt>
                <c:pt idx="20">
                  <c:v>4.7805143462282505E-2</c:v>
                </c:pt>
                <c:pt idx="21">
                  <c:v>4.7805143462282505E-2</c:v>
                </c:pt>
                <c:pt idx="22">
                  <c:v>4.7805143462282505E-2</c:v>
                </c:pt>
                <c:pt idx="23">
                  <c:v>4.7805143462282505E-2</c:v>
                </c:pt>
                <c:pt idx="24">
                  <c:v>4.7805143462282505E-2</c:v>
                </c:pt>
                <c:pt idx="25">
                  <c:v>4.7805143462282505E-2</c:v>
                </c:pt>
                <c:pt idx="26">
                  <c:v>4.7805143462282505E-2</c:v>
                </c:pt>
                <c:pt idx="27">
                  <c:v>4.7805143462282505E-2</c:v>
                </c:pt>
                <c:pt idx="28">
                  <c:v>4.7805143462282505E-2</c:v>
                </c:pt>
                <c:pt idx="29">
                  <c:v>4.7805143462282505E-2</c:v>
                </c:pt>
                <c:pt idx="30">
                  <c:v>4.7805143462282505E-2</c:v>
                </c:pt>
                <c:pt idx="31">
                  <c:v>4.7805143462282505E-2</c:v>
                </c:pt>
                <c:pt idx="32">
                  <c:v>4.7805143462282505E-2</c:v>
                </c:pt>
                <c:pt idx="33">
                  <c:v>4.7805143462282505E-2</c:v>
                </c:pt>
                <c:pt idx="34">
                  <c:v>4.7805143462282505E-2</c:v>
                </c:pt>
                <c:pt idx="35">
                  <c:v>4.7805143462282505E-2</c:v>
                </c:pt>
                <c:pt idx="36">
                  <c:v>4.7805143462282505E-2</c:v>
                </c:pt>
                <c:pt idx="37">
                  <c:v>4.7805143462282505E-2</c:v>
                </c:pt>
                <c:pt idx="38">
                  <c:v>4.7805143462282505E-2</c:v>
                </c:pt>
                <c:pt idx="39">
                  <c:v>4.7805143462282505E-2</c:v>
                </c:pt>
                <c:pt idx="40">
                  <c:v>4.7805143462282505E-2</c:v>
                </c:pt>
                <c:pt idx="41">
                  <c:v>4.7805143462282505E-2</c:v>
                </c:pt>
                <c:pt idx="42">
                  <c:v>4.7805143462282505E-2</c:v>
                </c:pt>
                <c:pt idx="43">
                  <c:v>4.7805143462282505E-2</c:v>
                </c:pt>
                <c:pt idx="44">
                  <c:v>4.7805143462282505E-2</c:v>
                </c:pt>
                <c:pt idx="45">
                  <c:v>4.7805143462282505E-2</c:v>
                </c:pt>
                <c:pt idx="46">
                  <c:v>4.7805143462282505E-2</c:v>
                </c:pt>
                <c:pt idx="47">
                  <c:v>4.7805143462282505E-2</c:v>
                </c:pt>
                <c:pt idx="48">
                  <c:v>4.7805143462282505E-2</c:v>
                </c:pt>
                <c:pt idx="49">
                  <c:v>4.7805143462282505E-2</c:v>
                </c:pt>
                <c:pt idx="50">
                  <c:v>4.7805143462282505E-2</c:v>
                </c:pt>
                <c:pt idx="51">
                  <c:v>4.7805143462282505E-2</c:v>
                </c:pt>
                <c:pt idx="52">
                  <c:v>4.7805143462282505E-2</c:v>
                </c:pt>
                <c:pt idx="53">
                  <c:v>4.7805143462282505E-2</c:v>
                </c:pt>
                <c:pt idx="54">
                  <c:v>4.7805143462282505E-2</c:v>
                </c:pt>
                <c:pt idx="55">
                  <c:v>4.7805143462282505E-2</c:v>
                </c:pt>
                <c:pt idx="56">
                  <c:v>4.7805143462282505E-2</c:v>
                </c:pt>
                <c:pt idx="57">
                  <c:v>4.7805143462282505E-2</c:v>
                </c:pt>
                <c:pt idx="58">
                  <c:v>4.7805143462282505E-2</c:v>
                </c:pt>
                <c:pt idx="59">
                  <c:v>4.7805143462282505E-2</c:v>
                </c:pt>
                <c:pt idx="60">
                  <c:v>4.7805143462282505E-2</c:v>
                </c:pt>
                <c:pt idx="61">
                  <c:v>4.7805143462282505E-2</c:v>
                </c:pt>
                <c:pt idx="62">
                  <c:v>4.7805143462282505E-2</c:v>
                </c:pt>
                <c:pt idx="63">
                  <c:v>4.7805143462282505E-2</c:v>
                </c:pt>
                <c:pt idx="64">
                  <c:v>4.7805143462282505E-2</c:v>
                </c:pt>
                <c:pt idx="65">
                  <c:v>4.7805143462282505E-2</c:v>
                </c:pt>
                <c:pt idx="66">
                  <c:v>4.7805143462282505E-2</c:v>
                </c:pt>
                <c:pt idx="67">
                  <c:v>4.7805143462282505E-2</c:v>
                </c:pt>
                <c:pt idx="68">
                  <c:v>4.7805143462282505E-2</c:v>
                </c:pt>
                <c:pt idx="69">
                  <c:v>4.7805143462282505E-2</c:v>
                </c:pt>
                <c:pt idx="70">
                  <c:v>4.7805143462282505E-2</c:v>
                </c:pt>
                <c:pt idx="71">
                  <c:v>4.7805143462282505E-2</c:v>
                </c:pt>
                <c:pt idx="72">
                  <c:v>4.7805143462282505E-2</c:v>
                </c:pt>
                <c:pt idx="73">
                  <c:v>4.7805143462282505E-2</c:v>
                </c:pt>
                <c:pt idx="74">
                  <c:v>4.7805143462282505E-2</c:v>
                </c:pt>
                <c:pt idx="75">
                  <c:v>4.7805143462282505E-2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E-4EAE-8432-D14F5F4EB1E0}"/>
            </c:ext>
          </c:extLst>
        </c:ser>
        <c:ser>
          <c:idx val="2"/>
          <c:order val="2"/>
          <c:tx>
            <c:strRef>
              <c:f>NPpremie_inkomen!$X$9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NPpremie_inkomen!$U$35:$U$110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cat>
          <c:val>
            <c:numRef>
              <c:f>NPpremie_inkomen!$X$35:$X$110</c:f>
              <c:numCache>
                <c:formatCode>0.00%</c:formatCode>
                <c:ptCount val="76"/>
                <c:pt idx="0">
                  <c:v>0.16134813919614951</c:v>
                </c:pt>
                <c:pt idx="1">
                  <c:v>0.15384520653288447</c:v>
                </c:pt>
                <c:pt idx="2">
                  <c:v>0.1475927626468303</c:v>
                </c:pt>
                <c:pt idx="3">
                  <c:v>0.14230223320478441</c:v>
                </c:pt>
                <c:pt idx="4">
                  <c:v>0.13776749368303082</c:v>
                </c:pt>
                <c:pt idx="5">
                  <c:v>0.13383738609751106</c:v>
                </c:pt>
                <c:pt idx="6">
                  <c:v>0.13039854196018125</c:v>
                </c:pt>
                <c:pt idx="7">
                  <c:v>0.12736426772136084</c:v>
                </c:pt>
                <c:pt idx="8">
                  <c:v>0.12466713506463156</c:v>
                </c:pt>
                <c:pt idx="9">
                  <c:v>0.12225391110861064</c:v>
                </c:pt>
                <c:pt idx="10">
                  <c:v>0.12008200954819181</c:v>
                </c:pt>
                <c:pt idx="11">
                  <c:v>0.11811695575543192</c:v>
                </c:pt>
                <c:pt idx="12">
                  <c:v>0.11633054321655931</c:v>
                </c:pt>
                <c:pt idx="13">
                  <c:v>0.11469947089845819</c:v>
                </c:pt>
                <c:pt idx="14">
                  <c:v>0.11320432127353219</c:v>
                </c:pt>
                <c:pt idx="15">
                  <c:v>0.11182878361860027</c:v>
                </c:pt>
                <c:pt idx="16">
                  <c:v>0.11055905655250928</c:v>
                </c:pt>
                <c:pt idx="17">
                  <c:v>0.10938338334316575</c:v>
                </c:pt>
                <c:pt idx="18">
                  <c:v>0.10829168679163248</c:v>
                </c:pt>
                <c:pt idx="19">
                  <c:v>0.10727527965744632</c:v>
                </c:pt>
                <c:pt idx="20">
                  <c:v>0.10632663299887259</c:v>
                </c:pt>
                <c:pt idx="21">
                  <c:v>0.10543918935052941</c:v>
                </c:pt>
                <c:pt idx="22">
                  <c:v>0.10460721093020767</c:v>
                </c:pt>
                <c:pt idx="23">
                  <c:v>0.1038256554444509</c:v>
                </c:pt>
                <c:pt idx="24">
                  <c:v>0.10309007381079746</c:v>
                </c:pt>
                <c:pt idx="25">
                  <c:v>0.10239652541335281</c:v>
                </c:pt>
                <c:pt idx="26">
                  <c:v>0.10174150748243284</c:v>
                </c:pt>
                <c:pt idx="27">
                  <c:v>0.1011218959261572</c:v>
                </c:pt>
                <c:pt idx="28">
                  <c:v>0.10053489550442238</c:v>
                </c:pt>
                <c:pt idx="29">
                  <c:v>9.9977997668417556E-2</c:v>
                </c:pt>
                <c:pt idx="30">
                  <c:v>9.9448944724212979E-2</c:v>
                </c:pt>
                <c:pt idx="31">
                  <c:v>9.894569924070129E-2</c:v>
                </c:pt>
                <c:pt idx="32">
                  <c:v>9.8466417827833025E-2</c:v>
                </c:pt>
                <c:pt idx="33">
                  <c:v>9.8009428573702817E-2</c:v>
                </c:pt>
                <c:pt idx="34">
                  <c:v>9.7573211558396711E-2</c:v>
                </c:pt>
                <c:pt idx="35">
                  <c:v>9.7156381965993105E-2</c:v>
                </c:pt>
                <c:pt idx="36">
                  <c:v>9.6757675399346155E-2</c:v>
                </c:pt>
                <c:pt idx="37">
                  <c:v>9.6375935069577826E-2</c:v>
                </c:pt>
                <c:pt idx="38">
                  <c:v>9.6010100586883154E-2</c:v>
                </c:pt>
                <c:pt idx="39">
                  <c:v>9.5659198123890316E-2</c:v>
                </c:pt>
                <c:pt idx="40">
                  <c:v>9.5322331759417206E-2</c:v>
                </c:pt>
                <c:pt idx="41">
                  <c:v>9.4998675840609698E-2</c:v>
                </c:pt>
                <c:pt idx="42">
                  <c:v>9.4687468226371696E-2</c:v>
                </c:pt>
                <c:pt idx="43">
                  <c:v>9.4388004295689859E-2</c:v>
                </c:pt>
                <c:pt idx="44">
                  <c:v>9.4099631621699931E-2</c:v>
                </c:pt>
                <c:pt idx="45">
                  <c:v>9.3821745226764203E-2</c:v>
                </c:pt>
                <c:pt idx="46">
                  <c:v>9.3553783345933297E-2</c:v>
                </c:pt>
                <c:pt idx="47">
                  <c:v>9.3295223636359628E-2</c:v>
                </c:pt>
                <c:pt idx="48">
                  <c:v>9.3045579778840232E-2</c:v>
                </c:pt>
                <c:pt idx="49">
                  <c:v>9.2804398424965545E-2</c:v>
                </c:pt>
                <c:pt idx="50">
                  <c:v>9.2571256449553357E-2</c:v>
                </c:pt>
                <c:pt idx="51">
                  <c:v>9.234575847333501E-2</c:v>
                </c:pt>
                <c:pt idx="52">
                  <c:v>9.2127534625381771E-2</c:v>
                </c:pt>
                <c:pt idx="53">
                  <c:v>9.1916238518633397E-2</c:v>
                </c:pt>
                <c:pt idx="54">
                  <c:v>9.1711545415220905E-2</c:v>
                </c:pt>
                <c:pt idx="55">
                  <c:v>9.1513150561144174E-2</c:v>
                </c:pt>
                <c:pt idx="56">
                  <c:v>9.1320767672342512E-2</c:v>
                </c:pt>
                <c:pt idx="57">
                  <c:v>9.1134127556340899E-2</c:v>
                </c:pt>
                <c:pt idx="58">
                  <c:v>9.0952976855515788E-2</c:v>
                </c:pt>
                <c:pt idx="59">
                  <c:v>9.0777076899642151E-2</c:v>
                </c:pt>
                <c:pt idx="60">
                  <c:v>9.0606202656793464E-2</c:v>
                </c:pt>
                <c:pt idx="61">
                  <c:v>9.0440141772898275E-2</c:v>
                </c:pt>
                <c:pt idx="62">
                  <c:v>9.0278693691333484E-2</c:v>
                </c:pt>
                <c:pt idx="63">
                  <c:v>9.0121668844880071E-2</c:v>
                </c:pt>
                <c:pt idx="64">
                  <c:v>8.9968887913195655E-2</c:v>
                </c:pt>
                <c:pt idx="65">
                  <c:v>8.9820181139689509E-2</c:v>
                </c:pt>
                <c:pt idx="66">
                  <c:v>8.9675387702328246E-2</c:v>
                </c:pt>
                <c:pt idx="67">
                  <c:v>8.9534355133469884E-2</c:v>
                </c:pt>
                <c:pt idx="68">
                  <c:v>8.939693878432585E-2</c:v>
                </c:pt>
                <c:pt idx="69">
                  <c:v>8.9263001330096833E-2</c:v>
                </c:pt>
                <c:pt idx="70">
                  <c:v>8.9132412312223547E-2</c:v>
                </c:pt>
                <c:pt idx="71">
                  <c:v>8.9005047714544649E-2</c:v>
                </c:pt>
                <c:pt idx="72">
                  <c:v>8.8880789570467716E-2</c:v>
                </c:pt>
                <c:pt idx="73">
                  <c:v>8.8759525598537184E-2</c:v>
                </c:pt>
                <c:pt idx="74">
                  <c:v>8.864114886403357E-2</c:v>
                </c:pt>
                <c:pt idx="75">
                  <c:v>8.8525557464459476E-2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E-4EAE-8432-D14F5F4EB1E0}"/>
            </c:ext>
          </c:extLst>
        </c:ser>
        <c:ser>
          <c:idx val="4"/>
          <c:order val="4"/>
          <c:tx>
            <c:strRef>
              <c:f>NPpremie_inkomen!$Z$9</c:f>
              <c:strCache>
                <c:ptCount val="1"/>
                <c:pt idx="0">
                  <c:v>MvT met overbrugging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NPpremie_inkomen!$U$35:$U$110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cat>
          <c:val>
            <c:numRef>
              <c:f>NPpremie_inkomen!$Z$35:$Z$110</c:f>
              <c:numCache>
                <c:formatCode>0.00%</c:formatCode>
                <c:ptCount val="76"/>
                <c:pt idx="0">
                  <c:v>0.1339739078688503</c:v>
                </c:pt>
                <c:pt idx="1">
                  <c:v>0.1279641150961652</c:v>
                </c:pt>
                <c:pt idx="2">
                  <c:v>0.12295595445226098</c:v>
                </c:pt>
                <c:pt idx="3">
                  <c:v>0.11871828006126509</c:v>
                </c:pt>
                <c:pt idx="4">
                  <c:v>0.11508598772612574</c:v>
                </c:pt>
                <c:pt idx="5">
                  <c:v>0.11193800103567167</c:v>
                </c:pt>
                <c:pt idx="6">
                  <c:v>0.10918351268152435</c:v>
                </c:pt>
                <c:pt idx="7">
                  <c:v>0.10675308178080611</c:v>
                </c:pt>
                <c:pt idx="8">
                  <c:v>0.10459269875794547</c:v>
                </c:pt>
                <c:pt idx="9">
                  <c:v>0.1026597244743333</c:v>
                </c:pt>
                <c:pt idx="10">
                  <c:v>0.10092004761908235</c:v>
                </c:pt>
                <c:pt idx="11">
                  <c:v>9.9346054273855317E-2</c:v>
                </c:pt>
                <c:pt idx="12">
                  <c:v>9.7915151232739819E-2</c:v>
                </c:pt>
                <c:pt idx="13">
                  <c:v>9.6608674543025685E-2</c:v>
                </c:pt>
                <c:pt idx="14">
                  <c:v>9.541107091078771E-2</c:v>
                </c:pt>
                <c:pt idx="15">
                  <c:v>9.430927556912877E-2</c:v>
                </c:pt>
                <c:pt idx="16">
                  <c:v>9.329223371528976E-2</c:v>
                </c:pt>
                <c:pt idx="17">
                  <c:v>9.2350528295068457E-2</c:v>
                </c:pt>
                <c:pt idx="18">
                  <c:v>9.1476087547720103E-2</c:v>
                </c:pt>
                <c:pt idx="19">
                  <c:v>9.0661953058809558E-2</c:v>
                </c:pt>
                <c:pt idx="20">
                  <c:v>8.9902094202493066E-2</c:v>
                </c:pt>
                <c:pt idx="21">
                  <c:v>8.9191258498196979E-2</c:v>
                </c:pt>
                <c:pt idx="22">
                  <c:v>8.8524850025419377E-2</c:v>
                </c:pt>
                <c:pt idx="23">
                  <c:v>8.7898829944931353E-2</c:v>
                </c:pt>
                <c:pt idx="24">
                  <c:v>8.7309634575060274E-2</c:v>
                </c:pt>
                <c:pt idx="25">
                  <c:v>8.6754107512038964E-2</c:v>
                </c:pt>
                <c:pt idx="26">
                  <c:v>8.6229443063629951E-2</c:v>
                </c:pt>
                <c:pt idx="27">
                  <c:v>8.5733138855675475E-2</c:v>
                </c:pt>
                <c:pt idx="28">
                  <c:v>8.5262955921823869E-2</c:v>
                </c:pt>
                <c:pt idx="29">
                  <c:v>8.481688493329799E-2</c:v>
                </c:pt>
                <c:pt idx="30">
                  <c:v>8.4393117494198408E-2</c:v>
                </c:pt>
                <c:pt idx="31">
                  <c:v>8.3990021637493917E-2</c:v>
                </c:pt>
                <c:pt idx="32">
                  <c:v>8.3606120821584876E-2</c:v>
                </c:pt>
                <c:pt idx="33">
                  <c:v>8.3240075857578588E-2</c:v>
                </c:pt>
                <c:pt idx="34">
                  <c:v>8.2890669301027134E-2</c:v>
                </c:pt>
                <c:pt idx="35">
                  <c:v>8.2556791924766851E-2</c:v>
                </c:pt>
                <c:pt idx="36">
                  <c:v>8.223743095617006E-2</c:v>
                </c:pt>
                <c:pt idx="37">
                  <c:v>8.1931659816024183E-2</c:v>
                </c:pt>
                <c:pt idx="38">
                  <c:v>8.1638629140051072E-2</c:v>
                </c:pt>
                <c:pt idx="39">
                  <c:v>8.1357558899831955E-2</c:v>
                </c:pt>
                <c:pt idx="40">
                  <c:v>8.1087731469221602E-2</c:v>
                </c:pt>
                <c:pt idx="41">
                  <c:v>8.0828485506478337E-2</c:v>
                </c:pt>
                <c:pt idx="42">
                  <c:v>8.0579210542302104E-2</c:v>
                </c:pt>
                <c:pt idx="43">
                  <c:v>8.0339342180547613E-2</c:v>
                </c:pt>
                <c:pt idx="44">
                  <c:v>8.0108357832191446E-2</c:v>
                </c:pt>
                <c:pt idx="45">
                  <c:v>7.9885772914684586E-2</c:v>
                </c:pt>
                <c:pt idx="46">
                  <c:v>7.9671137458517269E-2</c:v>
                </c:pt>
                <c:pt idx="47">
                  <c:v>7.94640330709874E-2</c:v>
                </c:pt>
                <c:pt idx="48">
                  <c:v>7.9264070214061996E-2</c:v>
                </c:pt>
                <c:pt idx="49">
                  <c:v>7.9070885759066276E-2</c:v>
                </c:pt>
                <c:pt idx="50">
                  <c:v>7.888414078590375E-2</c:v>
                </c:pt>
                <c:pt idx="51">
                  <c:v>7.8703518598746552E-2</c:v>
                </c:pt>
                <c:pt idx="52">
                  <c:v>7.8528722933755707E-2</c:v>
                </c:pt>
                <c:pt idx="53">
                  <c:v>7.8359476337494738E-2</c:v>
                </c:pt>
                <c:pt idx="54">
                  <c:v>7.819551869736692E-2</c:v>
                </c:pt>
                <c:pt idx="55">
                  <c:v>7.8036605907704559E-2</c:v>
                </c:pt>
                <c:pt idx="56">
                  <c:v>7.7882508657122901E-2</c:v>
                </c:pt>
                <c:pt idx="57">
                  <c:v>7.7733011324469026E-2</c:v>
                </c:pt>
                <c:pt idx="58">
                  <c:v>7.7587910972187354E-2</c:v>
                </c:pt>
                <c:pt idx="59">
                  <c:v>7.7447016427218185E-2</c:v>
                </c:pt>
                <c:pt idx="60">
                  <c:v>7.7310147440676699E-2</c:v>
                </c:pt>
                <c:pt idx="61">
                  <c:v>7.7177133918544832E-2</c:v>
                </c:pt>
                <c:pt idx="62">
                  <c:v>7.7047815216472193E-2</c:v>
                </c:pt>
                <c:pt idx="63">
                  <c:v>7.6922039492538521E-2</c:v>
                </c:pt>
                <c:pt idx="64">
                  <c:v>7.6799663112494948E-2</c:v>
                </c:pt>
                <c:pt idx="65">
                  <c:v>7.6680550102585884E-2</c:v>
                </c:pt>
                <c:pt idx="66">
                  <c:v>7.6564571645569152E-2</c:v>
                </c:pt>
                <c:pt idx="67">
                  <c:v>7.6451605616007404E-2</c:v>
                </c:pt>
                <c:pt idx="68">
                  <c:v>7.6341536151306219E-2</c:v>
                </c:pt>
                <c:pt idx="69">
                  <c:v>7.6234253255331633E-2</c:v>
                </c:pt>
                <c:pt idx="70">
                  <c:v>7.6129652431756414E-2</c:v>
                </c:pt>
                <c:pt idx="71">
                  <c:v>7.6027634344565775E-2</c:v>
                </c:pt>
                <c:pt idx="72">
                  <c:v>7.5928104503404176E-2</c:v>
                </c:pt>
                <c:pt idx="73">
                  <c:v>7.5830972971668159E-2</c:v>
                </c:pt>
                <c:pt idx="74">
                  <c:v>7.5736154095449662E-2</c:v>
                </c:pt>
                <c:pt idx="75">
                  <c:v>7.5643566251612782E-2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E-4EAE-8432-D14F5F4EB1E0}"/>
            </c:ext>
          </c:extLst>
        </c:ser>
        <c:ser>
          <c:idx val="5"/>
          <c:order val="5"/>
          <c:tx>
            <c:strRef>
              <c:f>NPpremie_inkomen!$AA$9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NPpremie_inkomen!$U$35:$U$110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cat>
          <c:val>
            <c:numRef>
              <c:f>NPpremie_inkomen!$AA$35:$AA$110</c:f>
              <c:numCache>
                <c:formatCode>0.00%</c:formatCode>
                <c:ptCount val="76"/>
                <c:pt idx="0">
                  <c:v>8.5471476968440929E-2</c:v>
                </c:pt>
                <c:pt idx="1">
                  <c:v>8.2945677273775761E-2</c:v>
                </c:pt>
                <c:pt idx="2">
                  <c:v>8.0840844194888115E-2</c:v>
                </c:pt>
                <c:pt idx="3">
                  <c:v>7.9059831589675486E-2</c:v>
                </c:pt>
                <c:pt idx="4">
                  <c:v>7.753324935663608E-2</c:v>
                </c:pt>
                <c:pt idx="5">
                  <c:v>7.6210211421335286E-2</c:v>
                </c:pt>
                <c:pt idx="6">
                  <c:v>7.5052553227947072E-2</c:v>
                </c:pt>
                <c:pt idx="7">
                  <c:v>7.4031090116133957E-2</c:v>
                </c:pt>
                <c:pt idx="8">
                  <c:v>7.3123122905633414E-2</c:v>
                </c:pt>
                <c:pt idx="9">
                  <c:v>7.2310731190975017E-2</c:v>
                </c:pt>
                <c:pt idx="10">
                  <c:v>7.1579578647782457E-2</c:v>
                </c:pt>
                <c:pt idx="11">
                  <c:v>7.0918059680132053E-2</c:v>
                </c:pt>
                <c:pt idx="12">
                  <c:v>7.0316678800449867E-2</c:v>
                </c:pt>
                <c:pt idx="13">
                  <c:v>6.9767591910305266E-2</c:v>
                </c:pt>
                <c:pt idx="14">
                  <c:v>6.9264262261006043E-2</c:v>
                </c:pt>
                <c:pt idx="15">
                  <c:v>6.8801198983650766E-2</c:v>
                </c:pt>
                <c:pt idx="16">
                  <c:v>6.8373755958399729E-2</c:v>
                </c:pt>
                <c:pt idx="17">
                  <c:v>6.7977975379463595E-2</c:v>
                </c:pt>
                <c:pt idx="18">
                  <c:v>6.7610464841880047E-2</c:v>
                </c:pt>
                <c:pt idx="19">
                  <c:v>6.7268299858612587E-2</c:v>
                </c:pt>
                <c:pt idx="20">
                  <c:v>6.6948945874229643E-2</c:v>
                </c:pt>
                <c:pt idx="21">
                  <c:v>6.6650195372710108E-2</c:v>
                </c:pt>
                <c:pt idx="22">
                  <c:v>6.6370116777535529E-2</c:v>
                </c:pt>
                <c:pt idx="23">
                  <c:v>6.6107012642674573E-2</c:v>
                </c:pt>
                <c:pt idx="24">
                  <c:v>6.5859385221628972E-2</c:v>
                </c:pt>
                <c:pt idx="25">
                  <c:v>6.5625907938928835E-2</c:v>
                </c:pt>
                <c:pt idx="26">
                  <c:v>6.54054016163787E-2</c:v>
                </c:pt>
                <c:pt idx="27">
                  <c:v>6.5196814554506946E-2</c:v>
                </c:pt>
                <c:pt idx="28">
                  <c:v>6.4999205759049494E-2</c:v>
                </c:pt>
                <c:pt idx="29">
                  <c:v>6.4811730747974486E-2</c:v>
                </c:pt>
                <c:pt idx="30">
                  <c:v>6.4633629487453229E-2</c:v>
                </c:pt>
                <c:pt idx="31">
                  <c:v>6.4464216093298859E-2</c:v>
                </c:pt>
                <c:pt idx="32">
                  <c:v>6.4302870003628027E-2</c:v>
                </c:pt>
                <c:pt idx="33">
                  <c:v>6.4149028383244211E-2</c:v>
                </c:pt>
                <c:pt idx="34">
                  <c:v>6.4002179563786926E-2</c:v>
                </c:pt>
                <c:pt idx="35">
                  <c:v>6.3861857358527757E-2</c:v>
                </c:pt>
                <c:pt idx="36">
                  <c:v>6.3727636118714626E-2</c:v>
                </c:pt>
                <c:pt idx="37">
                  <c:v>6.359912642102121E-2</c:v>
                </c:pt>
                <c:pt idx="38">
                  <c:v>6.3475971294065014E-2</c:v>
                </c:pt>
                <c:pt idx="39">
                  <c:v>6.3357842906984596E-2</c:v>
                </c:pt>
                <c:pt idx="40">
                  <c:v>6.3244439655387369E-2</c:v>
                </c:pt>
                <c:pt idx="41">
                  <c:v>6.3135483590127314E-2</c:v>
                </c:pt>
                <c:pt idx="42">
                  <c:v>6.3030718142761857E-2</c:v>
                </c:pt>
                <c:pt idx="43">
                  <c:v>6.2929906108504546E-2</c:v>
                </c:pt>
                <c:pt idx="44">
                  <c:v>6.2832827853293791E-2</c:v>
                </c:pt>
                <c:pt idx="45">
                  <c:v>6.2739279716454349E-2</c:v>
                </c:pt>
                <c:pt idx="46">
                  <c:v>6.2649072584502016E-2</c:v>
                </c:pt>
                <c:pt idx="47">
                  <c:v>6.2562030615074329E-2</c:v>
                </c:pt>
                <c:pt idx="48">
                  <c:v>6.2477990092868294E-2</c:v>
                </c:pt>
                <c:pt idx="49">
                  <c:v>6.239679840192347E-2</c:v>
                </c:pt>
                <c:pt idx="50">
                  <c:v>6.2318313100676814E-2</c:v>
                </c:pt>
                <c:pt idx="51">
                  <c:v>6.224240108799562E-2</c:v>
                </c:pt>
                <c:pt idx="52">
                  <c:v>6.2168937849917047E-2</c:v>
                </c:pt>
                <c:pt idx="53">
                  <c:v>6.209780677812668E-2</c:v>
                </c:pt>
                <c:pt idx="54">
                  <c:v>6.2028898552329764E-2</c:v>
                </c:pt>
                <c:pt idx="55">
                  <c:v>6.1962110579634286E-2</c:v>
                </c:pt>
                <c:pt idx="56">
                  <c:v>6.1897346484899279E-2</c:v>
                </c:pt>
                <c:pt idx="57">
                  <c:v>6.1834515646723529E-2</c:v>
                </c:pt>
                <c:pt idx="58">
                  <c:v>6.1773532774376486E-2</c:v>
                </c:pt>
                <c:pt idx="59">
                  <c:v>6.171431752151775E-2</c:v>
                </c:pt>
                <c:pt idx="60">
                  <c:v>6.165679413302641E-2</c:v>
                </c:pt>
                <c:pt idx="61">
                  <c:v>6.1600891121675674E-2</c:v>
                </c:pt>
                <c:pt idx="62">
                  <c:v>6.1546540971751343E-2</c:v>
                </c:pt>
                <c:pt idx="63">
                  <c:v>6.1493679867030415E-2</c:v>
                </c:pt>
                <c:pt idx="64">
                  <c:v>6.1442247440815466E-2</c:v>
                </c:pt>
                <c:pt idx="65">
                  <c:v>6.1392186545966246E-2</c:v>
                </c:pt>
                <c:pt idx="66">
                  <c:v>6.134344304308674E-2</c:v>
                </c:pt>
                <c:pt idx="67">
                  <c:v>6.12959656052171E-2</c:v>
                </c:pt>
                <c:pt idx="68">
                  <c:v>6.1249705537549243E-2</c:v>
                </c:pt>
                <c:pt idx="69">
                  <c:v>6.1204616610834997E-2</c:v>
                </c:pt>
                <c:pt idx="70">
                  <c:v>6.1160654907288607E-2</c:v>
                </c:pt>
                <c:pt idx="71">
                  <c:v>6.1117778677903856E-2</c:v>
                </c:pt>
                <c:pt idx="72">
                  <c:v>6.1075948210211423E-2</c:v>
                </c:pt>
                <c:pt idx="73">
                  <c:v>6.1035125705595911E-2</c:v>
                </c:pt>
                <c:pt idx="74">
                  <c:v>6.0995275165376006E-2</c:v>
                </c:pt>
                <c:pt idx="75">
                  <c:v>6.0956362284925986E-2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E-4EAE-8432-D14F5F4EB1E0}"/>
            </c:ext>
          </c:extLst>
        </c:ser>
        <c:ser>
          <c:idx val="6"/>
          <c:order val="6"/>
          <c:tx>
            <c:strRef>
              <c:f>NPpremie_inkomen!$AB$9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NPpremie_inkomen!$U$35:$U$110</c:f>
              <c:numCache>
                <c:formatCode>General</c:formatCode>
                <c:ptCount val="7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</c:numCache>
            </c:numRef>
          </c:cat>
          <c:val>
            <c:numRef>
              <c:f>NPpremie_inkomen!$AB$35:$AB$110</c:f>
              <c:numCache>
                <c:formatCode>0.00%</c:formatCode>
                <c:ptCount val="76"/>
                <c:pt idx="0">
                  <c:v>6.3138163910808953E-2</c:v>
                </c:pt>
                <c:pt idx="1">
                  <c:v>6.2101236387510694E-2</c:v>
                </c:pt>
                <c:pt idx="2">
                  <c:v>6.1237130118095472E-2</c:v>
                </c:pt>
                <c:pt idx="3">
                  <c:v>6.0505963274744126E-2</c:v>
                </c:pt>
                <c:pt idx="4">
                  <c:v>5.987924883758583E-2</c:v>
                </c:pt>
                <c:pt idx="5">
                  <c:v>5.9336096325381976E-2</c:v>
                </c:pt>
                <c:pt idx="6">
                  <c:v>5.8860837877203608E-2</c:v>
                </c:pt>
                <c:pt idx="7">
                  <c:v>5.8441492187634454E-2</c:v>
                </c:pt>
                <c:pt idx="8">
                  <c:v>5.8068740463572986E-2</c:v>
                </c:pt>
                <c:pt idx="9">
                  <c:v>5.7735225763096934E-2</c:v>
                </c:pt>
                <c:pt idx="10">
                  <c:v>5.7435062532668488E-2</c:v>
                </c:pt>
                <c:pt idx="11">
                  <c:v>5.7163486276566561E-2</c:v>
                </c:pt>
                <c:pt idx="12">
                  <c:v>5.6916598771019358E-2</c:v>
                </c:pt>
                <c:pt idx="13">
                  <c:v>5.6691179744215385E-2</c:v>
                </c:pt>
                <c:pt idx="14">
                  <c:v>5.6484545636311743E-2</c:v>
                </c:pt>
                <c:pt idx="15">
                  <c:v>5.6294442257040396E-2</c:v>
                </c:pt>
                <c:pt idx="16">
                  <c:v>5.6118962214636067E-2</c:v>
                </c:pt>
                <c:pt idx="17">
                  <c:v>5.5956480693891329E-2</c:v>
                </c:pt>
                <c:pt idx="18">
                  <c:v>5.5805604996056926E-2</c:v>
                </c:pt>
                <c:pt idx="19">
                  <c:v>5.5665134518762829E-2</c:v>
                </c:pt>
                <c:pt idx="20">
                  <c:v>5.5534028739954999E-2</c:v>
                </c:pt>
                <c:pt idx="21">
                  <c:v>5.5411381398489612E-2</c:v>
                </c:pt>
                <c:pt idx="22">
                  <c:v>5.5296399515865811E-2</c:v>
                </c:pt>
                <c:pt idx="23">
                  <c:v>5.5188386232188906E-2</c:v>
                </c:pt>
                <c:pt idx="24">
                  <c:v>5.5086726671081235E-2</c:v>
                </c:pt>
                <c:pt idx="25">
                  <c:v>5.4990876227751145E-2</c:v>
                </c:pt>
                <c:pt idx="26">
                  <c:v>5.4900350809050501E-2</c:v>
                </c:pt>
                <c:pt idx="27">
                  <c:v>5.4814718656225572E-2</c:v>
                </c:pt>
                <c:pt idx="28">
                  <c:v>5.4733593458812478E-2</c:v>
                </c:pt>
                <c:pt idx="29">
                  <c:v>5.465662852793339E-2</c:v>
                </c:pt>
                <c:pt idx="30">
                  <c:v>5.4583511843598255E-2</c:v>
                </c:pt>
                <c:pt idx="31">
                  <c:v>5.4513961826791663E-2</c:v>
                </c:pt>
                <c:pt idx="32">
                  <c:v>5.4447723715547292E-2</c:v>
                </c:pt>
                <c:pt idx="33">
                  <c:v>5.4384566446686378E-2</c:v>
                </c:pt>
                <c:pt idx="34">
                  <c:v>5.4324279962773683E-2</c:v>
                </c:pt>
                <c:pt idx="35">
                  <c:v>5.4266672878146002E-2</c:v>
                </c:pt>
                <c:pt idx="36">
                  <c:v>5.42115704493717E-2</c:v>
                </c:pt>
                <c:pt idx="37">
                  <c:v>5.415881280480056E-2</c:v>
                </c:pt>
                <c:pt idx="38">
                  <c:v>5.4108253395419879E-2</c:v>
                </c:pt>
                <c:pt idx="39">
                  <c:v>5.4059757635401676E-2</c:v>
                </c:pt>
                <c:pt idx="40">
                  <c:v>5.4013201705784206E-2</c:v>
                </c:pt>
                <c:pt idx="41">
                  <c:v>5.3968471498896831E-2</c:v>
                </c:pt>
                <c:pt idx="42">
                  <c:v>5.3925461684582045E-2</c:v>
                </c:pt>
                <c:pt idx="43">
                  <c:v>5.3884074882128194E-2</c:v>
                </c:pt>
                <c:pt idx="44">
                  <c:v>5.3844220924209672E-2</c:v>
                </c:pt>
                <c:pt idx="45">
                  <c:v>5.3805816201124554E-2</c:v>
                </c:pt>
                <c:pt idx="46">
                  <c:v>5.3768783075292467E-2</c:v>
                </c:pt>
                <c:pt idx="47">
                  <c:v>5.3733049357384322E-2</c:v>
                </c:pt>
                <c:pt idx="48">
                  <c:v>5.3698547836645419E-2</c:v>
                </c:pt>
                <c:pt idx="49">
                  <c:v>5.3665215858982415E-2</c:v>
                </c:pt>
                <c:pt idx="50">
                  <c:v>5.3632994947241511E-2</c:v>
                </c:pt>
                <c:pt idx="51">
                  <c:v>5.3601830458836368E-2</c:v>
                </c:pt>
                <c:pt idx="52">
                  <c:v>5.3571671276508817E-2</c:v>
                </c:pt>
                <c:pt idx="53">
                  <c:v>5.3542469528540866E-2</c:v>
                </c:pt>
                <c:pt idx="54">
                  <c:v>5.3514180335196913E-2</c:v>
                </c:pt>
                <c:pt idx="55">
                  <c:v>5.348676157857124E-2</c:v>
                </c:pt>
                <c:pt idx="56">
                  <c:v>5.3460173693358468E-2</c:v>
                </c:pt>
                <c:pt idx="57">
                  <c:v>5.3434379476360996E-2</c:v>
                </c:pt>
                <c:pt idx="58">
                  <c:v>5.3409343912804629E-2</c:v>
                </c:pt>
                <c:pt idx="59">
                  <c:v>5.3385034017757141E-2</c:v>
                </c:pt>
                <c:pt idx="60">
                  <c:v>5.3361418691139584E-2</c:v>
                </c:pt>
                <c:pt idx="61">
                  <c:v>5.3338468584990126E-2</c:v>
                </c:pt>
                <c:pt idx="62">
                  <c:v>5.3316155981789258E-2</c:v>
                </c:pt>
                <c:pt idx="63">
                  <c:v>5.329445468278568E-2</c:v>
                </c:pt>
                <c:pt idx="64">
                  <c:v>5.327333990537679E-2</c:v>
                </c:pt>
                <c:pt idx="65">
                  <c:v>5.3252788188698809E-2</c:v>
                </c:pt>
                <c:pt idx="66">
                  <c:v>5.3232777306670247E-2</c:v>
                </c:pt>
                <c:pt idx="67">
                  <c:v>5.3213286187811258E-2</c:v>
                </c:pt>
                <c:pt idx="68">
                  <c:v>5.3194294841230699E-2</c:v>
                </c:pt>
                <c:pt idx="69">
                  <c:v>5.3175784288234468E-2</c:v>
                </c:pt>
                <c:pt idx="70">
                  <c:v>5.3157736499063135E-2</c:v>
                </c:pt>
                <c:pt idx="71">
                  <c:v>5.3140134334315789E-2</c:v>
                </c:pt>
                <c:pt idx="72">
                  <c:v>5.3122961490659842E-2</c:v>
                </c:pt>
                <c:pt idx="73">
                  <c:v>5.3106202450465483E-2</c:v>
                </c:pt>
                <c:pt idx="74">
                  <c:v>5.3089842435037657E-2</c:v>
                </c:pt>
                <c:pt idx="75">
                  <c:v>5.3073867361149302E-2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E-4EAE-8432-D14F5F4E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0319056"/>
        <c:axId val="202032238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NPpremie_inkomen!$Y$9</c15:sqref>
                        </c15:formulaRef>
                      </c:ext>
                    </c:extLst>
                    <c:strCache>
                      <c:ptCount val="1"/>
                      <c:pt idx="0">
                        <c:v>MvT_x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NPpremie_inkomen!$U$35:$U$110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27</c:v>
                      </c:pt>
                      <c:pt idx="3">
                        <c:v>28</c:v>
                      </c:pt>
                      <c:pt idx="4">
                        <c:v>29</c:v>
                      </c:pt>
                      <c:pt idx="5">
                        <c:v>30</c:v>
                      </c:pt>
                      <c:pt idx="6">
                        <c:v>31</c:v>
                      </c:pt>
                      <c:pt idx="7">
                        <c:v>32</c:v>
                      </c:pt>
                      <c:pt idx="8">
                        <c:v>33</c:v>
                      </c:pt>
                      <c:pt idx="9">
                        <c:v>34</c:v>
                      </c:pt>
                      <c:pt idx="10">
                        <c:v>35</c:v>
                      </c:pt>
                      <c:pt idx="11">
                        <c:v>36</c:v>
                      </c:pt>
                      <c:pt idx="12">
                        <c:v>37</c:v>
                      </c:pt>
                      <c:pt idx="13">
                        <c:v>38</c:v>
                      </c:pt>
                      <c:pt idx="14">
                        <c:v>39</c:v>
                      </c:pt>
                      <c:pt idx="15">
                        <c:v>40</c:v>
                      </c:pt>
                      <c:pt idx="16">
                        <c:v>41</c:v>
                      </c:pt>
                      <c:pt idx="17">
                        <c:v>42</c:v>
                      </c:pt>
                      <c:pt idx="18">
                        <c:v>43</c:v>
                      </c:pt>
                      <c:pt idx="19">
                        <c:v>44</c:v>
                      </c:pt>
                      <c:pt idx="20">
                        <c:v>45</c:v>
                      </c:pt>
                      <c:pt idx="21">
                        <c:v>46</c:v>
                      </c:pt>
                      <c:pt idx="22">
                        <c:v>47</c:v>
                      </c:pt>
                      <c:pt idx="23">
                        <c:v>48</c:v>
                      </c:pt>
                      <c:pt idx="24">
                        <c:v>49</c:v>
                      </c:pt>
                      <c:pt idx="25">
                        <c:v>50</c:v>
                      </c:pt>
                      <c:pt idx="26">
                        <c:v>51</c:v>
                      </c:pt>
                      <c:pt idx="27">
                        <c:v>52</c:v>
                      </c:pt>
                      <c:pt idx="28">
                        <c:v>53</c:v>
                      </c:pt>
                      <c:pt idx="29">
                        <c:v>54</c:v>
                      </c:pt>
                      <c:pt idx="30">
                        <c:v>55</c:v>
                      </c:pt>
                      <c:pt idx="31">
                        <c:v>56</c:v>
                      </c:pt>
                      <c:pt idx="32">
                        <c:v>57</c:v>
                      </c:pt>
                      <c:pt idx="33">
                        <c:v>58</c:v>
                      </c:pt>
                      <c:pt idx="34">
                        <c:v>59</c:v>
                      </c:pt>
                      <c:pt idx="35">
                        <c:v>60</c:v>
                      </c:pt>
                      <c:pt idx="36">
                        <c:v>61</c:v>
                      </c:pt>
                      <c:pt idx="37">
                        <c:v>62</c:v>
                      </c:pt>
                      <c:pt idx="38">
                        <c:v>63</c:v>
                      </c:pt>
                      <c:pt idx="39">
                        <c:v>64</c:v>
                      </c:pt>
                      <c:pt idx="40">
                        <c:v>65</c:v>
                      </c:pt>
                      <c:pt idx="41">
                        <c:v>66</c:v>
                      </c:pt>
                      <c:pt idx="42">
                        <c:v>67</c:v>
                      </c:pt>
                      <c:pt idx="43">
                        <c:v>68</c:v>
                      </c:pt>
                      <c:pt idx="44">
                        <c:v>69</c:v>
                      </c:pt>
                      <c:pt idx="45">
                        <c:v>70</c:v>
                      </c:pt>
                      <c:pt idx="46">
                        <c:v>71</c:v>
                      </c:pt>
                      <c:pt idx="47">
                        <c:v>72</c:v>
                      </c:pt>
                      <c:pt idx="48">
                        <c:v>73</c:v>
                      </c:pt>
                      <c:pt idx="49">
                        <c:v>74</c:v>
                      </c:pt>
                      <c:pt idx="50">
                        <c:v>75</c:v>
                      </c:pt>
                      <c:pt idx="51">
                        <c:v>76</c:v>
                      </c:pt>
                      <c:pt idx="52">
                        <c:v>77</c:v>
                      </c:pt>
                      <c:pt idx="53">
                        <c:v>78</c:v>
                      </c:pt>
                      <c:pt idx="54">
                        <c:v>79</c:v>
                      </c:pt>
                      <c:pt idx="55">
                        <c:v>80</c:v>
                      </c:pt>
                      <c:pt idx="56">
                        <c:v>81</c:v>
                      </c:pt>
                      <c:pt idx="57">
                        <c:v>82</c:v>
                      </c:pt>
                      <c:pt idx="58">
                        <c:v>83</c:v>
                      </c:pt>
                      <c:pt idx="59">
                        <c:v>84</c:v>
                      </c:pt>
                      <c:pt idx="60">
                        <c:v>85</c:v>
                      </c:pt>
                      <c:pt idx="61">
                        <c:v>86</c:v>
                      </c:pt>
                      <c:pt idx="62">
                        <c:v>87</c:v>
                      </c:pt>
                      <c:pt idx="63">
                        <c:v>88</c:v>
                      </c:pt>
                      <c:pt idx="64">
                        <c:v>89</c:v>
                      </c:pt>
                      <c:pt idx="65">
                        <c:v>90</c:v>
                      </c:pt>
                      <c:pt idx="66">
                        <c:v>91</c:v>
                      </c:pt>
                      <c:pt idx="67">
                        <c:v>92</c:v>
                      </c:pt>
                      <c:pt idx="68">
                        <c:v>93</c:v>
                      </c:pt>
                      <c:pt idx="69">
                        <c:v>94</c:v>
                      </c:pt>
                      <c:pt idx="70">
                        <c:v>95</c:v>
                      </c:pt>
                      <c:pt idx="71">
                        <c:v>96</c:v>
                      </c:pt>
                      <c:pt idx="72">
                        <c:v>97</c:v>
                      </c:pt>
                      <c:pt idx="73">
                        <c:v>98</c:v>
                      </c:pt>
                      <c:pt idx="74">
                        <c:v>99</c:v>
                      </c:pt>
                      <c:pt idx="75">
                        <c:v>100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NPpremie_inkomen!$Y$35:$Y$110</c15:sqref>
                        </c15:formulaRef>
                      </c:ext>
                    </c:extLst>
                    <c:numCache>
                      <c:formatCode>0.00%</c:formatCode>
                      <c:ptCount val="76"/>
                      <c:pt idx="0">
                        <c:v>0.16134813919614951</c:v>
                      </c:pt>
                      <c:pt idx="1">
                        <c:v>0.15384520653288447</c:v>
                      </c:pt>
                      <c:pt idx="2">
                        <c:v>0.1475927626468303</c:v>
                      </c:pt>
                      <c:pt idx="3">
                        <c:v>0.14230223320478441</c:v>
                      </c:pt>
                      <c:pt idx="4">
                        <c:v>0.13776749368303082</c:v>
                      </c:pt>
                      <c:pt idx="5">
                        <c:v>0.13383738609751106</c:v>
                      </c:pt>
                      <c:pt idx="6">
                        <c:v>0.13039854196018125</c:v>
                      </c:pt>
                      <c:pt idx="7">
                        <c:v>0.12736426772136084</c:v>
                      </c:pt>
                      <c:pt idx="8">
                        <c:v>0.12466713506463156</c:v>
                      </c:pt>
                      <c:pt idx="9">
                        <c:v>0.12225391110861064</c:v>
                      </c:pt>
                      <c:pt idx="10">
                        <c:v>0.12008200954819181</c:v>
                      </c:pt>
                      <c:pt idx="11">
                        <c:v>0.11811695575543192</c:v>
                      </c:pt>
                      <c:pt idx="12">
                        <c:v>0.11633054321655931</c:v>
                      </c:pt>
                      <c:pt idx="13">
                        <c:v>0.11469947089845819</c:v>
                      </c:pt>
                      <c:pt idx="14">
                        <c:v>0.11320432127353219</c:v>
                      </c:pt>
                      <c:pt idx="15">
                        <c:v>0.11182878361860027</c:v>
                      </c:pt>
                      <c:pt idx="16">
                        <c:v>0.11055905655250928</c:v>
                      </c:pt>
                      <c:pt idx="17">
                        <c:v>0.10938338334316575</c:v>
                      </c:pt>
                      <c:pt idx="18">
                        <c:v>0.10829168679163248</c:v>
                      </c:pt>
                      <c:pt idx="19">
                        <c:v>0.10727527965744632</c:v>
                      </c:pt>
                      <c:pt idx="20">
                        <c:v>0.10632663299887259</c:v>
                      </c:pt>
                      <c:pt idx="21">
                        <c:v>0.10543918935052941</c:v>
                      </c:pt>
                      <c:pt idx="22">
                        <c:v>0.10460721093020767</c:v>
                      </c:pt>
                      <c:pt idx="23">
                        <c:v>0.1038256554444509</c:v>
                      </c:pt>
                      <c:pt idx="24">
                        <c:v>0.10309007381079746</c:v>
                      </c:pt>
                      <c:pt idx="25">
                        <c:v>0.10239652541335281</c:v>
                      </c:pt>
                      <c:pt idx="26">
                        <c:v>0.10174150748243284</c:v>
                      </c:pt>
                      <c:pt idx="27">
                        <c:v>0.1011218959261572</c:v>
                      </c:pt>
                      <c:pt idx="28">
                        <c:v>0.10053489550442238</c:v>
                      </c:pt>
                      <c:pt idx="29">
                        <c:v>9.9977997668417556E-2</c:v>
                      </c:pt>
                      <c:pt idx="30">
                        <c:v>9.9448944724212979E-2</c:v>
                      </c:pt>
                      <c:pt idx="31">
                        <c:v>9.894569924070129E-2</c:v>
                      </c:pt>
                      <c:pt idx="32">
                        <c:v>9.8466417827833025E-2</c:v>
                      </c:pt>
                      <c:pt idx="33">
                        <c:v>9.8009428573702817E-2</c:v>
                      </c:pt>
                      <c:pt idx="34">
                        <c:v>9.7573211558396711E-2</c:v>
                      </c:pt>
                      <c:pt idx="35">
                        <c:v>9.7156381965993105E-2</c:v>
                      </c:pt>
                      <c:pt idx="36">
                        <c:v>9.6757675399346155E-2</c:v>
                      </c:pt>
                      <c:pt idx="37">
                        <c:v>9.6375935069577826E-2</c:v>
                      </c:pt>
                      <c:pt idx="38">
                        <c:v>9.6010100586883154E-2</c:v>
                      </c:pt>
                      <c:pt idx="39">
                        <c:v>9.5659198123890316E-2</c:v>
                      </c:pt>
                      <c:pt idx="40">
                        <c:v>9.5322331759417206E-2</c:v>
                      </c:pt>
                      <c:pt idx="41">
                        <c:v>9.4998675840609698E-2</c:v>
                      </c:pt>
                      <c:pt idx="42">
                        <c:v>9.4687468226371696E-2</c:v>
                      </c:pt>
                      <c:pt idx="43">
                        <c:v>9.4388004295689859E-2</c:v>
                      </c:pt>
                      <c:pt idx="44">
                        <c:v>9.4099631621699931E-2</c:v>
                      </c:pt>
                      <c:pt idx="45">
                        <c:v>9.3821745226764203E-2</c:v>
                      </c:pt>
                      <c:pt idx="46">
                        <c:v>9.3553783345933297E-2</c:v>
                      </c:pt>
                      <c:pt idx="47">
                        <c:v>9.3295223636359628E-2</c:v>
                      </c:pt>
                      <c:pt idx="48">
                        <c:v>9.3045579778840232E-2</c:v>
                      </c:pt>
                      <c:pt idx="49">
                        <c:v>9.2804398424965545E-2</c:v>
                      </c:pt>
                      <c:pt idx="50">
                        <c:v>9.2571256449553357E-2</c:v>
                      </c:pt>
                      <c:pt idx="51">
                        <c:v>9.234575847333501E-2</c:v>
                      </c:pt>
                      <c:pt idx="52">
                        <c:v>9.2127534625381771E-2</c:v>
                      </c:pt>
                      <c:pt idx="53">
                        <c:v>9.1916238518633397E-2</c:v>
                      </c:pt>
                      <c:pt idx="54">
                        <c:v>9.1711545415220905E-2</c:v>
                      </c:pt>
                      <c:pt idx="55">
                        <c:v>9.1513150561144174E-2</c:v>
                      </c:pt>
                      <c:pt idx="56">
                        <c:v>9.1320767672342512E-2</c:v>
                      </c:pt>
                      <c:pt idx="57">
                        <c:v>9.1134127556340899E-2</c:v>
                      </c:pt>
                      <c:pt idx="58">
                        <c:v>9.0952976855515788E-2</c:v>
                      </c:pt>
                      <c:pt idx="59">
                        <c:v>9.0777076899642151E-2</c:v>
                      </c:pt>
                      <c:pt idx="60">
                        <c:v>9.0606202656793464E-2</c:v>
                      </c:pt>
                      <c:pt idx="61">
                        <c:v>9.0440141772898275E-2</c:v>
                      </c:pt>
                      <c:pt idx="62">
                        <c:v>9.0278693691333484E-2</c:v>
                      </c:pt>
                      <c:pt idx="63">
                        <c:v>9.0121668844880071E-2</c:v>
                      </c:pt>
                      <c:pt idx="64">
                        <c:v>8.9968887913195655E-2</c:v>
                      </c:pt>
                      <c:pt idx="65">
                        <c:v>8.9820181139689509E-2</c:v>
                      </c:pt>
                      <c:pt idx="66">
                        <c:v>8.9675387702328246E-2</c:v>
                      </c:pt>
                      <c:pt idx="67">
                        <c:v>8.9534355133469884E-2</c:v>
                      </c:pt>
                      <c:pt idx="68">
                        <c:v>8.939693878432585E-2</c:v>
                      </c:pt>
                      <c:pt idx="69">
                        <c:v>8.9263001330096833E-2</c:v>
                      </c:pt>
                      <c:pt idx="70">
                        <c:v>8.9132412312223547E-2</c:v>
                      </c:pt>
                      <c:pt idx="71">
                        <c:v>8.9005047714544649E-2</c:v>
                      </c:pt>
                      <c:pt idx="72">
                        <c:v>8.8880789570467716E-2</c:v>
                      </c:pt>
                      <c:pt idx="73">
                        <c:v>8.8759525598537184E-2</c:v>
                      </c:pt>
                      <c:pt idx="74">
                        <c:v>8.864114886403357E-2</c:v>
                      </c:pt>
                      <c:pt idx="75">
                        <c:v>8.8525557464459476E-2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D2E-4EAE-8432-D14F5F4EB1E0}"/>
                  </c:ext>
                </c:extLst>
              </c15:ser>
            </c15:filteredLineSeries>
          </c:ext>
        </c:extLst>
      </c:lineChart>
      <c:catAx>
        <c:axId val="202031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20322384"/>
        <c:crosses val="autoZero"/>
        <c:auto val="1"/>
        <c:lblAlgn val="ctr"/>
        <c:lblOffset val="100"/>
        <c:tickLblSkip val="5"/>
        <c:noMultiLvlLbl val="0"/>
      </c:catAx>
      <c:valAx>
        <c:axId val="202032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2031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NPpremie_inkomen!$C$8</c:f>
          <c:strCache>
            <c:ptCount val="1"/>
            <c:pt idx="0">
              <c:v>Uitkeringsregeling (DSS)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NPpremie_inkomen!$C$8:$C$9</c:f>
              <c:strCache>
                <c:ptCount val="2"/>
                <c:pt idx="0">
                  <c:v>Uitkeringsregeling (DSS)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NPpremie_inkomen!$C$10:$C$110</c:f>
              <c:numCache>
                <c:formatCode>0.00%</c:formatCode>
                <c:ptCount val="101"/>
                <c:pt idx="0">
                  <c:v>4.1604018361135066E-2</c:v>
                </c:pt>
                <c:pt idx="1">
                  <c:v>4.1604018361135066E-2</c:v>
                </c:pt>
                <c:pt idx="2">
                  <c:v>4.1604018361135066E-2</c:v>
                </c:pt>
                <c:pt idx="3">
                  <c:v>4.1604018361135066E-2</c:v>
                </c:pt>
                <c:pt idx="4">
                  <c:v>4.1604018361135066E-2</c:v>
                </c:pt>
                <c:pt idx="5">
                  <c:v>4.1604018361135066E-2</c:v>
                </c:pt>
                <c:pt idx="6">
                  <c:v>4.1604018361135066E-2</c:v>
                </c:pt>
                <c:pt idx="7">
                  <c:v>4.1604018361135066E-2</c:v>
                </c:pt>
                <c:pt idx="8">
                  <c:v>4.1604018361135066E-2</c:v>
                </c:pt>
                <c:pt idx="9">
                  <c:v>4.1604018361135066E-2</c:v>
                </c:pt>
                <c:pt idx="10">
                  <c:v>4.1604018361135066E-2</c:v>
                </c:pt>
                <c:pt idx="11">
                  <c:v>4.1604018361135066E-2</c:v>
                </c:pt>
                <c:pt idx="12">
                  <c:v>4.1604018361135066E-2</c:v>
                </c:pt>
                <c:pt idx="13">
                  <c:v>4.1604018361135066E-2</c:v>
                </c:pt>
                <c:pt idx="14">
                  <c:v>4.1604018361135066E-2</c:v>
                </c:pt>
                <c:pt idx="15">
                  <c:v>4.1604018361135066E-2</c:v>
                </c:pt>
                <c:pt idx="16">
                  <c:v>4.1604018361135066E-2</c:v>
                </c:pt>
                <c:pt idx="17">
                  <c:v>4.1604018361135066E-2</c:v>
                </c:pt>
                <c:pt idx="18">
                  <c:v>4.1604018361135066E-2</c:v>
                </c:pt>
                <c:pt idx="19">
                  <c:v>4.1604018361135066E-2</c:v>
                </c:pt>
                <c:pt idx="20">
                  <c:v>4.1604018361135066E-2</c:v>
                </c:pt>
                <c:pt idx="21">
                  <c:v>4.1604018361135066E-2</c:v>
                </c:pt>
                <c:pt idx="22">
                  <c:v>4.1604018361135066E-2</c:v>
                </c:pt>
                <c:pt idx="23">
                  <c:v>4.1604018361135066E-2</c:v>
                </c:pt>
                <c:pt idx="24">
                  <c:v>4.1604018361135066E-2</c:v>
                </c:pt>
                <c:pt idx="25">
                  <c:v>4.1604018361135066E-2</c:v>
                </c:pt>
                <c:pt idx="26">
                  <c:v>4.1604018361135066E-2</c:v>
                </c:pt>
                <c:pt idx="27">
                  <c:v>4.1604018361135066E-2</c:v>
                </c:pt>
                <c:pt idx="28">
                  <c:v>4.1604018361135066E-2</c:v>
                </c:pt>
                <c:pt idx="29">
                  <c:v>4.1604018361135066E-2</c:v>
                </c:pt>
                <c:pt idx="30">
                  <c:v>4.1604018361135066E-2</c:v>
                </c:pt>
                <c:pt idx="31">
                  <c:v>4.1604018361135066E-2</c:v>
                </c:pt>
                <c:pt idx="32">
                  <c:v>4.1604018361135066E-2</c:v>
                </c:pt>
                <c:pt idx="33">
                  <c:v>4.1604018361135066E-2</c:v>
                </c:pt>
                <c:pt idx="34">
                  <c:v>4.1604018361135066E-2</c:v>
                </c:pt>
                <c:pt idx="35">
                  <c:v>4.1604018361135066E-2</c:v>
                </c:pt>
                <c:pt idx="36">
                  <c:v>4.1604018361135066E-2</c:v>
                </c:pt>
                <c:pt idx="37">
                  <c:v>4.1604018361135066E-2</c:v>
                </c:pt>
                <c:pt idx="38">
                  <c:v>4.1604018361135066E-2</c:v>
                </c:pt>
                <c:pt idx="39">
                  <c:v>4.1604018361135066E-2</c:v>
                </c:pt>
                <c:pt idx="40">
                  <c:v>4.1604018361135066E-2</c:v>
                </c:pt>
                <c:pt idx="41">
                  <c:v>4.1604018361135066E-2</c:v>
                </c:pt>
                <c:pt idx="42">
                  <c:v>4.1604018361135066E-2</c:v>
                </c:pt>
                <c:pt idx="43">
                  <c:v>4.1604018361135066E-2</c:v>
                </c:pt>
                <c:pt idx="44">
                  <c:v>4.1604018361135066E-2</c:v>
                </c:pt>
                <c:pt idx="45">
                  <c:v>4.1604018361135066E-2</c:v>
                </c:pt>
                <c:pt idx="46">
                  <c:v>4.1604018361135066E-2</c:v>
                </c:pt>
                <c:pt idx="47">
                  <c:v>4.1604018361135066E-2</c:v>
                </c:pt>
                <c:pt idx="48">
                  <c:v>4.1604018361135066E-2</c:v>
                </c:pt>
                <c:pt idx="49">
                  <c:v>4.1604018361135066E-2</c:v>
                </c:pt>
                <c:pt idx="50">
                  <c:v>4.1604018361135066E-2</c:v>
                </c:pt>
                <c:pt idx="51">
                  <c:v>4.1604018361135066E-2</c:v>
                </c:pt>
                <c:pt idx="52">
                  <c:v>4.1604018361135066E-2</c:v>
                </c:pt>
                <c:pt idx="53">
                  <c:v>4.1604018361135066E-2</c:v>
                </c:pt>
                <c:pt idx="54">
                  <c:v>4.1604018361135066E-2</c:v>
                </c:pt>
                <c:pt idx="55">
                  <c:v>4.1604018361135066E-2</c:v>
                </c:pt>
                <c:pt idx="56">
                  <c:v>4.1604018361135066E-2</c:v>
                </c:pt>
                <c:pt idx="57">
                  <c:v>4.1604018361135066E-2</c:v>
                </c:pt>
                <c:pt idx="58">
                  <c:v>4.1604018361135066E-2</c:v>
                </c:pt>
                <c:pt idx="59">
                  <c:v>4.1604018361135066E-2</c:v>
                </c:pt>
                <c:pt idx="60">
                  <c:v>4.1604018361135066E-2</c:v>
                </c:pt>
                <c:pt idx="61">
                  <c:v>4.1604018361135066E-2</c:v>
                </c:pt>
                <c:pt idx="62">
                  <c:v>4.1604018361135066E-2</c:v>
                </c:pt>
                <c:pt idx="63">
                  <c:v>4.1604018361135066E-2</c:v>
                </c:pt>
                <c:pt idx="64">
                  <c:v>4.1604018361135066E-2</c:v>
                </c:pt>
                <c:pt idx="65">
                  <c:v>4.1604018361135066E-2</c:v>
                </c:pt>
                <c:pt idx="66">
                  <c:v>4.1604018361135066E-2</c:v>
                </c:pt>
                <c:pt idx="67">
                  <c:v>4.1604018361135066E-2</c:v>
                </c:pt>
                <c:pt idx="68">
                  <c:v>4.1604018361135066E-2</c:v>
                </c:pt>
                <c:pt idx="69">
                  <c:v>4.1604018361135066E-2</c:v>
                </c:pt>
                <c:pt idx="70">
                  <c:v>4.1604018361135066E-2</c:v>
                </c:pt>
                <c:pt idx="71">
                  <c:v>4.1604018361135066E-2</c:v>
                </c:pt>
                <c:pt idx="72">
                  <c:v>4.1604018361135066E-2</c:v>
                </c:pt>
                <c:pt idx="73">
                  <c:v>4.1604018361135066E-2</c:v>
                </c:pt>
                <c:pt idx="74">
                  <c:v>4.1604018361135066E-2</c:v>
                </c:pt>
                <c:pt idx="75">
                  <c:v>4.1604018361135066E-2</c:v>
                </c:pt>
                <c:pt idx="76">
                  <c:v>4.1604018361135066E-2</c:v>
                </c:pt>
                <c:pt idx="77">
                  <c:v>4.1604018361135066E-2</c:v>
                </c:pt>
                <c:pt idx="78">
                  <c:v>4.1604018361135066E-2</c:v>
                </c:pt>
                <c:pt idx="79">
                  <c:v>4.1604018361135066E-2</c:v>
                </c:pt>
                <c:pt idx="80">
                  <c:v>4.1604018361135066E-2</c:v>
                </c:pt>
                <c:pt idx="81">
                  <c:v>4.1604018361135066E-2</c:v>
                </c:pt>
                <c:pt idx="82">
                  <c:v>4.1604018361135066E-2</c:v>
                </c:pt>
                <c:pt idx="83">
                  <c:v>4.1604018361135066E-2</c:v>
                </c:pt>
                <c:pt idx="84">
                  <c:v>4.1604018361135066E-2</c:v>
                </c:pt>
                <c:pt idx="85">
                  <c:v>4.1604018361135066E-2</c:v>
                </c:pt>
                <c:pt idx="86">
                  <c:v>4.1604018361135066E-2</c:v>
                </c:pt>
                <c:pt idx="87">
                  <c:v>4.1604018361135066E-2</c:v>
                </c:pt>
                <c:pt idx="88">
                  <c:v>4.1604018361135066E-2</c:v>
                </c:pt>
                <c:pt idx="89">
                  <c:v>4.1604018361135066E-2</c:v>
                </c:pt>
                <c:pt idx="90">
                  <c:v>4.1604018361135066E-2</c:v>
                </c:pt>
                <c:pt idx="91">
                  <c:v>4.1604018361135066E-2</c:v>
                </c:pt>
                <c:pt idx="92">
                  <c:v>4.1604018361135066E-2</c:v>
                </c:pt>
                <c:pt idx="93">
                  <c:v>4.1604018361135066E-2</c:v>
                </c:pt>
                <c:pt idx="94">
                  <c:v>4.1604018361135066E-2</c:v>
                </c:pt>
                <c:pt idx="95">
                  <c:v>4.1604018361135066E-2</c:v>
                </c:pt>
                <c:pt idx="96">
                  <c:v>4.1604018361135066E-2</c:v>
                </c:pt>
                <c:pt idx="97">
                  <c:v>4.1604018361135066E-2</c:v>
                </c:pt>
                <c:pt idx="98">
                  <c:v>4.1604018361135066E-2</c:v>
                </c:pt>
                <c:pt idx="99">
                  <c:v>4.1604018361135066E-2</c:v>
                </c:pt>
                <c:pt idx="100">
                  <c:v>4.1604018361135066E-2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0-4BA1-9662-97E7782D654F}"/>
            </c:ext>
          </c:extLst>
        </c:ser>
        <c:ser>
          <c:idx val="0"/>
          <c:order val="1"/>
          <c:tx>
            <c:strRef>
              <c:f>NPpremie_inkomen!$D$8:$D$9</c:f>
              <c:strCache>
                <c:ptCount val="2"/>
                <c:pt idx="0">
                  <c:v>Uitkeringsregeling (DSS)</c:v>
                </c:pt>
                <c:pt idx="1">
                  <c:v>bereikbaar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NPpremie_inkomen!$D$10:$D$110</c:f>
              <c:numCache>
                <c:formatCode>0.00%</c:formatCode>
                <c:ptCount val="101"/>
                <c:pt idx="0">
                  <c:v>8.9128849751201385E-3</c:v>
                </c:pt>
                <c:pt idx="1">
                  <c:v>8.9128849751201385E-3</c:v>
                </c:pt>
                <c:pt idx="2">
                  <c:v>8.9128849751201385E-3</c:v>
                </c:pt>
                <c:pt idx="3">
                  <c:v>8.9128849751201385E-3</c:v>
                </c:pt>
                <c:pt idx="4">
                  <c:v>8.9128849751201385E-3</c:v>
                </c:pt>
                <c:pt idx="5">
                  <c:v>8.9128849751201385E-3</c:v>
                </c:pt>
                <c:pt idx="6">
                  <c:v>8.9128849751201385E-3</c:v>
                </c:pt>
                <c:pt idx="7">
                  <c:v>8.9128849751201385E-3</c:v>
                </c:pt>
                <c:pt idx="8">
                  <c:v>8.9128849751201385E-3</c:v>
                </c:pt>
                <c:pt idx="9">
                  <c:v>8.9128849751201385E-3</c:v>
                </c:pt>
                <c:pt idx="10">
                  <c:v>8.9128849751201385E-3</c:v>
                </c:pt>
                <c:pt idx="11">
                  <c:v>8.9128849751201385E-3</c:v>
                </c:pt>
                <c:pt idx="12">
                  <c:v>8.9128849751201385E-3</c:v>
                </c:pt>
                <c:pt idx="13">
                  <c:v>8.9128849751201385E-3</c:v>
                </c:pt>
                <c:pt idx="14">
                  <c:v>8.9128849751201385E-3</c:v>
                </c:pt>
                <c:pt idx="15">
                  <c:v>8.9128849751201385E-3</c:v>
                </c:pt>
                <c:pt idx="16">
                  <c:v>8.9128849751201385E-3</c:v>
                </c:pt>
                <c:pt idx="17">
                  <c:v>8.9128849751201385E-3</c:v>
                </c:pt>
                <c:pt idx="18">
                  <c:v>8.9128849751201385E-3</c:v>
                </c:pt>
                <c:pt idx="19">
                  <c:v>8.9128849751201385E-3</c:v>
                </c:pt>
                <c:pt idx="20">
                  <c:v>8.9128849751201385E-3</c:v>
                </c:pt>
                <c:pt idx="21">
                  <c:v>8.9128849751201385E-3</c:v>
                </c:pt>
                <c:pt idx="22">
                  <c:v>8.9128849751201385E-3</c:v>
                </c:pt>
                <c:pt idx="23">
                  <c:v>8.9128849751201385E-3</c:v>
                </c:pt>
                <c:pt idx="24">
                  <c:v>8.9128849751201385E-3</c:v>
                </c:pt>
                <c:pt idx="25">
                  <c:v>8.9128849751201385E-3</c:v>
                </c:pt>
                <c:pt idx="26">
                  <c:v>8.9128849751201385E-3</c:v>
                </c:pt>
                <c:pt idx="27">
                  <c:v>8.9128849751201385E-3</c:v>
                </c:pt>
                <c:pt idx="28">
                  <c:v>8.9128849751201385E-3</c:v>
                </c:pt>
                <c:pt idx="29">
                  <c:v>8.9128849751201385E-3</c:v>
                </c:pt>
                <c:pt idx="30">
                  <c:v>8.9128849751201385E-3</c:v>
                </c:pt>
                <c:pt idx="31">
                  <c:v>8.9128849751201385E-3</c:v>
                </c:pt>
                <c:pt idx="32">
                  <c:v>8.9128849751201385E-3</c:v>
                </c:pt>
                <c:pt idx="33">
                  <c:v>8.9128849751201385E-3</c:v>
                </c:pt>
                <c:pt idx="34">
                  <c:v>8.9128849751201385E-3</c:v>
                </c:pt>
                <c:pt idx="35">
                  <c:v>8.9128849751201385E-3</c:v>
                </c:pt>
                <c:pt idx="36">
                  <c:v>8.9128849751201385E-3</c:v>
                </c:pt>
                <c:pt idx="37">
                  <c:v>8.9128849751201385E-3</c:v>
                </c:pt>
                <c:pt idx="38">
                  <c:v>8.9128849751201385E-3</c:v>
                </c:pt>
                <c:pt idx="39">
                  <c:v>8.9128849751201385E-3</c:v>
                </c:pt>
                <c:pt idx="40">
                  <c:v>8.9128849751201385E-3</c:v>
                </c:pt>
                <c:pt idx="41">
                  <c:v>8.9128849751201385E-3</c:v>
                </c:pt>
                <c:pt idx="42">
                  <c:v>8.9128849751201385E-3</c:v>
                </c:pt>
                <c:pt idx="43">
                  <c:v>8.9128849751201385E-3</c:v>
                </c:pt>
                <c:pt idx="44">
                  <c:v>8.9128849751201385E-3</c:v>
                </c:pt>
                <c:pt idx="45">
                  <c:v>8.9128849751201385E-3</c:v>
                </c:pt>
                <c:pt idx="46">
                  <c:v>8.9128849751201385E-3</c:v>
                </c:pt>
                <c:pt idx="47">
                  <c:v>8.9128849751201385E-3</c:v>
                </c:pt>
                <c:pt idx="48">
                  <c:v>8.9128849751201385E-3</c:v>
                </c:pt>
                <c:pt idx="49">
                  <c:v>8.9128849751201385E-3</c:v>
                </c:pt>
                <c:pt idx="50">
                  <c:v>8.9128849751201385E-3</c:v>
                </c:pt>
                <c:pt idx="51">
                  <c:v>8.9128849751201385E-3</c:v>
                </c:pt>
                <c:pt idx="52">
                  <c:v>8.9128849751201385E-3</c:v>
                </c:pt>
                <c:pt idx="53">
                  <c:v>8.9128849751201385E-3</c:v>
                </c:pt>
                <c:pt idx="54">
                  <c:v>8.9128849751201385E-3</c:v>
                </c:pt>
                <c:pt idx="55">
                  <c:v>8.9128849751201385E-3</c:v>
                </c:pt>
                <c:pt idx="56">
                  <c:v>8.9128849751201385E-3</c:v>
                </c:pt>
                <c:pt idx="57">
                  <c:v>8.9128849751201385E-3</c:v>
                </c:pt>
                <c:pt idx="58">
                  <c:v>8.9128849751201385E-3</c:v>
                </c:pt>
                <c:pt idx="59">
                  <c:v>8.9128849751201385E-3</c:v>
                </c:pt>
                <c:pt idx="60">
                  <c:v>8.9128849751201385E-3</c:v>
                </c:pt>
                <c:pt idx="61">
                  <c:v>8.9128849751201385E-3</c:v>
                </c:pt>
                <c:pt idx="62">
                  <c:v>8.9128849751201385E-3</c:v>
                </c:pt>
                <c:pt idx="63">
                  <c:v>8.9128849751201385E-3</c:v>
                </c:pt>
                <c:pt idx="64">
                  <c:v>8.9128849751201385E-3</c:v>
                </c:pt>
                <c:pt idx="65">
                  <c:v>8.9128849751201385E-3</c:v>
                </c:pt>
                <c:pt idx="66">
                  <c:v>8.9128849751201385E-3</c:v>
                </c:pt>
                <c:pt idx="67">
                  <c:v>8.9128849751201385E-3</c:v>
                </c:pt>
                <c:pt idx="68">
                  <c:v>8.9128849751201385E-3</c:v>
                </c:pt>
                <c:pt idx="69">
                  <c:v>8.9128849751201385E-3</c:v>
                </c:pt>
                <c:pt idx="70">
                  <c:v>8.9128849751201385E-3</c:v>
                </c:pt>
                <c:pt idx="71">
                  <c:v>8.9128849751201385E-3</c:v>
                </c:pt>
                <c:pt idx="72">
                  <c:v>8.9128849751201385E-3</c:v>
                </c:pt>
                <c:pt idx="73">
                  <c:v>8.9128849751201385E-3</c:v>
                </c:pt>
                <c:pt idx="74">
                  <c:v>8.9128849751201385E-3</c:v>
                </c:pt>
                <c:pt idx="75">
                  <c:v>8.9128849751201385E-3</c:v>
                </c:pt>
                <c:pt idx="76">
                  <c:v>8.9128849751201385E-3</c:v>
                </c:pt>
                <c:pt idx="77">
                  <c:v>8.9128849751201385E-3</c:v>
                </c:pt>
                <c:pt idx="78">
                  <c:v>8.9128849751201385E-3</c:v>
                </c:pt>
                <c:pt idx="79">
                  <c:v>8.9128849751201385E-3</c:v>
                </c:pt>
                <c:pt idx="80">
                  <c:v>8.9128849751201385E-3</c:v>
                </c:pt>
                <c:pt idx="81">
                  <c:v>8.9128849751201385E-3</c:v>
                </c:pt>
                <c:pt idx="82">
                  <c:v>8.9128849751201385E-3</c:v>
                </c:pt>
                <c:pt idx="83">
                  <c:v>8.9128849751201385E-3</c:v>
                </c:pt>
                <c:pt idx="84">
                  <c:v>8.9128849751201385E-3</c:v>
                </c:pt>
                <c:pt idx="85">
                  <c:v>8.9128849751201385E-3</c:v>
                </c:pt>
                <c:pt idx="86">
                  <c:v>8.9128849751201385E-3</c:v>
                </c:pt>
                <c:pt idx="87">
                  <c:v>8.9128849751201385E-3</c:v>
                </c:pt>
                <c:pt idx="88">
                  <c:v>8.9128849751201385E-3</c:v>
                </c:pt>
                <c:pt idx="89">
                  <c:v>8.9128849751201385E-3</c:v>
                </c:pt>
                <c:pt idx="90">
                  <c:v>8.9128849751201385E-3</c:v>
                </c:pt>
                <c:pt idx="91">
                  <c:v>8.9128849751201385E-3</c:v>
                </c:pt>
                <c:pt idx="92">
                  <c:v>8.9128849751201385E-3</c:v>
                </c:pt>
                <c:pt idx="93">
                  <c:v>8.9128849751201385E-3</c:v>
                </c:pt>
                <c:pt idx="94">
                  <c:v>8.9128849751201385E-3</c:v>
                </c:pt>
                <c:pt idx="95">
                  <c:v>8.9128849751201385E-3</c:v>
                </c:pt>
                <c:pt idx="96">
                  <c:v>8.9128849751201385E-3</c:v>
                </c:pt>
                <c:pt idx="97">
                  <c:v>8.9128849751201385E-3</c:v>
                </c:pt>
                <c:pt idx="98">
                  <c:v>8.9128849751201385E-3</c:v>
                </c:pt>
                <c:pt idx="99">
                  <c:v>8.9128849751201385E-3</c:v>
                </c:pt>
                <c:pt idx="100">
                  <c:v>8.9128849751201385E-3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0-4BA1-9662-97E7782D654F}"/>
            </c:ext>
          </c:extLst>
        </c:ser>
        <c:ser>
          <c:idx val="2"/>
          <c:order val="2"/>
          <c:tx>
            <c:strRef>
              <c:f>NPpremie_inkomen!$E$8:$E$9</c:f>
              <c:strCache>
                <c:ptCount val="2"/>
                <c:pt idx="0">
                  <c:v>Uitkeringsregeling (DSS)</c:v>
                </c:pt>
                <c:pt idx="1">
                  <c:v>risico, ANW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NPpremie_inkomen!$E$10:$E$110</c:f>
              <c:numCache>
                <c:formatCode>0.00%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4-408E-A4C5-EFD49C67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NPpremie_inkomen!$F$8</c:f>
          <c:strCache>
            <c:ptCount val="1"/>
            <c:pt idx="0">
              <c:v>Uitkeringsregeling (degr)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NPpremie_inkomen!$F$8:$F$9</c:f>
              <c:strCache>
                <c:ptCount val="2"/>
                <c:pt idx="0">
                  <c:v>Uitkeringsregeling (degr)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NPpremie_inkomen!$F$10:$F$110</c:f>
              <c:numCache>
                <c:formatCode>0.00%</c:formatCode>
                <c:ptCount val="101"/>
                <c:pt idx="0">
                  <c:v>3.9159687171057347E-2</c:v>
                </c:pt>
                <c:pt idx="1">
                  <c:v>3.9159687171057347E-2</c:v>
                </c:pt>
                <c:pt idx="2">
                  <c:v>3.9159687171057347E-2</c:v>
                </c:pt>
                <c:pt idx="3">
                  <c:v>3.9159687171057347E-2</c:v>
                </c:pt>
                <c:pt idx="4">
                  <c:v>3.9159687171057347E-2</c:v>
                </c:pt>
                <c:pt idx="5">
                  <c:v>3.9159687171057347E-2</c:v>
                </c:pt>
                <c:pt idx="6">
                  <c:v>3.9159687171057347E-2</c:v>
                </c:pt>
                <c:pt idx="7">
                  <c:v>3.9159687171057347E-2</c:v>
                </c:pt>
                <c:pt idx="8">
                  <c:v>3.9159687171057347E-2</c:v>
                </c:pt>
                <c:pt idx="9">
                  <c:v>3.9159687171057347E-2</c:v>
                </c:pt>
                <c:pt idx="10">
                  <c:v>3.9159687171057347E-2</c:v>
                </c:pt>
                <c:pt idx="11">
                  <c:v>3.9159687171057347E-2</c:v>
                </c:pt>
                <c:pt idx="12">
                  <c:v>3.9159687171057347E-2</c:v>
                </c:pt>
                <c:pt idx="13">
                  <c:v>3.9159687171057347E-2</c:v>
                </c:pt>
                <c:pt idx="14">
                  <c:v>3.9159687171057347E-2</c:v>
                </c:pt>
                <c:pt idx="15">
                  <c:v>3.9159687171057347E-2</c:v>
                </c:pt>
                <c:pt idx="16">
                  <c:v>3.9159687171057347E-2</c:v>
                </c:pt>
                <c:pt idx="17">
                  <c:v>3.9159687171057347E-2</c:v>
                </c:pt>
                <c:pt idx="18">
                  <c:v>3.9159687171057347E-2</c:v>
                </c:pt>
                <c:pt idx="19">
                  <c:v>3.9159687171057347E-2</c:v>
                </c:pt>
                <c:pt idx="20">
                  <c:v>3.9159687171057347E-2</c:v>
                </c:pt>
                <c:pt idx="21">
                  <c:v>3.9159687171057347E-2</c:v>
                </c:pt>
                <c:pt idx="22">
                  <c:v>3.9159687171057347E-2</c:v>
                </c:pt>
                <c:pt idx="23">
                  <c:v>3.9159687171057347E-2</c:v>
                </c:pt>
                <c:pt idx="24">
                  <c:v>3.9159687171057347E-2</c:v>
                </c:pt>
                <c:pt idx="25">
                  <c:v>3.9159687171057347E-2</c:v>
                </c:pt>
                <c:pt idx="26">
                  <c:v>3.9159687171057347E-2</c:v>
                </c:pt>
                <c:pt idx="27">
                  <c:v>3.9159687171057347E-2</c:v>
                </c:pt>
                <c:pt idx="28">
                  <c:v>3.9159687171057347E-2</c:v>
                </c:pt>
                <c:pt idx="29">
                  <c:v>3.9159687171057347E-2</c:v>
                </c:pt>
                <c:pt idx="30">
                  <c:v>3.9159687171057347E-2</c:v>
                </c:pt>
                <c:pt idx="31">
                  <c:v>3.9159687171057347E-2</c:v>
                </c:pt>
                <c:pt idx="32">
                  <c:v>3.9159687171057347E-2</c:v>
                </c:pt>
                <c:pt idx="33">
                  <c:v>3.9159687171057347E-2</c:v>
                </c:pt>
                <c:pt idx="34">
                  <c:v>3.9159687171057347E-2</c:v>
                </c:pt>
                <c:pt idx="35">
                  <c:v>3.9159687171057347E-2</c:v>
                </c:pt>
                <c:pt idx="36">
                  <c:v>3.9159687171057347E-2</c:v>
                </c:pt>
                <c:pt idx="37">
                  <c:v>3.9159687171057347E-2</c:v>
                </c:pt>
                <c:pt idx="38">
                  <c:v>3.9159687171057347E-2</c:v>
                </c:pt>
                <c:pt idx="39">
                  <c:v>3.9159687171057347E-2</c:v>
                </c:pt>
                <c:pt idx="40">
                  <c:v>3.9159687171057347E-2</c:v>
                </c:pt>
                <c:pt idx="41">
                  <c:v>3.9159687171057347E-2</c:v>
                </c:pt>
                <c:pt idx="42">
                  <c:v>3.9159687171057347E-2</c:v>
                </c:pt>
                <c:pt idx="43">
                  <c:v>3.9159687171057347E-2</c:v>
                </c:pt>
                <c:pt idx="44">
                  <c:v>3.9159687171057347E-2</c:v>
                </c:pt>
                <c:pt idx="45">
                  <c:v>3.9159687171057347E-2</c:v>
                </c:pt>
                <c:pt idx="46">
                  <c:v>3.9159687171057347E-2</c:v>
                </c:pt>
                <c:pt idx="47">
                  <c:v>3.9159687171057347E-2</c:v>
                </c:pt>
                <c:pt idx="48">
                  <c:v>3.9159687171057347E-2</c:v>
                </c:pt>
                <c:pt idx="49">
                  <c:v>3.9159687171057347E-2</c:v>
                </c:pt>
                <c:pt idx="50">
                  <c:v>3.9159687171057347E-2</c:v>
                </c:pt>
                <c:pt idx="51">
                  <c:v>3.9159687171057347E-2</c:v>
                </c:pt>
                <c:pt idx="52">
                  <c:v>3.9159687171057347E-2</c:v>
                </c:pt>
                <c:pt idx="53">
                  <c:v>3.9159687171057347E-2</c:v>
                </c:pt>
                <c:pt idx="54">
                  <c:v>3.9159687171057347E-2</c:v>
                </c:pt>
                <c:pt idx="55">
                  <c:v>3.9159687171057347E-2</c:v>
                </c:pt>
                <c:pt idx="56">
                  <c:v>3.9159687171057347E-2</c:v>
                </c:pt>
                <c:pt idx="57">
                  <c:v>3.9159687171057347E-2</c:v>
                </c:pt>
                <c:pt idx="58">
                  <c:v>3.9159687171057347E-2</c:v>
                </c:pt>
                <c:pt idx="59">
                  <c:v>3.9159687171057347E-2</c:v>
                </c:pt>
                <c:pt idx="60">
                  <c:v>3.9159687171057347E-2</c:v>
                </c:pt>
                <c:pt idx="61">
                  <c:v>3.9159687171057347E-2</c:v>
                </c:pt>
                <c:pt idx="62">
                  <c:v>3.9159687171057347E-2</c:v>
                </c:pt>
                <c:pt idx="63">
                  <c:v>3.9159687171057347E-2</c:v>
                </c:pt>
                <c:pt idx="64">
                  <c:v>3.9159687171057347E-2</c:v>
                </c:pt>
                <c:pt idx="65">
                  <c:v>3.9159687171057347E-2</c:v>
                </c:pt>
                <c:pt idx="66">
                  <c:v>3.9159687171057347E-2</c:v>
                </c:pt>
                <c:pt idx="67">
                  <c:v>3.9159687171057347E-2</c:v>
                </c:pt>
                <c:pt idx="68">
                  <c:v>3.9159687171057347E-2</c:v>
                </c:pt>
                <c:pt idx="69">
                  <c:v>3.9159687171057347E-2</c:v>
                </c:pt>
                <c:pt idx="70">
                  <c:v>3.9159687171057347E-2</c:v>
                </c:pt>
                <c:pt idx="71">
                  <c:v>3.9159687171057347E-2</c:v>
                </c:pt>
                <c:pt idx="72">
                  <c:v>3.9159687171057347E-2</c:v>
                </c:pt>
                <c:pt idx="73">
                  <c:v>3.9159687171057347E-2</c:v>
                </c:pt>
                <c:pt idx="74">
                  <c:v>3.9159687171057347E-2</c:v>
                </c:pt>
                <c:pt idx="75">
                  <c:v>3.9159687171057347E-2</c:v>
                </c:pt>
                <c:pt idx="76">
                  <c:v>3.9159687171057347E-2</c:v>
                </c:pt>
                <c:pt idx="77">
                  <c:v>3.9159687171057347E-2</c:v>
                </c:pt>
                <c:pt idx="78">
                  <c:v>3.9159687171057347E-2</c:v>
                </c:pt>
                <c:pt idx="79">
                  <c:v>3.9159687171057347E-2</c:v>
                </c:pt>
                <c:pt idx="80">
                  <c:v>3.9159687171057347E-2</c:v>
                </c:pt>
                <c:pt idx="81">
                  <c:v>3.9159687171057347E-2</c:v>
                </c:pt>
                <c:pt idx="82">
                  <c:v>3.9159687171057347E-2</c:v>
                </c:pt>
                <c:pt idx="83">
                  <c:v>3.9159687171057347E-2</c:v>
                </c:pt>
                <c:pt idx="84">
                  <c:v>3.9159687171057347E-2</c:v>
                </c:pt>
                <c:pt idx="85">
                  <c:v>3.9159687171057347E-2</c:v>
                </c:pt>
                <c:pt idx="86">
                  <c:v>3.9159687171057347E-2</c:v>
                </c:pt>
                <c:pt idx="87">
                  <c:v>3.9159687171057347E-2</c:v>
                </c:pt>
                <c:pt idx="88">
                  <c:v>3.9159687171057347E-2</c:v>
                </c:pt>
                <c:pt idx="89">
                  <c:v>3.9159687171057347E-2</c:v>
                </c:pt>
                <c:pt idx="90">
                  <c:v>3.9159687171057347E-2</c:v>
                </c:pt>
                <c:pt idx="91">
                  <c:v>3.9159687171057347E-2</c:v>
                </c:pt>
                <c:pt idx="92">
                  <c:v>3.9159687171057347E-2</c:v>
                </c:pt>
                <c:pt idx="93">
                  <c:v>3.9159687171057347E-2</c:v>
                </c:pt>
                <c:pt idx="94">
                  <c:v>3.9159687171057347E-2</c:v>
                </c:pt>
                <c:pt idx="95">
                  <c:v>3.9159687171057347E-2</c:v>
                </c:pt>
                <c:pt idx="96">
                  <c:v>3.9159687171057347E-2</c:v>
                </c:pt>
                <c:pt idx="97">
                  <c:v>3.9159687171057347E-2</c:v>
                </c:pt>
                <c:pt idx="98">
                  <c:v>3.9159687171057347E-2</c:v>
                </c:pt>
                <c:pt idx="99">
                  <c:v>3.9159687171057347E-2</c:v>
                </c:pt>
                <c:pt idx="100">
                  <c:v>3.9159687171057347E-2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A-48D7-B441-B64615B552CA}"/>
            </c:ext>
          </c:extLst>
        </c:ser>
        <c:ser>
          <c:idx val="0"/>
          <c:order val="1"/>
          <c:tx>
            <c:strRef>
              <c:f>NPpremie_inkomen!$G$8:$G$9</c:f>
              <c:strCache>
                <c:ptCount val="2"/>
                <c:pt idx="0">
                  <c:v>Uitkeringsregeling (degr)</c:v>
                </c:pt>
                <c:pt idx="1">
                  <c:v>bereikbaar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NPpremie_inkomen!$G$10:$G$110</c:f>
              <c:numCache>
                <c:formatCode>0.00%</c:formatCode>
                <c:ptCount val="101"/>
                <c:pt idx="0">
                  <c:v>8.6454562912251579E-3</c:v>
                </c:pt>
                <c:pt idx="1">
                  <c:v>8.6454562912251579E-3</c:v>
                </c:pt>
                <c:pt idx="2">
                  <c:v>8.6454562912251579E-3</c:v>
                </c:pt>
                <c:pt idx="3">
                  <c:v>8.6454562912251579E-3</c:v>
                </c:pt>
                <c:pt idx="4">
                  <c:v>8.6454562912251579E-3</c:v>
                </c:pt>
                <c:pt idx="5">
                  <c:v>8.6454562912251579E-3</c:v>
                </c:pt>
                <c:pt idx="6">
                  <c:v>8.6454562912251579E-3</c:v>
                </c:pt>
                <c:pt idx="7">
                  <c:v>8.6454562912251579E-3</c:v>
                </c:pt>
                <c:pt idx="8">
                  <c:v>8.6454562912251579E-3</c:v>
                </c:pt>
                <c:pt idx="9">
                  <c:v>8.6454562912251579E-3</c:v>
                </c:pt>
                <c:pt idx="10">
                  <c:v>8.6454562912251579E-3</c:v>
                </c:pt>
                <c:pt idx="11">
                  <c:v>8.6454562912251579E-3</c:v>
                </c:pt>
                <c:pt idx="12">
                  <c:v>8.6454562912251579E-3</c:v>
                </c:pt>
                <c:pt idx="13">
                  <c:v>8.6454562912251579E-3</c:v>
                </c:pt>
                <c:pt idx="14">
                  <c:v>8.6454562912251579E-3</c:v>
                </c:pt>
                <c:pt idx="15">
                  <c:v>8.6454562912251579E-3</c:v>
                </c:pt>
                <c:pt idx="16">
                  <c:v>8.6454562912251579E-3</c:v>
                </c:pt>
                <c:pt idx="17">
                  <c:v>8.6454562912251579E-3</c:v>
                </c:pt>
                <c:pt idx="18">
                  <c:v>8.6454562912251579E-3</c:v>
                </c:pt>
                <c:pt idx="19">
                  <c:v>8.6454562912251579E-3</c:v>
                </c:pt>
                <c:pt idx="20">
                  <c:v>8.6454562912251579E-3</c:v>
                </c:pt>
                <c:pt idx="21">
                  <c:v>8.6454562912251579E-3</c:v>
                </c:pt>
                <c:pt idx="22">
                  <c:v>8.6454562912251579E-3</c:v>
                </c:pt>
                <c:pt idx="23">
                  <c:v>8.6454562912251579E-3</c:v>
                </c:pt>
                <c:pt idx="24">
                  <c:v>8.6454562912251579E-3</c:v>
                </c:pt>
                <c:pt idx="25">
                  <c:v>8.6454562912251579E-3</c:v>
                </c:pt>
                <c:pt idx="26">
                  <c:v>8.6454562912251579E-3</c:v>
                </c:pt>
                <c:pt idx="27">
                  <c:v>8.6454562912251579E-3</c:v>
                </c:pt>
                <c:pt idx="28">
                  <c:v>8.6454562912251579E-3</c:v>
                </c:pt>
                <c:pt idx="29">
                  <c:v>8.6454562912251579E-3</c:v>
                </c:pt>
                <c:pt idx="30">
                  <c:v>8.6454562912251579E-3</c:v>
                </c:pt>
                <c:pt idx="31">
                  <c:v>8.6454562912251579E-3</c:v>
                </c:pt>
                <c:pt idx="32">
                  <c:v>8.6454562912251579E-3</c:v>
                </c:pt>
                <c:pt idx="33">
                  <c:v>8.6454562912251579E-3</c:v>
                </c:pt>
                <c:pt idx="34">
                  <c:v>8.6454562912251579E-3</c:v>
                </c:pt>
                <c:pt idx="35">
                  <c:v>8.6454562912251579E-3</c:v>
                </c:pt>
                <c:pt idx="36">
                  <c:v>8.6454562912251579E-3</c:v>
                </c:pt>
                <c:pt idx="37">
                  <c:v>8.6454562912251579E-3</c:v>
                </c:pt>
                <c:pt idx="38">
                  <c:v>8.6454562912251579E-3</c:v>
                </c:pt>
                <c:pt idx="39">
                  <c:v>8.6454562912251579E-3</c:v>
                </c:pt>
                <c:pt idx="40">
                  <c:v>8.6454562912251579E-3</c:v>
                </c:pt>
                <c:pt idx="41">
                  <c:v>8.6454562912251579E-3</c:v>
                </c:pt>
                <c:pt idx="42">
                  <c:v>8.6454562912251579E-3</c:v>
                </c:pt>
                <c:pt idx="43">
                  <c:v>8.6454562912251579E-3</c:v>
                </c:pt>
                <c:pt idx="44">
                  <c:v>8.6454562912251579E-3</c:v>
                </c:pt>
                <c:pt idx="45">
                  <c:v>8.6454562912251579E-3</c:v>
                </c:pt>
                <c:pt idx="46">
                  <c:v>8.6454562912251579E-3</c:v>
                </c:pt>
                <c:pt idx="47">
                  <c:v>8.6454562912251579E-3</c:v>
                </c:pt>
                <c:pt idx="48">
                  <c:v>8.6454562912251579E-3</c:v>
                </c:pt>
                <c:pt idx="49">
                  <c:v>8.6454562912251579E-3</c:v>
                </c:pt>
                <c:pt idx="50">
                  <c:v>8.6454562912251579E-3</c:v>
                </c:pt>
                <c:pt idx="51">
                  <c:v>8.6454562912251579E-3</c:v>
                </c:pt>
                <c:pt idx="52">
                  <c:v>8.6454562912251579E-3</c:v>
                </c:pt>
                <c:pt idx="53">
                  <c:v>8.6454562912251579E-3</c:v>
                </c:pt>
                <c:pt idx="54">
                  <c:v>8.6454562912251579E-3</c:v>
                </c:pt>
                <c:pt idx="55">
                  <c:v>8.6454562912251579E-3</c:v>
                </c:pt>
                <c:pt idx="56">
                  <c:v>8.6454562912251579E-3</c:v>
                </c:pt>
                <c:pt idx="57">
                  <c:v>8.6454562912251579E-3</c:v>
                </c:pt>
                <c:pt idx="58">
                  <c:v>8.6454562912251579E-3</c:v>
                </c:pt>
                <c:pt idx="59">
                  <c:v>8.6454562912251579E-3</c:v>
                </c:pt>
                <c:pt idx="60">
                  <c:v>8.6454562912251579E-3</c:v>
                </c:pt>
                <c:pt idx="61">
                  <c:v>8.6454562912251579E-3</c:v>
                </c:pt>
                <c:pt idx="62">
                  <c:v>8.6454562912251579E-3</c:v>
                </c:pt>
                <c:pt idx="63">
                  <c:v>8.6454562912251579E-3</c:v>
                </c:pt>
                <c:pt idx="64">
                  <c:v>8.6454562912251579E-3</c:v>
                </c:pt>
                <c:pt idx="65">
                  <c:v>8.6454562912251579E-3</c:v>
                </c:pt>
                <c:pt idx="66">
                  <c:v>8.6454562912251579E-3</c:v>
                </c:pt>
                <c:pt idx="67">
                  <c:v>8.6454562912251579E-3</c:v>
                </c:pt>
                <c:pt idx="68">
                  <c:v>8.6454562912251579E-3</c:v>
                </c:pt>
                <c:pt idx="69">
                  <c:v>8.6454562912251579E-3</c:v>
                </c:pt>
                <c:pt idx="70">
                  <c:v>8.6454562912251579E-3</c:v>
                </c:pt>
                <c:pt idx="71">
                  <c:v>8.6454562912251579E-3</c:v>
                </c:pt>
                <c:pt idx="72">
                  <c:v>8.6454562912251579E-3</c:v>
                </c:pt>
                <c:pt idx="73">
                  <c:v>8.6454562912251579E-3</c:v>
                </c:pt>
                <c:pt idx="74">
                  <c:v>8.6454562912251579E-3</c:v>
                </c:pt>
                <c:pt idx="75">
                  <c:v>8.6454562912251579E-3</c:v>
                </c:pt>
                <c:pt idx="76">
                  <c:v>8.6454562912251579E-3</c:v>
                </c:pt>
                <c:pt idx="77">
                  <c:v>8.6454562912251579E-3</c:v>
                </c:pt>
                <c:pt idx="78">
                  <c:v>8.6454562912251579E-3</c:v>
                </c:pt>
                <c:pt idx="79">
                  <c:v>8.6454562912251579E-3</c:v>
                </c:pt>
                <c:pt idx="80">
                  <c:v>8.6454562912251579E-3</c:v>
                </c:pt>
                <c:pt idx="81">
                  <c:v>8.6454562912251579E-3</c:v>
                </c:pt>
                <c:pt idx="82">
                  <c:v>8.6454562912251579E-3</c:v>
                </c:pt>
                <c:pt idx="83">
                  <c:v>8.6454562912251579E-3</c:v>
                </c:pt>
                <c:pt idx="84">
                  <c:v>8.6454562912251579E-3</c:v>
                </c:pt>
                <c:pt idx="85">
                  <c:v>8.6454562912251579E-3</c:v>
                </c:pt>
                <c:pt idx="86">
                  <c:v>8.6454562912251579E-3</c:v>
                </c:pt>
                <c:pt idx="87">
                  <c:v>8.6454562912251579E-3</c:v>
                </c:pt>
                <c:pt idx="88">
                  <c:v>8.6454562912251579E-3</c:v>
                </c:pt>
                <c:pt idx="89">
                  <c:v>8.6454562912251579E-3</c:v>
                </c:pt>
                <c:pt idx="90">
                  <c:v>8.6454562912251579E-3</c:v>
                </c:pt>
                <c:pt idx="91">
                  <c:v>8.6454562912251579E-3</c:v>
                </c:pt>
                <c:pt idx="92">
                  <c:v>8.6454562912251579E-3</c:v>
                </c:pt>
                <c:pt idx="93">
                  <c:v>8.6454562912251579E-3</c:v>
                </c:pt>
                <c:pt idx="94">
                  <c:v>8.6454562912251579E-3</c:v>
                </c:pt>
                <c:pt idx="95">
                  <c:v>8.6454562912251579E-3</c:v>
                </c:pt>
                <c:pt idx="96">
                  <c:v>8.6454562912251579E-3</c:v>
                </c:pt>
                <c:pt idx="97">
                  <c:v>8.6454562912251579E-3</c:v>
                </c:pt>
                <c:pt idx="98">
                  <c:v>8.6454562912251579E-3</c:v>
                </c:pt>
                <c:pt idx="99">
                  <c:v>8.6454562912251579E-3</c:v>
                </c:pt>
                <c:pt idx="100">
                  <c:v>8.6454562912251579E-3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A-48D7-B441-B64615B552CA}"/>
            </c:ext>
          </c:extLst>
        </c:ser>
        <c:ser>
          <c:idx val="2"/>
          <c:order val="2"/>
          <c:tx>
            <c:strRef>
              <c:f>NPpremie_inkomen!$H$8:$H$9</c:f>
              <c:strCache>
                <c:ptCount val="2"/>
                <c:pt idx="0">
                  <c:v>Uitkeringsregeling (degr)</c:v>
                </c:pt>
                <c:pt idx="1">
                  <c:v>risico ANW-hiaat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NPpremie_inkomen!$H$10:$H$110</c:f>
              <c:numCache>
                <c:formatCode>0.00%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68-45BF-BA62-9757A401F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NPpremie_inkomen!$X$9</c:f>
          <c:strCache>
            <c:ptCount val="1"/>
            <c:pt idx="0">
              <c:v>MvT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NPpremie_inkomen!$I$8:$I$9</c:f>
              <c:strCache>
                <c:ptCount val="2"/>
                <c:pt idx="0">
                  <c:v>MvT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NPpremie_inkomen!$I$10:$I$110</c:f>
              <c:numCache>
                <c:formatCode>0.00%</c:formatCode>
                <c:ptCount val="101"/>
                <c:pt idx="0">
                  <c:v>2.3794373702957207E-2</c:v>
                </c:pt>
                <c:pt idx="1">
                  <c:v>2.3794373702957207E-2</c:v>
                </c:pt>
                <c:pt idx="2">
                  <c:v>2.3794373702957207E-2</c:v>
                </c:pt>
                <c:pt idx="3">
                  <c:v>2.3794373702957207E-2</c:v>
                </c:pt>
                <c:pt idx="4">
                  <c:v>2.3794373702957207E-2</c:v>
                </c:pt>
                <c:pt idx="5">
                  <c:v>2.3794373702957207E-2</c:v>
                </c:pt>
                <c:pt idx="6">
                  <c:v>2.3794373702957207E-2</c:v>
                </c:pt>
                <c:pt idx="7">
                  <c:v>2.3794373702957207E-2</c:v>
                </c:pt>
                <c:pt idx="8">
                  <c:v>2.3794373702957207E-2</c:v>
                </c:pt>
                <c:pt idx="9">
                  <c:v>2.3794373702957207E-2</c:v>
                </c:pt>
                <c:pt idx="10">
                  <c:v>2.3794373702957207E-2</c:v>
                </c:pt>
                <c:pt idx="11">
                  <c:v>2.3794373702957207E-2</c:v>
                </c:pt>
                <c:pt idx="12">
                  <c:v>2.3794373702957207E-2</c:v>
                </c:pt>
                <c:pt idx="13">
                  <c:v>2.3794373702957207E-2</c:v>
                </c:pt>
                <c:pt idx="14">
                  <c:v>2.3794373702957207E-2</c:v>
                </c:pt>
                <c:pt idx="15">
                  <c:v>2.3794373702957207E-2</c:v>
                </c:pt>
                <c:pt idx="16">
                  <c:v>2.3794373702957207E-2</c:v>
                </c:pt>
                <c:pt idx="17">
                  <c:v>2.3794373702957207E-2</c:v>
                </c:pt>
                <c:pt idx="18">
                  <c:v>2.3794373702957207E-2</c:v>
                </c:pt>
                <c:pt idx="19">
                  <c:v>2.3794373702957207E-2</c:v>
                </c:pt>
                <c:pt idx="20">
                  <c:v>2.3794373702957207E-2</c:v>
                </c:pt>
                <c:pt idx="21">
                  <c:v>2.3794373702957207E-2</c:v>
                </c:pt>
                <c:pt idx="22">
                  <c:v>2.3794373702957207E-2</c:v>
                </c:pt>
                <c:pt idx="23">
                  <c:v>2.3794373702957207E-2</c:v>
                </c:pt>
                <c:pt idx="24">
                  <c:v>2.3794373702957207E-2</c:v>
                </c:pt>
                <c:pt idx="25">
                  <c:v>2.3794373702957207E-2</c:v>
                </c:pt>
                <c:pt idx="26">
                  <c:v>2.3794373702957207E-2</c:v>
                </c:pt>
                <c:pt idx="27">
                  <c:v>2.3794373702957207E-2</c:v>
                </c:pt>
                <c:pt idx="28">
                  <c:v>2.3794373702957207E-2</c:v>
                </c:pt>
                <c:pt idx="29">
                  <c:v>2.3794373702957207E-2</c:v>
                </c:pt>
                <c:pt idx="30">
                  <c:v>2.3794373702957207E-2</c:v>
                </c:pt>
                <c:pt idx="31">
                  <c:v>2.3794373702957207E-2</c:v>
                </c:pt>
                <c:pt idx="32">
                  <c:v>2.3794373702957207E-2</c:v>
                </c:pt>
                <c:pt idx="33">
                  <c:v>2.3794373702957207E-2</c:v>
                </c:pt>
                <c:pt idx="34">
                  <c:v>2.3794373702957207E-2</c:v>
                </c:pt>
                <c:pt idx="35">
                  <c:v>2.3794373702957207E-2</c:v>
                </c:pt>
                <c:pt idx="36">
                  <c:v>2.3794373702957207E-2</c:v>
                </c:pt>
                <c:pt idx="37">
                  <c:v>2.3794373702957207E-2</c:v>
                </c:pt>
                <c:pt idx="38">
                  <c:v>2.3794373702957207E-2</c:v>
                </c:pt>
                <c:pt idx="39">
                  <c:v>2.3794373702957207E-2</c:v>
                </c:pt>
                <c:pt idx="40">
                  <c:v>2.3794373702957207E-2</c:v>
                </c:pt>
                <c:pt idx="41">
                  <c:v>2.3794373702957207E-2</c:v>
                </c:pt>
                <c:pt idx="42">
                  <c:v>2.3794373702957207E-2</c:v>
                </c:pt>
                <c:pt idx="43">
                  <c:v>2.3794373702957207E-2</c:v>
                </c:pt>
                <c:pt idx="44">
                  <c:v>2.3794373702957207E-2</c:v>
                </c:pt>
                <c:pt idx="45">
                  <c:v>2.3794373702957207E-2</c:v>
                </c:pt>
                <c:pt idx="46">
                  <c:v>2.3794373702957207E-2</c:v>
                </c:pt>
                <c:pt idx="47">
                  <c:v>2.3794373702957207E-2</c:v>
                </c:pt>
                <c:pt idx="48">
                  <c:v>2.3794373702957207E-2</c:v>
                </c:pt>
                <c:pt idx="49">
                  <c:v>2.3794373702957207E-2</c:v>
                </c:pt>
                <c:pt idx="50">
                  <c:v>2.3794373702957207E-2</c:v>
                </c:pt>
                <c:pt idx="51">
                  <c:v>2.3794373702957207E-2</c:v>
                </c:pt>
                <c:pt idx="52">
                  <c:v>2.3794373702957207E-2</c:v>
                </c:pt>
                <c:pt idx="53">
                  <c:v>2.3794373702957207E-2</c:v>
                </c:pt>
                <c:pt idx="54">
                  <c:v>2.3794373702957207E-2</c:v>
                </c:pt>
                <c:pt idx="55">
                  <c:v>2.3794373702957207E-2</c:v>
                </c:pt>
                <c:pt idx="56">
                  <c:v>2.3794373702957207E-2</c:v>
                </c:pt>
                <c:pt idx="57">
                  <c:v>2.3794373702957207E-2</c:v>
                </c:pt>
                <c:pt idx="58">
                  <c:v>2.3794373702957207E-2</c:v>
                </c:pt>
                <c:pt idx="59">
                  <c:v>2.3794373702957207E-2</c:v>
                </c:pt>
                <c:pt idx="60">
                  <c:v>2.3794373702957207E-2</c:v>
                </c:pt>
                <c:pt idx="61">
                  <c:v>2.3794373702957207E-2</c:v>
                </c:pt>
                <c:pt idx="62">
                  <c:v>2.3794373702957207E-2</c:v>
                </c:pt>
                <c:pt idx="63">
                  <c:v>2.3794373702957207E-2</c:v>
                </c:pt>
                <c:pt idx="64">
                  <c:v>2.3794373702957207E-2</c:v>
                </c:pt>
                <c:pt idx="65">
                  <c:v>2.3794373702957207E-2</c:v>
                </c:pt>
                <c:pt idx="66">
                  <c:v>2.3794373702957207E-2</c:v>
                </c:pt>
                <c:pt idx="67">
                  <c:v>2.3794373702957207E-2</c:v>
                </c:pt>
                <c:pt idx="68">
                  <c:v>2.3794373702957207E-2</c:v>
                </c:pt>
                <c:pt idx="69">
                  <c:v>2.3794373702957207E-2</c:v>
                </c:pt>
                <c:pt idx="70">
                  <c:v>2.3794373702957207E-2</c:v>
                </c:pt>
                <c:pt idx="71">
                  <c:v>2.3794373702957207E-2</c:v>
                </c:pt>
                <c:pt idx="72">
                  <c:v>2.3794373702957207E-2</c:v>
                </c:pt>
                <c:pt idx="73">
                  <c:v>2.3794373702957207E-2</c:v>
                </c:pt>
                <c:pt idx="74">
                  <c:v>2.3794373702957207E-2</c:v>
                </c:pt>
                <c:pt idx="75">
                  <c:v>2.3794373702957207E-2</c:v>
                </c:pt>
                <c:pt idx="76">
                  <c:v>2.3794373702957207E-2</c:v>
                </c:pt>
                <c:pt idx="77">
                  <c:v>2.3794373702957207E-2</c:v>
                </c:pt>
                <c:pt idx="78">
                  <c:v>2.3794373702957207E-2</c:v>
                </c:pt>
                <c:pt idx="79">
                  <c:v>2.3794373702957207E-2</c:v>
                </c:pt>
                <c:pt idx="80">
                  <c:v>2.3794373702957207E-2</c:v>
                </c:pt>
                <c:pt idx="81">
                  <c:v>2.3794373702957207E-2</c:v>
                </c:pt>
                <c:pt idx="82">
                  <c:v>2.3794373702957207E-2</c:v>
                </c:pt>
                <c:pt idx="83">
                  <c:v>2.3794373702957207E-2</c:v>
                </c:pt>
                <c:pt idx="84">
                  <c:v>2.3794373702957207E-2</c:v>
                </c:pt>
                <c:pt idx="85">
                  <c:v>2.3794373702957207E-2</c:v>
                </c:pt>
                <c:pt idx="86">
                  <c:v>2.3794373702957207E-2</c:v>
                </c:pt>
                <c:pt idx="87">
                  <c:v>2.3794373702957207E-2</c:v>
                </c:pt>
                <c:pt idx="88">
                  <c:v>2.3794373702957207E-2</c:v>
                </c:pt>
                <c:pt idx="89">
                  <c:v>2.3794373702957207E-2</c:v>
                </c:pt>
                <c:pt idx="90">
                  <c:v>2.3794373702957207E-2</c:v>
                </c:pt>
                <c:pt idx="91">
                  <c:v>2.3794373702957207E-2</c:v>
                </c:pt>
                <c:pt idx="92">
                  <c:v>2.3794373702957207E-2</c:v>
                </c:pt>
                <c:pt idx="93">
                  <c:v>2.3794373702957207E-2</c:v>
                </c:pt>
                <c:pt idx="94">
                  <c:v>2.3794373702957207E-2</c:v>
                </c:pt>
                <c:pt idx="95">
                  <c:v>2.3794373702957207E-2</c:v>
                </c:pt>
                <c:pt idx="96">
                  <c:v>2.3794373702957207E-2</c:v>
                </c:pt>
                <c:pt idx="97">
                  <c:v>2.3794373702957207E-2</c:v>
                </c:pt>
                <c:pt idx="98">
                  <c:v>2.3794373702957207E-2</c:v>
                </c:pt>
                <c:pt idx="99">
                  <c:v>2.3794373702957207E-2</c:v>
                </c:pt>
                <c:pt idx="100">
                  <c:v>2.3794373702957207E-2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39D-89D9-FB9449680922}"/>
            </c:ext>
          </c:extLst>
        </c:ser>
        <c:ser>
          <c:idx val="0"/>
          <c:order val="1"/>
          <c:tx>
            <c:strRef>
              <c:f>NPpremie_inkomen!$J$8:$J$9</c:f>
              <c:strCache>
                <c:ptCount val="2"/>
                <c:pt idx="0">
                  <c:v>MvT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NPpremie_inkomen!$J$10:$J$110</c:f>
              <c:numCache>
                <c:formatCode>0.00%</c:formatCode>
                <c:ptCount val="1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0.29636049750738075</c:v>
                </c:pt>
                <c:pt idx="17">
                  <c:v>0.15744151430079603</c:v>
                </c:pt>
                <c:pt idx="18">
                  <c:v>0.11113518656526777</c:v>
                </c:pt>
                <c:pt idx="19">
                  <c:v>8.7982022697503659E-2</c:v>
                </c:pt>
                <c:pt idx="20">
                  <c:v>7.4090124376845187E-2</c:v>
                </c:pt>
                <c:pt idx="21">
                  <c:v>6.482885882973953E-2</c:v>
                </c:pt>
                <c:pt idx="22">
                  <c:v>5.8213669153235503E-2</c:v>
                </c:pt>
                <c:pt idx="23">
                  <c:v>5.325227689585748E-2</c:v>
                </c:pt>
                <c:pt idx="24">
                  <c:v>4.9393416251230123E-2</c:v>
                </c:pt>
                <c:pt idx="25">
                  <c:v>4.6306327735528244E-2</c:v>
                </c:pt>
                <c:pt idx="26">
                  <c:v>4.3780528040863069E-2</c:v>
                </c:pt>
                <c:pt idx="27">
                  <c:v>4.1675694961975422E-2</c:v>
                </c:pt>
                <c:pt idx="28">
                  <c:v>3.9894682356762794E-2</c:v>
                </c:pt>
                <c:pt idx="29">
                  <c:v>3.8368100123723395E-2</c:v>
                </c:pt>
                <c:pt idx="30">
                  <c:v>3.7045062188422594E-2</c:v>
                </c:pt>
                <c:pt idx="31">
                  <c:v>3.5887403995034386E-2</c:v>
                </c:pt>
                <c:pt idx="32">
                  <c:v>3.4865940883221265E-2</c:v>
                </c:pt>
                <c:pt idx="33">
                  <c:v>3.3957973672720715E-2</c:v>
                </c:pt>
                <c:pt idx="34">
                  <c:v>3.3145581958062324E-2</c:v>
                </c:pt>
                <c:pt idx="35">
                  <c:v>3.2414429414869765E-2</c:v>
                </c:pt>
                <c:pt idx="36">
                  <c:v>3.1752910447219361E-2</c:v>
                </c:pt>
                <c:pt idx="37">
                  <c:v>3.1151529567537181E-2</c:v>
                </c:pt>
                <c:pt idx="38">
                  <c:v>3.0602442677392577E-2</c:v>
                </c:pt>
                <c:pt idx="39">
                  <c:v>3.0099113028093358E-2</c:v>
                </c:pt>
                <c:pt idx="40">
                  <c:v>2.9636049750738077E-2</c:v>
                </c:pt>
                <c:pt idx="41">
                  <c:v>2.9208606725487044E-2</c:v>
                </c:pt>
                <c:pt idx="42">
                  <c:v>2.8812826146550903E-2</c:v>
                </c:pt>
                <c:pt idx="43">
                  <c:v>2.8445315608967348E-2</c:v>
                </c:pt>
                <c:pt idx="44">
                  <c:v>2.8103150625699898E-2</c:v>
                </c:pt>
                <c:pt idx="45">
                  <c:v>2.7783796641316947E-2</c:v>
                </c:pt>
                <c:pt idx="46">
                  <c:v>2.7485046139797409E-2</c:v>
                </c:pt>
                <c:pt idx="47">
                  <c:v>2.720496754462284E-2</c:v>
                </c:pt>
                <c:pt idx="48">
                  <c:v>2.6941863409761884E-2</c:v>
                </c:pt>
                <c:pt idx="49">
                  <c:v>2.6694235988716279E-2</c:v>
                </c:pt>
                <c:pt idx="50">
                  <c:v>2.6460758706016139E-2</c:v>
                </c:pt>
                <c:pt idx="51">
                  <c:v>2.6240252383466004E-2</c:v>
                </c:pt>
                <c:pt idx="52">
                  <c:v>2.6031665321594254E-2</c:v>
                </c:pt>
                <c:pt idx="53">
                  <c:v>2.5834056526136809E-2</c:v>
                </c:pt>
                <c:pt idx="54">
                  <c:v>2.5646581515061797E-2</c:v>
                </c:pt>
                <c:pt idx="55">
                  <c:v>2.5468480254540533E-2</c:v>
                </c:pt>
                <c:pt idx="56">
                  <c:v>2.5299066860386164E-2</c:v>
                </c:pt>
                <c:pt idx="57">
                  <c:v>2.5137720770715331E-2</c:v>
                </c:pt>
                <c:pt idx="58">
                  <c:v>2.4983879150331515E-2</c:v>
                </c:pt>
                <c:pt idx="59">
                  <c:v>2.4837030330874241E-2</c:v>
                </c:pt>
                <c:pt idx="60">
                  <c:v>2.4696708125615061E-2</c:v>
                </c:pt>
                <c:pt idx="61">
                  <c:v>2.4562486885801937E-2</c:v>
                </c:pt>
                <c:pt idx="62">
                  <c:v>2.4433977188108517E-2</c:v>
                </c:pt>
                <c:pt idx="63">
                  <c:v>2.4310822061152326E-2</c:v>
                </c:pt>
                <c:pt idx="64">
                  <c:v>2.4192693674071897E-2</c:v>
                </c:pt>
                <c:pt idx="65">
                  <c:v>2.4079290422474683E-2</c:v>
                </c:pt>
                <c:pt idx="66">
                  <c:v>2.3970334357214618E-2</c:v>
                </c:pt>
                <c:pt idx="67">
                  <c:v>2.3865568909849168E-2</c:v>
                </c:pt>
                <c:pt idx="68">
                  <c:v>2.3764756875591854E-2</c:v>
                </c:pt>
                <c:pt idx="69">
                  <c:v>2.3667678620381102E-2</c:v>
                </c:pt>
                <c:pt idx="70">
                  <c:v>2.357413048354165E-2</c:v>
                </c:pt>
                <c:pt idx="71">
                  <c:v>2.3483923351589324E-2</c:v>
                </c:pt>
                <c:pt idx="72">
                  <c:v>2.3396881382161637E-2</c:v>
                </c:pt>
                <c:pt idx="73">
                  <c:v>2.3312840859955598E-2</c:v>
                </c:pt>
                <c:pt idx="74">
                  <c:v>2.3231649169010778E-2</c:v>
                </c:pt>
                <c:pt idx="75">
                  <c:v>2.3153163867764122E-2</c:v>
                </c:pt>
                <c:pt idx="76">
                  <c:v>2.3077251855082928E-2</c:v>
                </c:pt>
                <c:pt idx="77">
                  <c:v>2.3003788617004351E-2</c:v>
                </c:pt>
                <c:pt idx="78">
                  <c:v>2.2932657545213987E-2</c:v>
                </c:pt>
                <c:pt idx="79">
                  <c:v>2.2863749319417068E-2</c:v>
                </c:pt>
                <c:pt idx="80">
                  <c:v>2.2796961346721597E-2</c:v>
                </c:pt>
                <c:pt idx="81">
                  <c:v>2.273219725198659E-2</c:v>
                </c:pt>
                <c:pt idx="82">
                  <c:v>2.266936641381084E-2</c:v>
                </c:pt>
                <c:pt idx="83">
                  <c:v>2.260838354146379E-2</c:v>
                </c:pt>
                <c:pt idx="84">
                  <c:v>2.2549168288605054E-2</c:v>
                </c:pt>
                <c:pt idx="85">
                  <c:v>2.2491644900113718E-2</c:v>
                </c:pt>
                <c:pt idx="86">
                  <c:v>2.2435741888762979E-2</c:v>
                </c:pt>
                <c:pt idx="87">
                  <c:v>2.238139173883865E-2</c:v>
                </c:pt>
                <c:pt idx="88">
                  <c:v>2.2328530634117726E-2</c:v>
                </c:pt>
                <c:pt idx="89">
                  <c:v>2.2277098207902774E-2</c:v>
                </c:pt>
                <c:pt idx="90">
                  <c:v>2.2227037313053557E-2</c:v>
                </c:pt>
                <c:pt idx="91">
                  <c:v>2.2178293810174051E-2</c:v>
                </c:pt>
                <c:pt idx="92">
                  <c:v>2.2130816372304407E-2</c:v>
                </c:pt>
                <c:pt idx="93">
                  <c:v>2.2084556304636547E-2</c:v>
                </c:pt>
                <c:pt idx="94">
                  <c:v>2.2039467377922301E-2</c:v>
                </c:pt>
                <c:pt idx="95">
                  <c:v>2.1995505674375915E-2</c:v>
                </c:pt>
                <c:pt idx="96">
                  <c:v>2.1952629444991167E-2</c:v>
                </c:pt>
                <c:pt idx="97">
                  <c:v>2.191079897729873E-2</c:v>
                </c:pt>
                <c:pt idx="98">
                  <c:v>2.1869976472683218E-2</c:v>
                </c:pt>
                <c:pt idx="99">
                  <c:v>2.1830125932463314E-2</c:v>
                </c:pt>
                <c:pt idx="100">
                  <c:v>2.179121305201329E-2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4-439D-89D9-FB9449680922}"/>
            </c:ext>
          </c:extLst>
        </c:ser>
        <c:ser>
          <c:idx val="2"/>
          <c:order val="2"/>
          <c:tx>
            <c:strRef>
              <c:f>NPpremie_inkomen!$K$8:$K$9</c:f>
              <c:strCache>
                <c:ptCount val="2"/>
                <c:pt idx="0">
                  <c:v>MvT</c:v>
                </c:pt>
                <c:pt idx="1">
                  <c:v>x0, risico vanaf AOW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NPpremie_inkomen!$K$10:$K$110</c:f>
              <c:numCache>
                <c:formatCode>0.00%</c:formatCode>
                <c:ptCount val="1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0.58398360164904994</c:v>
                </c:pt>
                <c:pt idx="17">
                  <c:v>0.3102412883760578</c:v>
                </c:pt>
                <c:pt idx="18">
                  <c:v>0.21899385061839372</c:v>
                </c:pt>
                <c:pt idx="19">
                  <c:v>0.1733701317395617</c:v>
                </c:pt>
                <c:pt idx="20">
                  <c:v>0.14599590041226249</c:v>
                </c:pt>
                <c:pt idx="21">
                  <c:v>0.12774641286072966</c:v>
                </c:pt>
                <c:pt idx="22">
                  <c:v>0.1147110646096348</c:v>
                </c:pt>
                <c:pt idx="23">
                  <c:v>0.10493455342131366</c:v>
                </c:pt>
                <c:pt idx="24">
                  <c:v>9.7330600274841653E-2</c:v>
                </c:pt>
                <c:pt idx="25">
                  <c:v>9.1247437757664057E-2</c:v>
                </c:pt>
                <c:pt idx="26">
                  <c:v>8.6270304789064195E-2</c:v>
                </c:pt>
                <c:pt idx="27">
                  <c:v>8.2122693981897657E-2</c:v>
                </c:pt>
                <c:pt idx="28">
                  <c:v>7.8613177145064425E-2</c:v>
                </c:pt>
                <c:pt idx="29">
                  <c:v>7.5605019856350222E-2</c:v>
                </c:pt>
                <c:pt idx="30">
                  <c:v>7.2997950206131243E-2</c:v>
                </c:pt>
                <c:pt idx="31">
                  <c:v>7.0716764262189646E-2</c:v>
                </c:pt>
                <c:pt idx="32">
                  <c:v>6.870395313518235E-2</c:v>
                </c:pt>
                <c:pt idx="33">
                  <c:v>6.6914787688953634E-2</c:v>
                </c:pt>
                <c:pt idx="34">
                  <c:v>6.531395544759111E-2</c:v>
                </c:pt>
                <c:pt idx="35">
                  <c:v>6.3873206430364843E-2</c:v>
                </c:pt>
                <c:pt idx="36">
                  <c:v>6.2569671605255353E-2</c:v>
                </c:pt>
                <c:pt idx="37">
                  <c:v>6.1384639946064912E-2</c:v>
                </c:pt>
                <c:pt idx="38">
                  <c:v>6.0302654518108414E-2</c:v>
                </c:pt>
                <c:pt idx="39">
                  <c:v>5.9310834542481629E-2</c:v>
                </c:pt>
                <c:pt idx="40">
                  <c:v>5.8398360164904996E-2</c:v>
                </c:pt>
                <c:pt idx="41">
                  <c:v>5.755607612406502E-2</c:v>
                </c:pt>
                <c:pt idx="42">
                  <c:v>5.677618349365763E-2</c:v>
                </c:pt>
                <c:pt idx="43">
                  <c:v>5.6051997479707918E-2</c:v>
                </c:pt>
                <c:pt idx="44">
                  <c:v>5.5377755328789219E-2</c:v>
                </c:pt>
                <c:pt idx="45">
                  <c:v>5.4748462654598429E-2</c:v>
                </c:pt>
                <c:pt idx="46">
                  <c:v>5.4159769507774798E-2</c:v>
                </c:pt>
                <c:pt idx="47">
                  <c:v>5.360786968262763E-2</c:v>
                </c:pt>
                <c:pt idx="48">
                  <c:v>5.3089418331731808E-2</c:v>
                </c:pt>
                <c:pt idx="49">
                  <c:v>5.2601464119123982E-2</c:v>
                </c:pt>
                <c:pt idx="50">
                  <c:v>5.2141393004379456E-2</c:v>
                </c:pt>
                <c:pt idx="51">
                  <c:v>5.1706881396009624E-2</c:v>
                </c:pt>
                <c:pt idx="52">
                  <c:v>5.1295856901605742E-2</c:v>
                </c:pt>
                <c:pt idx="53">
                  <c:v>5.0906465275328362E-2</c:v>
                </c:pt>
                <c:pt idx="54">
                  <c:v>5.0537042450398556E-2</c:v>
                </c:pt>
                <c:pt idx="55">
                  <c:v>5.0186090766715229E-2</c:v>
                </c:pt>
                <c:pt idx="56">
                  <c:v>4.9852258677357923E-2</c:v>
                </c:pt>
                <c:pt idx="57">
                  <c:v>4.9534323354160484E-2</c:v>
                </c:pt>
                <c:pt idx="58">
                  <c:v>4.9231175720414092E-2</c:v>
                </c:pt>
                <c:pt idx="59">
                  <c:v>4.8941807524565256E-2</c:v>
                </c:pt>
                <c:pt idx="60">
                  <c:v>4.8665300137420826E-2</c:v>
                </c:pt>
                <c:pt idx="61">
                  <c:v>4.8400814810587021E-2</c:v>
                </c:pt>
                <c:pt idx="62">
                  <c:v>4.8147584178512101E-2</c:v>
                </c:pt>
                <c:pt idx="63">
                  <c:v>4.7904904822773625E-2</c:v>
                </c:pt>
                <c:pt idx="64">
                  <c:v>4.7672130746861219E-2</c:v>
                </c:pt>
                <c:pt idx="65">
                  <c:v>4.7448667633985309E-2</c:v>
                </c:pt>
                <c:pt idx="66">
                  <c:v>4.7233967780437862E-2</c:v>
                </c:pt>
                <c:pt idx="67">
                  <c:v>4.7027525613565317E-2</c:v>
                </c:pt>
                <c:pt idx="68">
                  <c:v>4.6828873717140798E-2</c:v>
                </c:pt>
                <c:pt idx="69">
                  <c:v>4.6637579298361626E-2</c:v>
                </c:pt>
                <c:pt idx="70">
                  <c:v>4.6453241040265339E-2</c:v>
                </c:pt>
                <c:pt idx="71">
                  <c:v>4.6275486291386767E-2</c:v>
                </c:pt>
                <c:pt idx="72">
                  <c:v>4.6103968551240784E-2</c:v>
                </c:pt>
                <c:pt idx="73">
                  <c:v>4.5938365215927417E-2</c:v>
                </c:pt>
                <c:pt idx="74">
                  <c:v>4.5778375552997561E-2</c:v>
                </c:pt>
                <c:pt idx="75">
                  <c:v>4.5623718878832022E-2</c:v>
                </c:pt>
                <c:pt idx="76">
                  <c:v>4.5474132915294875E-2</c:v>
                </c:pt>
                <c:pt idx="77">
                  <c:v>4.532937230542021E-2</c:v>
                </c:pt>
                <c:pt idx="78">
                  <c:v>4.5189207270462196E-2</c:v>
                </c:pt>
                <c:pt idx="79">
                  <c:v>4.5053422392846626E-2</c:v>
                </c:pt>
                <c:pt idx="80">
                  <c:v>4.4921815511465381E-2</c:v>
                </c:pt>
                <c:pt idx="81">
                  <c:v>4.4794196717398718E-2</c:v>
                </c:pt>
                <c:pt idx="82">
                  <c:v>4.4670387439572849E-2</c:v>
                </c:pt>
                <c:pt idx="83">
                  <c:v>4.4550219611094795E-2</c:v>
                </c:pt>
                <c:pt idx="84">
                  <c:v>4.4433534908079886E-2</c:v>
                </c:pt>
                <c:pt idx="85">
                  <c:v>4.4320184053722539E-2</c:v>
                </c:pt>
                <c:pt idx="86">
                  <c:v>4.4210026181178079E-2</c:v>
                </c:pt>
                <c:pt idx="87">
                  <c:v>4.4102928249537626E-2</c:v>
                </c:pt>
                <c:pt idx="88">
                  <c:v>4.3998764507805134E-2</c:v>
                </c:pt>
                <c:pt idx="89">
                  <c:v>4.3897416002335682E-2</c:v>
                </c:pt>
                <c:pt idx="90">
                  <c:v>4.3798770123678742E-2</c:v>
                </c:pt>
                <c:pt idx="91">
                  <c:v>4.3702720189196992E-2</c:v>
                </c:pt>
                <c:pt idx="92">
                  <c:v>4.3609165058208277E-2</c:v>
                </c:pt>
                <c:pt idx="93">
                  <c:v>4.3518008776732092E-2</c:v>
                </c:pt>
                <c:pt idx="94">
                  <c:v>4.3429160249217322E-2</c:v>
                </c:pt>
                <c:pt idx="95">
                  <c:v>4.3342532934890418E-2</c:v>
                </c:pt>
                <c:pt idx="96">
                  <c:v>4.3258044566596286E-2</c:v>
                </c:pt>
                <c:pt idx="97">
                  <c:v>4.3175616890211772E-2</c:v>
                </c:pt>
                <c:pt idx="98">
                  <c:v>4.3095175422896759E-2</c:v>
                </c:pt>
                <c:pt idx="99">
                  <c:v>4.3016649228613049E-2</c:v>
                </c:pt>
                <c:pt idx="100">
                  <c:v>4.2939970709488968E-2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4-439D-89D9-FB9449680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NPpremie_inkomen!$Z$9</c:f>
          <c:strCache>
            <c:ptCount val="1"/>
            <c:pt idx="0">
              <c:v>MvT met overbrugging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NPpremie_inkomen!$I$8:$I$9</c:f>
              <c:strCache>
                <c:ptCount val="2"/>
                <c:pt idx="0">
                  <c:v>MvT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NPpremie_inkomen!$I$10:$I$110</c:f>
              <c:numCache>
                <c:formatCode>0.00%</c:formatCode>
                <c:ptCount val="101"/>
                <c:pt idx="0">
                  <c:v>2.3794373702957207E-2</c:v>
                </c:pt>
                <c:pt idx="1">
                  <c:v>2.3794373702957207E-2</c:v>
                </c:pt>
                <c:pt idx="2">
                  <c:v>2.3794373702957207E-2</c:v>
                </c:pt>
                <c:pt idx="3">
                  <c:v>2.3794373702957207E-2</c:v>
                </c:pt>
                <c:pt idx="4">
                  <c:v>2.3794373702957207E-2</c:v>
                </c:pt>
                <c:pt idx="5">
                  <c:v>2.3794373702957207E-2</c:v>
                </c:pt>
                <c:pt idx="6">
                  <c:v>2.3794373702957207E-2</c:v>
                </c:pt>
                <c:pt idx="7">
                  <c:v>2.3794373702957207E-2</c:v>
                </c:pt>
                <c:pt idx="8">
                  <c:v>2.3794373702957207E-2</c:v>
                </c:pt>
                <c:pt idx="9">
                  <c:v>2.3794373702957207E-2</c:v>
                </c:pt>
                <c:pt idx="10">
                  <c:v>2.3794373702957207E-2</c:v>
                </c:pt>
                <c:pt idx="11">
                  <c:v>2.3794373702957207E-2</c:v>
                </c:pt>
                <c:pt idx="12">
                  <c:v>2.3794373702957207E-2</c:v>
                </c:pt>
                <c:pt idx="13">
                  <c:v>2.3794373702957207E-2</c:v>
                </c:pt>
                <c:pt idx="14">
                  <c:v>2.3794373702957207E-2</c:v>
                </c:pt>
                <c:pt idx="15">
                  <c:v>2.3794373702957207E-2</c:v>
                </c:pt>
                <c:pt idx="16">
                  <c:v>2.3794373702957207E-2</c:v>
                </c:pt>
                <c:pt idx="17">
                  <c:v>2.3794373702957207E-2</c:v>
                </c:pt>
                <c:pt idx="18">
                  <c:v>2.3794373702957207E-2</c:v>
                </c:pt>
                <c:pt idx="19">
                  <c:v>2.3794373702957207E-2</c:v>
                </c:pt>
                <c:pt idx="20">
                  <c:v>2.3794373702957207E-2</c:v>
                </c:pt>
                <c:pt idx="21">
                  <c:v>2.3794373702957207E-2</c:v>
                </c:pt>
                <c:pt idx="22">
                  <c:v>2.3794373702957207E-2</c:v>
                </c:pt>
                <c:pt idx="23">
                  <c:v>2.3794373702957207E-2</c:v>
                </c:pt>
                <c:pt idx="24">
                  <c:v>2.3794373702957207E-2</c:v>
                </c:pt>
                <c:pt idx="25">
                  <c:v>2.3794373702957207E-2</c:v>
                </c:pt>
                <c:pt idx="26">
                  <c:v>2.3794373702957207E-2</c:v>
                </c:pt>
                <c:pt idx="27">
                  <c:v>2.3794373702957207E-2</c:v>
                </c:pt>
                <c:pt idx="28">
                  <c:v>2.3794373702957207E-2</c:v>
                </c:pt>
                <c:pt idx="29">
                  <c:v>2.3794373702957207E-2</c:v>
                </c:pt>
                <c:pt idx="30">
                  <c:v>2.3794373702957207E-2</c:v>
                </c:pt>
                <c:pt idx="31">
                  <c:v>2.3794373702957207E-2</c:v>
                </c:pt>
                <c:pt idx="32">
                  <c:v>2.3794373702957207E-2</c:v>
                </c:pt>
                <c:pt idx="33">
                  <c:v>2.3794373702957207E-2</c:v>
                </c:pt>
                <c:pt idx="34">
                  <c:v>2.3794373702957207E-2</c:v>
                </c:pt>
                <c:pt idx="35">
                  <c:v>2.3794373702957207E-2</c:v>
                </c:pt>
                <c:pt idx="36">
                  <c:v>2.3794373702957207E-2</c:v>
                </c:pt>
                <c:pt idx="37">
                  <c:v>2.3794373702957207E-2</c:v>
                </c:pt>
                <c:pt idx="38">
                  <c:v>2.3794373702957207E-2</c:v>
                </c:pt>
                <c:pt idx="39">
                  <c:v>2.3794373702957207E-2</c:v>
                </c:pt>
                <c:pt idx="40">
                  <c:v>2.3794373702957207E-2</c:v>
                </c:pt>
                <c:pt idx="41">
                  <c:v>2.3794373702957207E-2</c:v>
                </c:pt>
                <c:pt idx="42">
                  <c:v>2.3794373702957207E-2</c:v>
                </c:pt>
                <c:pt idx="43">
                  <c:v>2.3794373702957207E-2</c:v>
                </c:pt>
                <c:pt idx="44">
                  <c:v>2.3794373702957207E-2</c:v>
                </c:pt>
                <c:pt idx="45">
                  <c:v>2.3794373702957207E-2</c:v>
                </c:pt>
                <c:pt idx="46">
                  <c:v>2.3794373702957207E-2</c:v>
                </c:pt>
                <c:pt idx="47">
                  <c:v>2.3794373702957207E-2</c:v>
                </c:pt>
                <c:pt idx="48">
                  <c:v>2.3794373702957207E-2</c:v>
                </c:pt>
                <c:pt idx="49">
                  <c:v>2.3794373702957207E-2</c:v>
                </c:pt>
                <c:pt idx="50">
                  <c:v>2.3794373702957207E-2</c:v>
                </c:pt>
                <c:pt idx="51">
                  <c:v>2.3794373702957207E-2</c:v>
                </c:pt>
                <c:pt idx="52">
                  <c:v>2.3794373702957207E-2</c:v>
                </c:pt>
                <c:pt idx="53">
                  <c:v>2.3794373702957207E-2</c:v>
                </c:pt>
                <c:pt idx="54">
                  <c:v>2.3794373702957207E-2</c:v>
                </c:pt>
                <c:pt idx="55">
                  <c:v>2.3794373702957207E-2</c:v>
                </c:pt>
                <c:pt idx="56">
                  <c:v>2.3794373702957207E-2</c:v>
                </c:pt>
                <c:pt idx="57">
                  <c:v>2.3794373702957207E-2</c:v>
                </c:pt>
                <c:pt idx="58">
                  <c:v>2.3794373702957207E-2</c:v>
                </c:pt>
                <c:pt idx="59">
                  <c:v>2.3794373702957207E-2</c:v>
                </c:pt>
                <c:pt idx="60">
                  <c:v>2.3794373702957207E-2</c:v>
                </c:pt>
                <c:pt idx="61">
                  <c:v>2.3794373702957207E-2</c:v>
                </c:pt>
                <c:pt idx="62">
                  <c:v>2.3794373702957207E-2</c:v>
                </c:pt>
                <c:pt idx="63">
                  <c:v>2.3794373702957207E-2</c:v>
                </c:pt>
                <c:pt idx="64">
                  <c:v>2.3794373702957207E-2</c:v>
                </c:pt>
                <c:pt idx="65">
                  <c:v>2.3794373702957207E-2</c:v>
                </c:pt>
                <c:pt idx="66">
                  <c:v>2.3794373702957207E-2</c:v>
                </c:pt>
                <c:pt idx="67">
                  <c:v>2.3794373702957207E-2</c:v>
                </c:pt>
                <c:pt idx="68">
                  <c:v>2.3794373702957207E-2</c:v>
                </c:pt>
                <c:pt idx="69">
                  <c:v>2.3794373702957207E-2</c:v>
                </c:pt>
                <c:pt idx="70">
                  <c:v>2.3794373702957207E-2</c:v>
                </c:pt>
                <c:pt idx="71">
                  <c:v>2.3794373702957207E-2</c:v>
                </c:pt>
                <c:pt idx="72">
                  <c:v>2.3794373702957207E-2</c:v>
                </c:pt>
                <c:pt idx="73">
                  <c:v>2.3794373702957207E-2</c:v>
                </c:pt>
                <c:pt idx="74">
                  <c:v>2.3794373702957207E-2</c:v>
                </c:pt>
                <c:pt idx="75">
                  <c:v>2.3794373702957207E-2</c:v>
                </c:pt>
                <c:pt idx="76">
                  <c:v>2.3794373702957207E-2</c:v>
                </c:pt>
                <c:pt idx="77">
                  <c:v>2.3794373702957207E-2</c:v>
                </c:pt>
                <c:pt idx="78">
                  <c:v>2.3794373702957207E-2</c:v>
                </c:pt>
                <c:pt idx="79">
                  <c:v>2.3794373702957207E-2</c:v>
                </c:pt>
                <c:pt idx="80">
                  <c:v>2.3794373702957207E-2</c:v>
                </c:pt>
                <c:pt idx="81">
                  <c:v>2.3794373702957207E-2</c:v>
                </c:pt>
                <c:pt idx="82">
                  <c:v>2.3794373702957207E-2</c:v>
                </c:pt>
                <c:pt idx="83">
                  <c:v>2.3794373702957207E-2</c:v>
                </c:pt>
                <c:pt idx="84">
                  <c:v>2.3794373702957207E-2</c:v>
                </c:pt>
                <c:pt idx="85">
                  <c:v>2.3794373702957207E-2</c:v>
                </c:pt>
                <c:pt idx="86">
                  <c:v>2.3794373702957207E-2</c:v>
                </c:pt>
                <c:pt idx="87">
                  <c:v>2.3794373702957207E-2</c:v>
                </c:pt>
                <c:pt idx="88">
                  <c:v>2.3794373702957207E-2</c:v>
                </c:pt>
                <c:pt idx="89">
                  <c:v>2.3794373702957207E-2</c:v>
                </c:pt>
                <c:pt idx="90">
                  <c:v>2.3794373702957207E-2</c:v>
                </c:pt>
                <c:pt idx="91">
                  <c:v>2.3794373702957207E-2</c:v>
                </c:pt>
                <c:pt idx="92">
                  <c:v>2.3794373702957207E-2</c:v>
                </c:pt>
                <c:pt idx="93">
                  <c:v>2.3794373702957207E-2</c:v>
                </c:pt>
                <c:pt idx="94">
                  <c:v>2.3794373702957207E-2</c:v>
                </c:pt>
                <c:pt idx="95">
                  <c:v>2.3794373702957207E-2</c:v>
                </c:pt>
                <c:pt idx="96">
                  <c:v>2.3794373702957207E-2</c:v>
                </c:pt>
                <c:pt idx="97">
                  <c:v>2.3794373702957207E-2</c:v>
                </c:pt>
                <c:pt idx="98">
                  <c:v>2.3794373702957207E-2</c:v>
                </c:pt>
                <c:pt idx="99">
                  <c:v>2.3794373702957207E-2</c:v>
                </c:pt>
                <c:pt idx="100">
                  <c:v>2.3794373702957207E-2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8-4442-8439-339BA30A23F9}"/>
            </c:ext>
          </c:extLst>
        </c:ser>
        <c:ser>
          <c:idx val="0"/>
          <c:order val="1"/>
          <c:tx>
            <c:strRef>
              <c:f>NPpremie_inkomen!$J$8:$J$9</c:f>
              <c:strCache>
                <c:ptCount val="2"/>
                <c:pt idx="0">
                  <c:v>MvT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NPpremie_inkomen!$J$10:$J$110</c:f>
              <c:numCache>
                <c:formatCode>0.00%</c:formatCode>
                <c:ptCount val="1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0.29636049750738075</c:v>
                </c:pt>
                <c:pt idx="17">
                  <c:v>0.15744151430079603</c:v>
                </c:pt>
                <c:pt idx="18">
                  <c:v>0.11113518656526777</c:v>
                </c:pt>
                <c:pt idx="19">
                  <c:v>8.7982022697503659E-2</c:v>
                </c:pt>
                <c:pt idx="20">
                  <c:v>7.4090124376845187E-2</c:v>
                </c:pt>
                <c:pt idx="21">
                  <c:v>6.482885882973953E-2</c:v>
                </c:pt>
                <c:pt idx="22">
                  <c:v>5.8213669153235503E-2</c:v>
                </c:pt>
                <c:pt idx="23">
                  <c:v>5.325227689585748E-2</c:v>
                </c:pt>
                <c:pt idx="24">
                  <c:v>4.9393416251230123E-2</c:v>
                </c:pt>
                <c:pt idx="25">
                  <c:v>4.6306327735528244E-2</c:v>
                </c:pt>
                <c:pt idx="26">
                  <c:v>4.3780528040863069E-2</c:v>
                </c:pt>
                <c:pt idx="27">
                  <c:v>4.1675694961975422E-2</c:v>
                </c:pt>
                <c:pt idx="28">
                  <c:v>3.9894682356762794E-2</c:v>
                </c:pt>
                <c:pt idx="29">
                  <c:v>3.8368100123723395E-2</c:v>
                </c:pt>
                <c:pt idx="30">
                  <c:v>3.7045062188422594E-2</c:v>
                </c:pt>
                <c:pt idx="31">
                  <c:v>3.5887403995034386E-2</c:v>
                </c:pt>
                <c:pt idx="32">
                  <c:v>3.4865940883221265E-2</c:v>
                </c:pt>
                <c:pt idx="33">
                  <c:v>3.3957973672720715E-2</c:v>
                </c:pt>
                <c:pt idx="34">
                  <c:v>3.3145581958062324E-2</c:v>
                </c:pt>
                <c:pt idx="35">
                  <c:v>3.2414429414869765E-2</c:v>
                </c:pt>
                <c:pt idx="36">
                  <c:v>3.1752910447219361E-2</c:v>
                </c:pt>
                <c:pt idx="37">
                  <c:v>3.1151529567537181E-2</c:v>
                </c:pt>
                <c:pt idx="38">
                  <c:v>3.0602442677392577E-2</c:v>
                </c:pt>
                <c:pt idx="39">
                  <c:v>3.0099113028093358E-2</c:v>
                </c:pt>
                <c:pt idx="40">
                  <c:v>2.9636049750738077E-2</c:v>
                </c:pt>
                <c:pt idx="41">
                  <c:v>2.9208606725487044E-2</c:v>
                </c:pt>
                <c:pt idx="42">
                  <c:v>2.8812826146550903E-2</c:v>
                </c:pt>
                <c:pt idx="43">
                  <c:v>2.8445315608967348E-2</c:v>
                </c:pt>
                <c:pt idx="44">
                  <c:v>2.8103150625699898E-2</c:v>
                </c:pt>
                <c:pt idx="45">
                  <c:v>2.7783796641316947E-2</c:v>
                </c:pt>
                <c:pt idx="46">
                  <c:v>2.7485046139797409E-2</c:v>
                </c:pt>
                <c:pt idx="47">
                  <c:v>2.720496754462284E-2</c:v>
                </c:pt>
                <c:pt idx="48">
                  <c:v>2.6941863409761884E-2</c:v>
                </c:pt>
                <c:pt idx="49">
                  <c:v>2.6694235988716279E-2</c:v>
                </c:pt>
                <c:pt idx="50">
                  <c:v>2.6460758706016139E-2</c:v>
                </c:pt>
                <c:pt idx="51">
                  <c:v>2.6240252383466004E-2</c:v>
                </c:pt>
                <c:pt idx="52">
                  <c:v>2.6031665321594254E-2</c:v>
                </c:pt>
                <c:pt idx="53">
                  <c:v>2.5834056526136809E-2</c:v>
                </c:pt>
                <c:pt idx="54">
                  <c:v>2.5646581515061797E-2</c:v>
                </c:pt>
                <c:pt idx="55">
                  <c:v>2.5468480254540533E-2</c:v>
                </c:pt>
                <c:pt idx="56">
                  <c:v>2.5299066860386164E-2</c:v>
                </c:pt>
                <c:pt idx="57">
                  <c:v>2.5137720770715331E-2</c:v>
                </c:pt>
                <c:pt idx="58">
                  <c:v>2.4983879150331515E-2</c:v>
                </c:pt>
                <c:pt idx="59">
                  <c:v>2.4837030330874241E-2</c:v>
                </c:pt>
                <c:pt idx="60">
                  <c:v>2.4696708125615061E-2</c:v>
                </c:pt>
                <c:pt idx="61">
                  <c:v>2.4562486885801937E-2</c:v>
                </c:pt>
                <c:pt idx="62">
                  <c:v>2.4433977188108517E-2</c:v>
                </c:pt>
                <c:pt idx="63">
                  <c:v>2.4310822061152326E-2</c:v>
                </c:pt>
                <c:pt idx="64">
                  <c:v>2.4192693674071897E-2</c:v>
                </c:pt>
                <c:pt idx="65">
                  <c:v>2.4079290422474683E-2</c:v>
                </c:pt>
                <c:pt idx="66">
                  <c:v>2.3970334357214618E-2</c:v>
                </c:pt>
                <c:pt idx="67">
                  <c:v>2.3865568909849168E-2</c:v>
                </c:pt>
                <c:pt idx="68">
                  <c:v>2.3764756875591854E-2</c:v>
                </c:pt>
                <c:pt idx="69">
                  <c:v>2.3667678620381102E-2</c:v>
                </c:pt>
                <c:pt idx="70">
                  <c:v>2.357413048354165E-2</c:v>
                </c:pt>
                <c:pt idx="71">
                  <c:v>2.3483923351589324E-2</c:v>
                </c:pt>
                <c:pt idx="72">
                  <c:v>2.3396881382161637E-2</c:v>
                </c:pt>
                <c:pt idx="73">
                  <c:v>2.3312840859955598E-2</c:v>
                </c:pt>
                <c:pt idx="74">
                  <c:v>2.3231649169010778E-2</c:v>
                </c:pt>
                <c:pt idx="75">
                  <c:v>2.3153163867764122E-2</c:v>
                </c:pt>
                <c:pt idx="76">
                  <c:v>2.3077251855082928E-2</c:v>
                </c:pt>
                <c:pt idx="77">
                  <c:v>2.3003788617004351E-2</c:v>
                </c:pt>
                <c:pt idx="78">
                  <c:v>2.2932657545213987E-2</c:v>
                </c:pt>
                <c:pt idx="79">
                  <c:v>2.2863749319417068E-2</c:v>
                </c:pt>
                <c:pt idx="80">
                  <c:v>2.2796961346721597E-2</c:v>
                </c:pt>
                <c:pt idx="81">
                  <c:v>2.273219725198659E-2</c:v>
                </c:pt>
                <c:pt idx="82">
                  <c:v>2.266936641381084E-2</c:v>
                </c:pt>
                <c:pt idx="83">
                  <c:v>2.260838354146379E-2</c:v>
                </c:pt>
                <c:pt idx="84">
                  <c:v>2.2549168288605054E-2</c:v>
                </c:pt>
                <c:pt idx="85">
                  <c:v>2.2491644900113718E-2</c:v>
                </c:pt>
                <c:pt idx="86">
                  <c:v>2.2435741888762979E-2</c:v>
                </c:pt>
                <c:pt idx="87">
                  <c:v>2.238139173883865E-2</c:v>
                </c:pt>
                <c:pt idx="88">
                  <c:v>2.2328530634117726E-2</c:v>
                </c:pt>
                <c:pt idx="89">
                  <c:v>2.2277098207902774E-2</c:v>
                </c:pt>
                <c:pt idx="90">
                  <c:v>2.2227037313053557E-2</c:v>
                </c:pt>
                <c:pt idx="91">
                  <c:v>2.2178293810174051E-2</c:v>
                </c:pt>
                <c:pt idx="92">
                  <c:v>2.2130816372304407E-2</c:v>
                </c:pt>
                <c:pt idx="93">
                  <c:v>2.2084556304636547E-2</c:v>
                </c:pt>
                <c:pt idx="94">
                  <c:v>2.2039467377922301E-2</c:v>
                </c:pt>
                <c:pt idx="95">
                  <c:v>2.1995505674375915E-2</c:v>
                </c:pt>
                <c:pt idx="96">
                  <c:v>2.1952629444991167E-2</c:v>
                </c:pt>
                <c:pt idx="97">
                  <c:v>2.191079897729873E-2</c:v>
                </c:pt>
                <c:pt idx="98">
                  <c:v>2.1869976472683218E-2</c:v>
                </c:pt>
                <c:pt idx="99">
                  <c:v>2.1830125932463314E-2</c:v>
                </c:pt>
                <c:pt idx="100">
                  <c:v>2.179121305201329E-2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8-4442-8439-339BA30A23F9}"/>
            </c:ext>
          </c:extLst>
        </c:ser>
        <c:ser>
          <c:idx val="2"/>
          <c:order val="2"/>
          <c:tx>
            <c:strRef>
              <c:f>NPpremie_inkomen!$M$8:$M$9</c:f>
              <c:strCache>
                <c:ptCount val="2"/>
                <c:pt idx="0">
                  <c:v>MvT</c:v>
                </c:pt>
                <c:pt idx="1">
                  <c:v>x1, risico vanaf AOW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NPpremie_inkomen!$M$10:$M$110</c:f>
              <c:numCache>
                <c:formatCode>0.00%</c:formatCode>
                <c:ptCount val="1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0.40878852115433495</c:v>
                </c:pt>
                <c:pt idx="17">
                  <c:v>0.21716890186324045</c:v>
                </c:pt>
                <c:pt idx="18">
                  <c:v>0.15329569543287561</c:v>
                </c:pt>
                <c:pt idx="19">
                  <c:v>0.1213590922176932</c:v>
                </c:pt>
                <c:pt idx="20">
                  <c:v>0.10219713028858375</c:v>
                </c:pt>
                <c:pt idx="21">
                  <c:v>8.9422489002510763E-2</c:v>
                </c:pt>
                <c:pt idx="22">
                  <c:v>8.0297745226744363E-2</c:v>
                </c:pt>
                <c:pt idx="23">
                  <c:v>7.345418739491956E-2</c:v>
                </c:pt>
                <c:pt idx="24">
                  <c:v>6.8131420192389158E-2</c:v>
                </c:pt>
                <c:pt idx="25">
                  <c:v>6.3873206430364843E-2</c:v>
                </c:pt>
                <c:pt idx="26">
                  <c:v>6.0389213352344935E-2</c:v>
                </c:pt>
                <c:pt idx="27">
                  <c:v>5.7485885787328356E-2</c:v>
                </c:pt>
                <c:pt idx="28">
                  <c:v>5.5029224001545092E-2</c:v>
                </c:pt>
                <c:pt idx="29">
                  <c:v>5.2923513899445149E-2</c:v>
                </c:pt>
                <c:pt idx="30">
                  <c:v>5.1098565144291869E-2</c:v>
                </c:pt>
                <c:pt idx="31">
                  <c:v>4.9501734983532747E-2</c:v>
                </c:pt>
                <c:pt idx="32">
                  <c:v>4.8092767194627642E-2</c:v>
                </c:pt>
                <c:pt idx="33">
                  <c:v>4.6840351382267546E-2</c:v>
                </c:pt>
                <c:pt idx="34">
                  <c:v>4.5719768813313778E-2</c:v>
                </c:pt>
                <c:pt idx="35">
                  <c:v>4.4711244501255382E-2</c:v>
                </c:pt>
                <c:pt idx="36">
                  <c:v>4.3798770123678742E-2</c:v>
                </c:pt>
                <c:pt idx="37">
                  <c:v>4.2969247962245431E-2</c:v>
                </c:pt>
                <c:pt idx="38">
                  <c:v>4.2211858162675898E-2</c:v>
                </c:pt>
                <c:pt idx="39">
                  <c:v>4.1517584179737145E-2</c:v>
                </c:pt>
                <c:pt idx="40">
                  <c:v>4.0878852115433496E-2</c:v>
                </c:pt>
                <c:pt idx="41">
                  <c:v>4.028925328684551E-2</c:v>
                </c:pt>
                <c:pt idx="42">
                  <c:v>3.974332844556034E-2</c:v>
                </c:pt>
                <c:pt idx="43">
                  <c:v>3.9236398235795542E-2</c:v>
                </c:pt>
                <c:pt idx="44">
                  <c:v>3.8764428730152449E-2</c:v>
                </c:pt>
                <c:pt idx="45">
                  <c:v>3.8323923858218902E-2</c:v>
                </c:pt>
                <c:pt idx="46">
                  <c:v>3.7911838655442356E-2</c:v>
                </c:pt>
                <c:pt idx="47">
                  <c:v>3.7525508777839341E-2</c:v>
                </c:pt>
                <c:pt idx="48">
                  <c:v>3.7162592832212266E-2</c:v>
                </c:pt>
                <c:pt idx="49">
                  <c:v>3.6821024883386788E-2</c:v>
                </c:pt>
                <c:pt idx="50">
                  <c:v>3.6498975103065621E-2</c:v>
                </c:pt>
                <c:pt idx="51">
                  <c:v>3.6194816977206744E-2</c:v>
                </c:pt>
                <c:pt idx="52">
                  <c:v>3.5907099831124015E-2</c:v>
                </c:pt>
                <c:pt idx="53">
                  <c:v>3.563452569272986E-2</c:v>
                </c:pt>
                <c:pt idx="54">
                  <c:v>3.5375929715278989E-2</c:v>
                </c:pt>
                <c:pt idx="55">
                  <c:v>3.5130263536700665E-2</c:v>
                </c:pt>
                <c:pt idx="56">
                  <c:v>3.489658107415055E-2</c:v>
                </c:pt>
                <c:pt idx="57">
                  <c:v>3.4674026347912335E-2</c:v>
                </c:pt>
                <c:pt idx="58">
                  <c:v>3.4461823004289863E-2</c:v>
                </c:pt>
                <c:pt idx="59">
                  <c:v>3.4259265267195686E-2</c:v>
                </c:pt>
                <c:pt idx="60">
                  <c:v>3.4065710096194579E-2</c:v>
                </c:pt>
                <c:pt idx="61">
                  <c:v>3.3880570367410913E-2</c:v>
                </c:pt>
                <c:pt idx="62">
                  <c:v>3.3703308924958465E-2</c:v>
                </c:pt>
                <c:pt idx="63">
                  <c:v>3.3533433375941536E-2</c:v>
                </c:pt>
                <c:pt idx="64">
                  <c:v>3.3370491522802852E-2</c:v>
                </c:pt>
                <c:pt idx="65">
                  <c:v>3.3214067343789712E-2</c:v>
                </c:pt>
                <c:pt idx="66">
                  <c:v>3.3063777446306501E-2</c:v>
                </c:pt>
                <c:pt idx="67">
                  <c:v>3.2919267929495725E-2</c:v>
                </c:pt>
                <c:pt idx="68">
                  <c:v>3.2780211601998559E-2</c:v>
                </c:pt>
                <c:pt idx="69">
                  <c:v>3.2646305508853134E-2</c:v>
                </c:pt>
                <c:pt idx="70">
                  <c:v>3.2517268728185729E-2</c:v>
                </c:pt>
                <c:pt idx="71">
                  <c:v>3.2392840403970738E-2</c:v>
                </c:pt>
                <c:pt idx="72">
                  <c:v>3.2272777985868549E-2</c:v>
                </c:pt>
                <c:pt idx="73">
                  <c:v>3.2156855651149188E-2</c:v>
                </c:pt>
                <c:pt idx="74">
                  <c:v>3.2044862887098291E-2</c:v>
                </c:pt>
                <c:pt idx="75">
                  <c:v>3.1936603215182421E-2</c:v>
                </c:pt>
                <c:pt idx="76">
                  <c:v>3.183189304070641E-2</c:v>
                </c:pt>
                <c:pt idx="77">
                  <c:v>3.1730560613794145E-2</c:v>
                </c:pt>
                <c:pt idx="78">
                  <c:v>3.1632445089323544E-2</c:v>
                </c:pt>
                <c:pt idx="79">
                  <c:v>3.1537395674992641E-2</c:v>
                </c:pt>
                <c:pt idx="80">
                  <c:v>3.1445270858025766E-2</c:v>
                </c:pt>
                <c:pt idx="81">
                  <c:v>3.1355937702179107E-2</c:v>
                </c:pt>
                <c:pt idx="82">
                  <c:v>3.126927120770099E-2</c:v>
                </c:pt>
                <c:pt idx="83">
                  <c:v>3.1185153727766358E-2</c:v>
                </c:pt>
                <c:pt idx="84">
                  <c:v>3.1103474435655917E-2</c:v>
                </c:pt>
                <c:pt idx="85">
                  <c:v>3.1024128837605774E-2</c:v>
                </c:pt>
                <c:pt idx="86">
                  <c:v>3.094701832682465E-2</c:v>
                </c:pt>
                <c:pt idx="87">
                  <c:v>3.0872049774676336E-2</c:v>
                </c:pt>
                <c:pt idx="88">
                  <c:v>3.0799135155463592E-2</c:v>
                </c:pt>
                <c:pt idx="89">
                  <c:v>3.0728191201634975E-2</c:v>
                </c:pt>
                <c:pt idx="90">
                  <c:v>3.0659139086575121E-2</c:v>
                </c:pt>
                <c:pt idx="91">
                  <c:v>3.0591904132437894E-2</c:v>
                </c:pt>
                <c:pt idx="92">
                  <c:v>3.052641554074579E-2</c:v>
                </c:pt>
                <c:pt idx="93">
                  <c:v>3.0462606143712458E-2</c:v>
                </c:pt>
                <c:pt idx="94">
                  <c:v>3.0400412174452125E-2</c:v>
                </c:pt>
                <c:pt idx="95">
                  <c:v>3.0339773054423296E-2</c:v>
                </c:pt>
                <c:pt idx="96">
                  <c:v>3.0280631196617405E-2</c:v>
                </c:pt>
                <c:pt idx="97">
                  <c:v>3.0222931823148239E-2</c:v>
                </c:pt>
                <c:pt idx="98">
                  <c:v>3.016662279602773E-2</c:v>
                </c:pt>
                <c:pt idx="99">
                  <c:v>3.0111654460029138E-2</c:v>
                </c:pt>
                <c:pt idx="100">
                  <c:v>3.0057979496642278E-2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18-4442-8439-339BA30A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NPpremie_inkomen!$AA$9</c:f>
          <c:strCache>
            <c:ptCount val="1"/>
            <c:pt idx="0">
              <c:v>Uitkeringsknip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NPpremie_inkomen!$N$8:$N$9</c:f>
              <c:strCache>
                <c:ptCount val="2"/>
                <c:pt idx="0">
                  <c:v>Uitkeringsknip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NPpremie_inkomen!$N$10:$N$110</c:f>
              <c:numCache>
                <c:formatCode>0.00%</c:formatCode>
                <c:ptCount val="101"/>
                <c:pt idx="0">
                  <c:v>3.4197010420295985E-2</c:v>
                </c:pt>
                <c:pt idx="1">
                  <c:v>3.4197010420295985E-2</c:v>
                </c:pt>
                <c:pt idx="2">
                  <c:v>3.4197010420295985E-2</c:v>
                </c:pt>
                <c:pt idx="3">
                  <c:v>3.4197010420295985E-2</c:v>
                </c:pt>
                <c:pt idx="4">
                  <c:v>3.4197010420295985E-2</c:v>
                </c:pt>
                <c:pt idx="5">
                  <c:v>3.4197010420295985E-2</c:v>
                </c:pt>
                <c:pt idx="6">
                  <c:v>3.4197010420295985E-2</c:v>
                </c:pt>
                <c:pt idx="7">
                  <c:v>3.4197010420295985E-2</c:v>
                </c:pt>
                <c:pt idx="8">
                  <c:v>3.4197010420295985E-2</c:v>
                </c:pt>
                <c:pt idx="9">
                  <c:v>3.4197010420295985E-2</c:v>
                </c:pt>
                <c:pt idx="10">
                  <c:v>3.4197010420295985E-2</c:v>
                </c:pt>
                <c:pt idx="11">
                  <c:v>3.4197010420295985E-2</c:v>
                </c:pt>
                <c:pt idx="12">
                  <c:v>3.4197010420295985E-2</c:v>
                </c:pt>
                <c:pt idx="13">
                  <c:v>3.4197010420295985E-2</c:v>
                </c:pt>
                <c:pt idx="14">
                  <c:v>3.4197010420295985E-2</c:v>
                </c:pt>
                <c:pt idx="15">
                  <c:v>3.4197010420295985E-2</c:v>
                </c:pt>
                <c:pt idx="16">
                  <c:v>3.4197010420295985E-2</c:v>
                </c:pt>
                <c:pt idx="17">
                  <c:v>3.4197010420295985E-2</c:v>
                </c:pt>
                <c:pt idx="18">
                  <c:v>3.4197010420295985E-2</c:v>
                </c:pt>
                <c:pt idx="19">
                  <c:v>3.4197010420295985E-2</c:v>
                </c:pt>
                <c:pt idx="20">
                  <c:v>3.4197010420295985E-2</c:v>
                </c:pt>
                <c:pt idx="21">
                  <c:v>3.4197010420295985E-2</c:v>
                </c:pt>
                <c:pt idx="22">
                  <c:v>3.4197010420295985E-2</c:v>
                </c:pt>
                <c:pt idx="23">
                  <c:v>3.4197010420295985E-2</c:v>
                </c:pt>
                <c:pt idx="24">
                  <c:v>3.4197010420295985E-2</c:v>
                </c:pt>
                <c:pt idx="25">
                  <c:v>3.4197010420295985E-2</c:v>
                </c:pt>
                <c:pt idx="26">
                  <c:v>3.4197010420295985E-2</c:v>
                </c:pt>
                <c:pt idx="27">
                  <c:v>3.4197010420295985E-2</c:v>
                </c:pt>
                <c:pt idx="28">
                  <c:v>3.4197010420295985E-2</c:v>
                </c:pt>
                <c:pt idx="29">
                  <c:v>3.4197010420295985E-2</c:v>
                </c:pt>
                <c:pt idx="30">
                  <c:v>3.4197010420295985E-2</c:v>
                </c:pt>
                <c:pt idx="31">
                  <c:v>3.4197010420295985E-2</c:v>
                </c:pt>
                <c:pt idx="32">
                  <c:v>3.4197010420295985E-2</c:v>
                </c:pt>
                <c:pt idx="33">
                  <c:v>3.4197010420295985E-2</c:v>
                </c:pt>
                <c:pt idx="34">
                  <c:v>3.4197010420295985E-2</c:v>
                </c:pt>
                <c:pt idx="35">
                  <c:v>3.4197010420295985E-2</c:v>
                </c:pt>
                <c:pt idx="36">
                  <c:v>3.4197010420295985E-2</c:v>
                </c:pt>
                <c:pt idx="37">
                  <c:v>3.4197010420295985E-2</c:v>
                </c:pt>
                <c:pt idx="38">
                  <c:v>3.4197010420295985E-2</c:v>
                </c:pt>
                <c:pt idx="39">
                  <c:v>3.4197010420295985E-2</c:v>
                </c:pt>
                <c:pt idx="40">
                  <c:v>3.4197010420295985E-2</c:v>
                </c:pt>
                <c:pt idx="41">
                  <c:v>3.4197010420295985E-2</c:v>
                </c:pt>
                <c:pt idx="42">
                  <c:v>3.4197010420295985E-2</c:v>
                </c:pt>
                <c:pt idx="43">
                  <c:v>3.4197010420295985E-2</c:v>
                </c:pt>
                <c:pt idx="44">
                  <c:v>3.4197010420295985E-2</c:v>
                </c:pt>
                <c:pt idx="45">
                  <c:v>3.4197010420295985E-2</c:v>
                </c:pt>
                <c:pt idx="46">
                  <c:v>3.4197010420295985E-2</c:v>
                </c:pt>
                <c:pt idx="47">
                  <c:v>3.4197010420295985E-2</c:v>
                </c:pt>
                <c:pt idx="48">
                  <c:v>3.4197010420295985E-2</c:v>
                </c:pt>
                <c:pt idx="49">
                  <c:v>3.4197010420295985E-2</c:v>
                </c:pt>
                <c:pt idx="50">
                  <c:v>3.4197010420295985E-2</c:v>
                </c:pt>
                <c:pt idx="51">
                  <c:v>3.4197010420295985E-2</c:v>
                </c:pt>
                <c:pt idx="52">
                  <c:v>3.4197010420295985E-2</c:v>
                </c:pt>
                <c:pt idx="53">
                  <c:v>3.4197010420295985E-2</c:v>
                </c:pt>
                <c:pt idx="54">
                  <c:v>3.4197010420295985E-2</c:v>
                </c:pt>
                <c:pt idx="55">
                  <c:v>3.4197010420295985E-2</c:v>
                </c:pt>
                <c:pt idx="56">
                  <c:v>3.4197010420295985E-2</c:v>
                </c:pt>
                <c:pt idx="57">
                  <c:v>3.4197010420295985E-2</c:v>
                </c:pt>
                <c:pt idx="58">
                  <c:v>3.4197010420295985E-2</c:v>
                </c:pt>
                <c:pt idx="59">
                  <c:v>3.4197010420295985E-2</c:v>
                </c:pt>
                <c:pt idx="60">
                  <c:v>3.4197010420295985E-2</c:v>
                </c:pt>
                <c:pt idx="61">
                  <c:v>3.4197010420295985E-2</c:v>
                </c:pt>
                <c:pt idx="62">
                  <c:v>3.4197010420295985E-2</c:v>
                </c:pt>
                <c:pt idx="63">
                  <c:v>3.4197010420295985E-2</c:v>
                </c:pt>
                <c:pt idx="64">
                  <c:v>3.4197010420295985E-2</c:v>
                </c:pt>
                <c:pt idx="65">
                  <c:v>3.4197010420295985E-2</c:v>
                </c:pt>
                <c:pt idx="66">
                  <c:v>3.4197010420295985E-2</c:v>
                </c:pt>
                <c:pt idx="67">
                  <c:v>3.4197010420295985E-2</c:v>
                </c:pt>
                <c:pt idx="68">
                  <c:v>3.4197010420295985E-2</c:v>
                </c:pt>
                <c:pt idx="69">
                  <c:v>3.4197010420295985E-2</c:v>
                </c:pt>
                <c:pt idx="70">
                  <c:v>3.4197010420295985E-2</c:v>
                </c:pt>
                <c:pt idx="71">
                  <c:v>3.4197010420295985E-2</c:v>
                </c:pt>
                <c:pt idx="72">
                  <c:v>3.4197010420295985E-2</c:v>
                </c:pt>
                <c:pt idx="73">
                  <c:v>3.4197010420295985E-2</c:v>
                </c:pt>
                <c:pt idx="74">
                  <c:v>3.4197010420295985E-2</c:v>
                </c:pt>
                <c:pt idx="75">
                  <c:v>3.4197010420295985E-2</c:v>
                </c:pt>
                <c:pt idx="76">
                  <c:v>3.4197010420295985E-2</c:v>
                </c:pt>
                <c:pt idx="77">
                  <c:v>3.4197010420295985E-2</c:v>
                </c:pt>
                <c:pt idx="78">
                  <c:v>3.4197010420295985E-2</c:v>
                </c:pt>
                <c:pt idx="79">
                  <c:v>3.4197010420295985E-2</c:v>
                </c:pt>
                <c:pt idx="80">
                  <c:v>3.4197010420295985E-2</c:v>
                </c:pt>
                <c:pt idx="81">
                  <c:v>3.4197010420295985E-2</c:v>
                </c:pt>
                <c:pt idx="82">
                  <c:v>3.4197010420295985E-2</c:v>
                </c:pt>
                <c:pt idx="83">
                  <c:v>3.4197010420295985E-2</c:v>
                </c:pt>
                <c:pt idx="84">
                  <c:v>3.4197010420295985E-2</c:v>
                </c:pt>
                <c:pt idx="85">
                  <c:v>3.4197010420295985E-2</c:v>
                </c:pt>
                <c:pt idx="86">
                  <c:v>3.4197010420295985E-2</c:v>
                </c:pt>
                <c:pt idx="87">
                  <c:v>3.4197010420295985E-2</c:v>
                </c:pt>
                <c:pt idx="88">
                  <c:v>3.4197010420295985E-2</c:v>
                </c:pt>
                <c:pt idx="89">
                  <c:v>3.4197010420295985E-2</c:v>
                </c:pt>
                <c:pt idx="90">
                  <c:v>3.4197010420295985E-2</c:v>
                </c:pt>
                <c:pt idx="91">
                  <c:v>3.4197010420295985E-2</c:v>
                </c:pt>
                <c:pt idx="92">
                  <c:v>3.4197010420295985E-2</c:v>
                </c:pt>
                <c:pt idx="93">
                  <c:v>3.4197010420295985E-2</c:v>
                </c:pt>
                <c:pt idx="94">
                  <c:v>3.4197010420295985E-2</c:v>
                </c:pt>
                <c:pt idx="95">
                  <c:v>3.4197010420295985E-2</c:v>
                </c:pt>
                <c:pt idx="96">
                  <c:v>3.4197010420295985E-2</c:v>
                </c:pt>
                <c:pt idx="97">
                  <c:v>3.4197010420295985E-2</c:v>
                </c:pt>
                <c:pt idx="98">
                  <c:v>3.4197010420295985E-2</c:v>
                </c:pt>
                <c:pt idx="99">
                  <c:v>3.4197010420295985E-2</c:v>
                </c:pt>
                <c:pt idx="100">
                  <c:v>3.4197010420295985E-2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9-4202-A192-47A23EFDF079}"/>
            </c:ext>
          </c:extLst>
        </c:ser>
        <c:ser>
          <c:idx val="0"/>
          <c:order val="1"/>
          <c:tx>
            <c:strRef>
              <c:f>NPpremie_inkomen!$O$8:$O$9</c:f>
              <c:strCache>
                <c:ptCount val="2"/>
                <c:pt idx="0">
                  <c:v>Uitkeringsknip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NPpremie_inkomen!$O$10:$O$110</c:f>
              <c:numCache>
                <c:formatCode>0.00%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0.29636049750738075</c:v>
                </c:pt>
                <c:pt idx="17">
                  <c:v>0.15744151430079603</c:v>
                </c:pt>
                <c:pt idx="18">
                  <c:v>0.11113518656526777</c:v>
                </c:pt>
                <c:pt idx="19">
                  <c:v>8.7982022697503659E-2</c:v>
                </c:pt>
                <c:pt idx="20">
                  <c:v>7.4090124376845187E-2</c:v>
                </c:pt>
                <c:pt idx="21">
                  <c:v>6.482885882973953E-2</c:v>
                </c:pt>
                <c:pt idx="22">
                  <c:v>5.8213669153235503E-2</c:v>
                </c:pt>
                <c:pt idx="23">
                  <c:v>5.325227689585748E-2</c:v>
                </c:pt>
                <c:pt idx="24">
                  <c:v>4.9393416251230123E-2</c:v>
                </c:pt>
                <c:pt idx="25">
                  <c:v>4.6306327735528244E-2</c:v>
                </c:pt>
                <c:pt idx="26">
                  <c:v>4.3780528040863069E-2</c:v>
                </c:pt>
                <c:pt idx="27">
                  <c:v>4.1675694961975422E-2</c:v>
                </c:pt>
                <c:pt idx="28">
                  <c:v>3.9894682356762794E-2</c:v>
                </c:pt>
                <c:pt idx="29">
                  <c:v>3.8368100123723395E-2</c:v>
                </c:pt>
                <c:pt idx="30">
                  <c:v>3.7045062188422594E-2</c:v>
                </c:pt>
                <c:pt idx="31">
                  <c:v>3.5887403995034386E-2</c:v>
                </c:pt>
                <c:pt idx="32">
                  <c:v>3.4865940883221265E-2</c:v>
                </c:pt>
                <c:pt idx="33">
                  <c:v>3.3957973672720715E-2</c:v>
                </c:pt>
                <c:pt idx="34">
                  <c:v>3.3145581958062324E-2</c:v>
                </c:pt>
                <c:pt idx="35">
                  <c:v>3.2414429414869765E-2</c:v>
                </c:pt>
                <c:pt idx="36">
                  <c:v>3.1752910447219361E-2</c:v>
                </c:pt>
                <c:pt idx="37">
                  <c:v>3.1151529567537181E-2</c:v>
                </c:pt>
                <c:pt idx="38">
                  <c:v>3.0602442677392577E-2</c:v>
                </c:pt>
                <c:pt idx="39">
                  <c:v>3.0099113028093358E-2</c:v>
                </c:pt>
                <c:pt idx="40">
                  <c:v>2.9636049750738077E-2</c:v>
                </c:pt>
                <c:pt idx="41">
                  <c:v>2.9208606725487044E-2</c:v>
                </c:pt>
                <c:pt idx="42">
                  <c:v>2.8812826146550903E-2</c:v>
                </c:pt>
                <c:pt idx="43">
                  <c:v>2.8445315608967348E-2</c:v>
                </c:pt>
                <c:pt idx="44">
                  <c:v>2.8103150625699898E-2</c:v>
                </c:pt>
                <c:pt idx="45">
                  <c:v>2.7783796641316947E-2</c:v>
                </c:pt>
                <c:pt idx="46">
                  <c:v>2.7485046139797409E-2</c:v>
                </c:pt>
                <c:pt idx="47">
                  <c:v>2.720496754462284E-2</c:v>
                </c:pt>
                <c:pt idx="48">
                  <c:v>2.6941863409761884E-2</c:v>
                </c:pt>
                <c:pt idx="49">
                  <c:v>2.6694235988716279E-2</c:v>
                </c:pt>
                <c:pt idx="50">
                  <c:v>2.6460758706016139E-2</c:v>
                </c:pt>
                <c:pt idx="51">
                  <c:v>2.6240252383466004E-2</c:v>
                </c:pt>
                <c:pt idx="52">
                  <c:v>2.6031665321594254E-2</c:v>
                </c:pt>
                <c:pt idx="53">
                  <c:v>2.5834056526136809E-2</c:v>
                </c:pt>
                <c:pt idx="54">
                  <c:v>2.5646581515061797E-2</c:v>
                </c:pt>
                <c:pt idx="55">
                  <c:v>2.5468480254540533E-2</c:v>
                </c:pt>
                <c:pt idx="56">
                  <c:v>2.5299066860386164E-2</c:v>
                </c:pt>
                <c:pt idx="57">
                  <c:v>2.5137720770715331E-2</c:v>
                </c:pt>
                <c:pt idx="58">
                  <c:v>2.4983879150331515E-2</c:v>
                </c:pt>
                <c:pt idx="59">
                  <c:v>2.4837030330874241E-2</c:v>
                </c:pt>
                <c:pt idx="60">
                  <c:v>2.4696708125615061E-2</c:v>
                </c:pt>
                <c:pt idx="61">
                  <c:v>2.4562486885801937E-2</c:v>
                </c:pt>
                <c:pt idx="62">
                  <c:v>2.4433977188108517E-2</c:v>
                </c:pt>
                <c:pt idx="63">
                  <c:v>2.4310822061152326E-2</c:v>
                </c:pt>
                <c:pt idx="64">
                  <c:v>2.4192693674071897E-2</c:v>
                </c:pt>
                <c:pt idx="65">
                  <c:v>2.4079290422474683E-2</c:v>
                </c:pt>
                <c:pt idx="66">
                  <c:v>2.3970334357214618E-2</c:v>
                </c:pt>
                <c:pt idx="67">
                  <c:v>2.3865568909849168E-2</c:v>
                </c:pt>
                <c:pt idx="68">
                  <c:v>2.3764756875591854E-2</c:v>
                </c:pt>
                <c:pt idx="69">
                  <c:v>2.3667678620381102E-2</c:v>
                </c:pt>
                <c:pt idx="70">
                  <c:v>2.357413048354165E-2</c:v>
                </c:pt>
                <c:pt idx="71">
                  <c:v>2.3483923351589324E-2</c:v>
                </c:pt>
                <c:pt idx="72">
                  <c:v>2.3396881382161637E-2</c:v>
                </c:pt>
                <c:pt idx="73">
                  <c:v>2.3312840859955598E-2</c:v>
                </c:pt>
                <c:pt idx="74">
                  <c:v>2.3231649169010778E-2</c:v>
                </c:pt>
                <c:pt idx="75">
                  <c:v>2.3153163867764122E-2</c:v>
                </c:pt>
                <c:pt idx="76">
                  <c:v>2.3077251855082928E-2</c:v>
                </c:pt>
                <c:pt idx="77">
                  <c:v>2.3003788617004351E-2</c:v>
                </c:pt>
                <c:pt idx="78">
                  <c:v>2.2932657545213987E-2</c:v>
                </c:pt>
                <c:pt idx="79">
                  <c:v>2.2863749319417068E-2</c:v>
                </c:pt>
                <c:pt idx="80">
                  <c:v>2.2796961346721597E-2</c:v>
                </c:pt>
                <c:pt idx="81">
                  <c:v>2.273219725198659E-2</c:v>
                </c:pt>
                <c:pt idx="82">
                  <c:v>2.266936641381084E-2</c:v>
                </c:pt>
                <c:pt idx="83">
                  <c:v>2.260838354146379E-2</c:v>
                </c:pt>
                <c:pt idx="84">
                  <c:v>2.2549168288605054E-2</c:v>
                </c:pt>
                <c:pt idx="85">
                  <c:v>2.2491644900113718E-2</c:v>
                </c:pt>
                <c:pt idx="86">
                  <c:v>2.2435741888762979E-2</c:v>
                </c:pt>
                <c:pt idx="87">
                  <c:v>2.238139173883865E-2</c:v>
                </c:pt>
                <c:pt idx="88">
                  <c:v>2.2328530634117726E-2</c:v>
                </c:pt>
                <c:pt idx="89">
                  <c:v>2.2277098207902774E-2</c:v>
                </c:pt>
                <c:pt idx="90">
                  <c:v>2.2227037313053557E-2</c:v>
                </c:pt>
                <c:pt idx="91">
                  <c:v>2.2178293810174051E-2</c:v>
                </c:pt>
                <c:pt idx="92">
                  <c:v>2.2130816372304407E-2</c:v>
                </c:pt>
                <c:pt idx="93">
                  <c:v>2.2084556304636547E-2</c:v>
                </c:pt>
                <c:pt idx="94">
                  <c:v>2.2039467377922301E-2</c:v>
                </c:pt>
                <c:pt idx="95">
                  <c:v>2.1995505674375915E-2</c:v>
                </c:pt>
                <c:pt idx="96">
                  <c:v>2.1952629444991167E-2</c:v>
                </c:pt>
                <c:pt idx="97">
                  <c:v>2.191079897729873E-2</c:v>
                </c:pt>
                <c:pt idx="98">
                  <c:v>2.1869976472683218E-2</c:v>
                </c:pt>
                <c:pt idx="99">
                  <c:v>2.1830125932463314E-2</c:v>
                </c:pt>
                <c:pt idx="100">
                  <c:v>2.179121305201329E-2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9-4202-A192-47A23EFDF079}"/>
            </c:ext>
          </c:extLst>
        </c:ser>
        <c:ser>
          <c:idx val="2"/>
          <c:order val="2"/>
          <c:tx>
            <c:strRef>
              <c:f>NPpremie_inkomen!$P$8:$P$9</c:f>
              <c:strCache>
                <c:ptCount val="2"/>
                <c:pt idx="0">
                  <c:v>Uitkeringsknip</c:v>
                </c:pt>
                <c:pt idx="1">
                  <c:v>bereikbaar na AOW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NPpremie_inkomen!$P$10:$P$110</c:f>
              <c:numCache>
                <c:formatCode>0.00%</c:formatCode>
                <c:ptCount val="101"/>
                <c:pt idx="0">
                  <c:v>4.968138812616707E-3</c:v>
                </c:pt>
                <c:pt idx="1">
                  <c:v>4.968138812616707E-3</c:v>
                </c:pt>
                <c:pt idx="2">
                  <c:v>4.968138812616707E-3</c:v>
                </c:pt>
                <c:pt idx="3">
                  <c:v>4.968138812616707E-3</c:v>
                </c:pt>
                <c:pt idx="4">
                  <c:v>4.968138812616707E-3</c:v>
                </c:pt>
                <c:pt idx="5">
                  <c:v>4.968138812616707E-3</c:v>
                </c:pt>
                <c:pt idx="6">
                  <c:v>4.968138812616707E-3</c:v>
                </c:pt>
                <c:pt idx="7">
                  <c:v>4.968138812616707E-3</c:v>
                </c:pt>
                <c:pt idx="8">
                  <c:v>4.968138812616707E-3</c:v>
                </c:pt>
                <c:pt idx="9">
                  <c:v>4.968138812616707E-3</c:v>
                </c:pt>
                <c:pt idx="10">
                  <c:v>4.968138812616707E-3</c:v>
                </c:pt>
                <c:pt idx="11">
                  <c:v>4.968138812616707E-3</c:v>
                </c:pt>
                <c:pt idx="12">
                  <c:v>4.968138812616707E-3</c:v>
                </c:pt>
                <c:pt idx="13">
                  <c:v>4.968138812616707E-3</c:v>
                </c:pt>
                <c:pt idx="14">
                  <c:v>4.968138812616707E-3</c:v>
                </c:pt>
                <c:pt idx="15">
                  <c:v>4.968138812616707E-3</c:v>
                </c:pt>
                <c:pt idx="16">
                  <c:v>4.968138812616707E-3</c:v>
                </c:pt>
                <c:pt idx="17">
                  <c:v>4.968138812616707E-3</c:v>
                </c:pt>
                <c:pt idx="18">
                  <c:v>4.968138812616707E-3</c:v>
                </c:pt>
                <c:pt idx="19">
                  <c:v>4.968138812616707E-3</c:v>
                </c:pt>
                <c:pt idx="20">
                  <c:v>4.968138812616707E-3</c:v>
                </c:pt>
                <c:pt idx="21">
                  <c:v>4.968138812616707E-3</c:v>
                </c:pt>
                <c:pt idx="22">
                  <c:v>4.968138812616707E-3</c:v>
                </c:pt>
                <c:pt idx="23">
                  <c:v>4.968138812616707E-3</c:v>
                </c:pt>
                <c:pt idx="24">
                  <c:v>4.968138812616707E-3</c:v>
                </c:pt>
                <c:pt idx="25">
                  <c:v>4.968138812616707E-3</c:v>
                </c:pt>
                <c:pt idx="26">
                  <c:v>4.968138812616707E-3</c:v>
                </c:pt>
                <c:pt idx="27">
                  <c:v>4.968138812616707E-3</c:v>
                </c:pt>
                <c:pt idx="28">
                  <c:v>4.968138812616707E-3</c:v>
                </c:pt>
                <c:pt idx="29">
                  <c:v>4.968138812616707E-3</c:v>
                </c:pt>
                <c:pt idx="30">
                  <c:v>4.968138812616707E-3</c:v>
                </c:pt>
                <c:pt idx="31">
                  <c:v>4.968138812616707E-3</c:v>
                </c:pt>
                <c:pt idx="32">
                  <c:v>4.968138812616707E-3</c:v>
                </c:pt>
                <c:pt idx="33">
                  <c:v>4.968138812616707E-3</c:v>
                </c:pt>
                <c:pt idx="34">
                  <c:v>4.968138812616707E-3</c:v>
                </c:pt>
                <c:pt idx="35">
                  <c:v>4.968138812616707E-3</c:v>
                </c:pt>
                <c:pt idx="36">
                  <c:v>4.968138812616707E-3</c:v>
                </c:pt>
                <c:pt idx="37">
                  <c:v>4.968138812616707E-3</c:v>
                </c:pt>
                <c:pt idx="38">
                  <c:v>4.968138812616707E-3</c:v>
                </c:pt>
                <c:pt idx="39">
                  <c:v>4.968138812616707E-3</c:v>
                </c:pt>
                <c:pt idx="40">
                  <c:v>4.968138812616707E-3</c:v>
                </c:pt>
                <c:pt idx="41">
                  <c:v>4.968138812616707E-3</c:v>
                </c:pt>
                <c:pt idx="42">
                  <c:v>4.968138812616707E-3</c:v>
                </c:pt>
                <c:pt idx="43">
                  <c:v>4.968138812616707E-3</c:v>
                </c:pt>
                <c:pt idx="44">
                  <c:v>4.968138812616707E-3</c:v>
                </c:pt>
                <c:pt idx="45">
                  <c:v>4.968138812616707E-3</c:v>
                </c:pt>
                <c:pt idx="46">
                  <c:v>4.968138812616707E-3</c:v>
                </c:pt>
                <c:pt idx="47">
                  <c:v>4.968138812616707E-3</c:v>
                </c:pt>
                <c:pt idx="48">
                  <c:v>4.968138812616707E-3</c:v>
                </c:pt>
                <c:pt idx="49">
                  <c:v>4.968138812616707E-3</c:v>
                </c:pt>
                <c:pt idx="50">
                  <c:v>4.968138812616707E-3</c:v>
                </c:pt>
                <c:pt idx="51">
                  <c:v>4.968138812616707E-3</c:v>
                </c:pt>
                <c:pt idx="52">
                  <c:v>4.968138812616707E-3</c:v>
                </c:pt>
                <c:pt idx="53">
                  <c:v>4.968138812616707E-3</c:v>
                </c:pt>
                <c:pt idx="54">
                  <c:v>4.968138812616707E-3</c:v>
                </c:pt>
                <c:pt idx="55">
                  <c:v>4.968138812616707E-3</c:v>
                </c:pt>
                <c:pt idx="56">
                  <c:v>4.968138812616707E-3</c:v>
                </c:pt>
                <c:pt idx="57">
                  <c:v>4.968138812616707E-3</c:v>
                </c:pt>
                <c:pt idx="58">
                  <c:v>4.968138812616707E-3</c:v>
                </c:pt>
                <c:pt idx="59">
                  <c:v>4.968138812616707E-3</c:v>
                </c:pt>
                <c:pt idx="60">
                  <c:v>4.968138812616707E-3</c:v>
                </c:pt>
                <c:pt idx="61">
                  <c:v>4.968138812616707E-3</c:v>
                </c:pt>
                <c:pt idx="62">
                  <c:v>4.968138812616707E-3</c:v>
                </c:pt>
                <c:pt idx="63">
                  <c:v>4.968138812616707E-3</c:v>
                </c:pt>
                <c:pt idx="64">
                  <c:v>4.968138812616707E-3</c:v>
                </c:pt>
                <c:pt idx="65">
                  <c:v>4.968138812616707E-3</c:v>
                </c:pt>
                <c:pt idx="66">
                  <c:v>4.968138812616707E-3</c:v>
                </c:pt>
                <c:pt idx="67">
                  <c:v>4.968138812616707E-3</c:v>
                </c:pt>
                <c:pt idx="68">
                  <c:v>4.968138812616707E-3</c:v>
                </c:pt>
                <c:pt idx="69">
                  <c:v>4.968138812616707E-3</c:v>
                </c:pt>
                <c:pt idx="70">
                  <c:v>4.968138812616707E-3</c:v>
                </c:pt>
                <c:pt idx="71">
                  <c:v>4.968138812616707E-3</c:v>
                </c:pt>
                <c:pt idx="72">
                  <c:v>4.968138812616707E-3</c:v>
                </c:pt>
                <c:pt idx="73">
                  <c:v>4.968138812616707E-3</c:v>
                </c:pt>
                <c:pt idx="74">
                  <c:v>4.968138812616707E-3</c:v>
                </c:pt>
                <c:pt idx="75">
                  <c:v>4.968138812616707E-3</c:v>
                </c:pt>
                <c:pt idx="76">
                  <c:v>4.968138812616707E-3</c:v>
                </c:pt>
                <c:pt idx="77">
                  <c:v>4.968138812616707E-3</c:v>
                </c:pt>
                <c:pt idx="78">
                  <c:v>4.968138812616707E-3</c:v>
                </c:pt>
                <c:pt idx="79">
                  <c:v>4.968138812616707E-3</c:v>
                </c:pt>
                <c:pt idx="80">
                  <c:v>4.968138812616707E-3</c:v>
                </c:pt>
                <c:pt idx="81">
                  <c:v>4.968138812616707E-3</c:v>
                </c:pt>
                <c:pt idx="82">
                  <c:v>4.968138812616707E-3</c:v>
                </c:pt>
                <c:pt idx="83">
                  <c:v>4.968138812616707E-3</c:v>
                </c:pt>
                <c:pt idx="84">
                  <c:v>4.968138812616707E-3</c:v>
                </c:pt>
                <c:pt idx="85">
                  <c:v>4.968138812616707E-3</c:v>
                </c:pt>
                <c:pt idx="86">
                  <c:v>4.968138812616707E-3</c:v>
                </c:pt>
                <c:pt idx="87">
                  <c:v>4.968138812616707E-3</c:v>
                </c:pt>
                <c:pt idx="88">
                  <c:v>4.968138812616707E-3</c:v>
                </c:pt>
                <c:pt idx="89">
                  <c:v>4.968138812616707E-3</c:v>
                </c:pt>
                <c:pt idx="90">
                  <c:v>4.968138812616707E-3</c:v>
                </c:pt>
                <c:pt idx="91">
                  <c:v>4.968138812616707E-3</c:v>
                </c:pt>
                <c:pt idx="92">
                  <c:v>4.968138812616707E-3</c:v>
                </c:pt>
                <c:pt idx="93">
                  <c:v>4.968138812616707E-3</c:v>
                </c:pt>
                <c:pt idx="94">
                  <c:v>4.968138812616707E-3</c:v>
                </c:pt>
                <c:pt idx="95">
                  <c:v>4.968138812616707E-3</c:v>
                </c:pt>
                <c:pt idx="96">
                  <c:v>4.968138812616707E-3</c:v>
                </c:pt>
                <c:pt idx="97">
                  <c:v>4.968138812616707E-3</c:v>
                </c:pt>
                <c:pt idx="98">
                  <c:v>4.968138812616707E-3</c:v>
                </c:pt>
                <c:pt idx="99">
                  <c:v>4.968138812616707E-3</c:v>
                </c:pt>
                <c:pt idx="100">
                  <c:v>4.968138812616707E-3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B9-4202-A192-47A23EFD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NPpremie_inkomen!$AB$9</c:f>
          <c:strCache>
            <c:ptCount val="1"/>
            <c:pt idx="0">
              <c:v>Saldomethode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NPpremie_inkomen!$Q$8:$Q$9</c:f>
              <c:strCache>
                <c:ptCount val="2"/>
                <c:pt idx="0">
                  <c:v>Saldomethode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NPpremie_inkomen!$Q$10:$Q$110</c:f>
              <c:numCache>
                <c:formatCode>0.00%</c:formatCode>
                <c:ptCount val="101"/>
                <c:pt idx="0">
                  <c:v>3.9159687171057347E-2</c:v>
                </c:pt>
                <c:pt idx="1">
                  <c:v>3.9159687171057347E-2</c:v>
                </c:pt>
                <c:pt idx="2">
                  <c:v>3.9159687171057347E-2</c:v>
                </c:pt>
                <c:pt idx="3">
                  <c:v>3.9159687171057347E-2</c:v>
                </c:pt>
                <c:pt idx="4">
                  <c:v>3.9159687171057347E-2</c:v>
                </c:pt>
                <c:pt idx="5">
                  <c:v>3.9159687171057347E-2</c:v>
                </c:pt>
                <c:pt idx="6">
                  <c:v>3.9159687171057347E-2</c:v>
                </c:pt>
                <c:pt idx="7">
                  <c:v>3.9159687171057347E-2</c:v>
                </c:pt>
                <c:pt idx="8">
                  <c:v>3.9159687171057347E-2</c:v>
                </c:pt>
                <c:pt idx="9">
                  <c:v>3.9159687171057347E-2</c:v>
                </c:pt>
                <c:pt idx="10">
                  <c:v>3.9159687171057347E-2</c:v>
                </c:pt>
                <c:pt idx="11">
                  <c:v>3.9159687171057347E-2</c:v>
                </c:pt>
                <c:pt idx="12">
                  <c:v>3.9159687171057347E-2</c:v>
                </c:pt>
                <c:pt idx="13">
                  <c:v>3.9159687171057347E-2</c:v>
                </c:pt>
                <c:pt idx="14">
                  <c:v>3.9159687171057347E-2</c:v>
                </c:pt>
                <c:pt idx="15">
                  <c:v>3.9159687171057347E-2</c:v>
                </c:pt>
                <c:pt idx="16">
                  <c:v>3.9159687171057347E-2</c:v>
                </c:pt>
                <c:pt idx="17">
                  <c:v>3.9159687171057347E-2</c:v>
                </c:pt>
                <c:pt idx="18">
                  <c:v>3.9159687171057347E-2</c:v>
                </c:pt>
                <c:pt idx="19">
                  <c:v>3.9159687171057347E-2</c:v>
                </c:pt>
                <c:pt idx="20">
                  <c:v>3.9159687171057347E-2</c:v>
                </c:pt>
                <c:pt idx="21">
                  <c:v>3.9159687171057347E-2</c:v>
                </c:pt>
                <c:pt idx="22">
                  <c:v>3.9159687171057347E-2</c:v>
                </c:pt>
                <c:pt idx="23">
                  <c:v>3.9159687171057347E-2</c:v>
                </c:pt>
                <c:pt idx="24">
                  <c:v>3.9159687171057347E-2</c:v>
                </c:pt>
                <c:pt idx="25">
                  <c:v>3.9159687171057347E-2</c:v>
                </c:pt>
                <c:pt idx="26">
                  <c:v>3.9159687171057347E-2</c:v>
                </c:pt>
                <c:pt idx="27">
                  <c:v>3.9159687171057347E-2</c:v>
                </c:pt>
                <c:pt idx="28">
                  <c:v>3.9159687171057347E-2</c:v>
                </c:pt>
                <c:pt idx="29">
                  <c:v>3.9159687171057347E-2</c:v>
                </c:pt>
                <c:pt idx="30">
                  <c:v>3.9159687171057347E-2</c:v>
                </c:pt>
                <c:pt idx="31">
                  <c:v>3.9159687171057347E-2</c:v>
                </c:pt>
                <c:pt idx="32">
                  <c:v>3.9159687171057347E-2</c:v>
                </c:pt>
                <c:pt idx="33">
                  <c:v>3.9159687171057347E-2</c:v>
                </c:pt>
                <c:pt idx="34">
                  <c:v>3.9159687171057347E-2</c:v>
                </c:pt>
                <c:pt idx="35">
                  <c:v>3.9159687171057347E-2</c:v>
                </c:pt>
                <c:pt idx="36">
                  <c:v>3.9159687171057347E-2</c:v>
                </c:pt>
                <c:pt idx="37">
                  <c:v>3.9159687171057347E-2</c:v>
                </c:pt>
                <c:pt idx="38">
                  <c:v>3.9159687171057347E-2</c:v>
                </c:pt>
                <c:pt idx="39">
                  <c:v>3.9159687171057347E-2</c:v>
                </c:pt>
                <c:pt idx="40">
                  <c:v>3.9159687171057347E-2</c:v>
                </c:pt>
                <c:pt idx="41">
                  <c:v>3.9159687171057347E-2</c:v>
                </c:pt>
                <c:pt idx="42">
                  <c:v>3.9159687171057347E-2</c:v>
                </c:pt>
                <c:pt idx="43">
                  <c:v>3.9159687171057347E-2</c:v>
                </c:pt>
                <c:pt idx="44">
                  <c:v>3.9159687171057347E-2</c:v>
                </c:pt>
                <c:pt idx="45">
                  <c:v>3.9159687171057347E-2</c:v>
                </c:pt>
                <c:pt idx="46">
                  <c:v>3.9159687171057347E-2</c:v>
                </c:pt>
                <c:pt idx="47">
                  <c:v>3.9159687171057347E-2</c:v>
                </c:pt>
                <c:pt idx="48">
                  <c:v>3.9159687171057347E-2</c:v>
                </c:pt>
                <c:pt idx="49">
                  <c:v>3.9159687171057347E-2</c:v>
                </c:pt>
                <c:pt idx="50">
                  <c:v>3.9159687171057347E-2</c:v>
                </c:pt>
                <c:pt idx="51">
                  <c:v>3.9159687171057347E-2</c:v>
                </c:pt>
                <c:pt idx="52">
                  <c:v>3.9159687171057347E-2</c:v>
                </c:pt>
                <c:pt idx="53">
                  <c:v>3.9159687171057347E-2</c:v>
                </c:pt>
                <c:pt idx="54">
                  <c:v>3.9159687171057347E-2</c:v>
                </c:pt>
                <c:pt idx="55">
                  <c:v>3.9159687171057347E-2</c:v>
                </c:pt>
                <c:pt idx="56">
                  <c:v>3.9159687171057347E-2</c:v>
                </c:pt>
                <c:pt idx="57">
                  <c:v>3.9159687171057347E-2</c:v>
                </c:pt>
                <c:pt idx="58">
                  <c:v>3.9159687171057347E-2</c:v>
                </c:pt>
                <c:pt idx="59">
                  <c:v>3.9159687171057347E-2</c:v>
                </c:pt>
                <c:pt idx="60">
                  <c:v>3.9159687171057347E-2</c:v>
                </c:pt>
                <c:pt idx="61">
                  <c:v>3.9159687171057347E-2</c:v>
                </c:pt>
                <c:pt idx="62">
                  <c:v>3.9159687171057347E-2</c:v>
                </c:pt>
                <c:pt idx="63">
                  <c:v>3.9159687171057347E-2</c:v>
                </c:pt>
                <c:pt idx="64">
                  <c:v>3.9159687171057347E-2</c:v>
                </c:pt>
                <c:pt idx="65">
                  <c:v>3.9159687171057347E-2</c:v>
                </c:pt>
                <c:pt idx="66">
                  <c:v>3.9159687171057347E-2</c:v>
                </c:pt>
                <c:pt idx="67">
                  <c:v>3.9159687171057347E-2</c:v>
                </c:pt>
                <c:pt idx="68">
                  <c:v>3.9159687171057347E-2</c:v>
                </c:pt>
                <c:pt idx="69">
                  <c:v>3.9159687171057347E-2</c:v>
                </c:pt>
                <c:pt idx="70">
                  <c:v>3.9159687171057347E-2</c:v>
                </c:pt>
                <c:pt idx="71">
                  <c:v>3.9159687171057347E-2</c:v>
                </c:pt>
                <c:pt idx="72">
                  <c:v>3.9159687171057347E-2</c:v>
                </c:pt>
                <c:pt idx="73">
                  <c:v>3.9159687171057347E-2</c:v>
                </c:pt>
                <c:pt idx="74">
                  <c:v>3.9159687171057347E-2</c:v>
                </c:pt>
                <c:pt idx="75">
                  <c:v>3.9159687171057347E-2</c:v>
                </c:pt>
                <c:pt idx="76">
                  <c:v>3.9159687171057347E-2</c:v>
                </c:pt>
                <c:pt idx="77">
                  <c:v>3.9159687171057347E-2</c:v>
                </c:pt>
                <c:pt idx="78">
                  <c:v>3.9159687171057347E-2</c:v>
                </c:pt>
                <c:pt idx="79">
                  <c:v>3.9159687171057347E-2</c:v>
                </c:pt>
                <c:pt idx="80">
                  <c:v>3.9159687171057347E-2</c:v>
                </c:pt>
                <c:pt idx="81">
                  <c:v>3.9159687171057347E-2</c:v>
                </c:pt>
                <c:pt idx="82">
                  <c:v>3.9159687171057347E-2</c:v>
                </c:pt>
                <c:pt idx="83">
                  <c:v>3.9159687171057347E-2</c:v>
                </c:pt>
                <c:pt idx="84">
                  <c:v>3.9159687171057347E-2</c:v>
                </c:pt>
                <c:pt idx="85">
                  <c:v>3.9159687171057347E-2</c:v>
                </c:pt>
                <c:pt idx="86">
                  <c:v>3.9159687171057347E-2</c:v>
                </c:pt>
                <c:pt idx="87">
                  <c:v>3.9159687171057347E-2</c:v>
                </c:pt>
                <c:pt idx="88">
                  <c:v>3.9159687171057347E-2</c:v>
                </c:pt>
                <c:pt idx="89">
                  <c:v>3.9159687171057347E-2</c:v>
                </c:pt>
                <c:pt idx="90">
                  <c:v>3.9159687171057347E-2</c:v>
                </c:pt>
                <c:pt idx="91">
                  <c:v>3.9159687171057347E-2</c:v>
                </c:pt>
                <c:pt idx="92">
                  <c:v>3.9159687171057347E-2</c:v>
                </c:pt>
                <c:pt idx="93">
                  <c:v>3.9159687171057347E-2</c:v>
                </c:pt>
                <c:pt idx="94">
                  <c:v>3.9159687171057347E-2</c:v>
                </c:pt>
                <c:pt idx="95">
                  <c:v>3.9159687171057347E-2</c:v>
                </c:pt>
                <c:pt idx="96">
                  <c:v>3.9159687171057347E-2</c:v>
                </c:pt>
                <c:pt idx="97">
                  <c:v>3.9159687171057347E-2</c:v>
                </c:pt>
                <c:pt idx="98">
                  <c:v>3.9159687171057347E-2</c:v>
                </c:pt>
                <c:pt idx="99">
                  <c:v>3.9159687171057347E-2</c:v>
                </c:pt>
                <c:pt idx="100">
                  <c:v>3.9159687171057347E-2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B-4F8F-A48B-AC6464554E44}"/>
            </c:ext>
          </c:extLst>
        </c:ser>
        <c:ser>
          <c:idx val="0"/>
          <c:order val="1"/>
          <c:tx>
            <c:strRef>
              <c:f>NPpremie_inkomen!$R$8:$R$9</c:f>
              <c:strCache>
                <c:ptCount val="2"/>
                <c:pt idx="0">
                  <c:v>Saldomethode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NPpremie_inkomen!$R$10:$R$110</c:f>
              <c:numCache>
                <c:formatCode>0.00%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0.1216661627336634</c:v>
                </c:pt>
                <c:pt idx="17">
                  <c:v>6.4635148952258692E-2</c:v>
                </c:pt>
                <c:pt idx="18">
                  <c:v>4.5624811025123779E-2</c:v>
                </c:pt>
                <c:pt idx="19">
                  <c:v>3.6119642061556323E-2</c:v>
                </c:pt>
                <c:pt idx="20">
                  <c:v>3.0416540683415854E-2</c:v>
                </c:pt>
                <c:pt idx="21">
                  <c:v>2.661447309798887E-2</c:v>
                </c:pt>
                <c:pt idx="22">
                  <c:v>2.3898710536969597E-2</c:v>
                </c:pt>
                <c:pt idx="23">
                  <c:v>2.1861888616205145E-2</c:v>
                </c:pt>
                <c:pt idx="24">
                  <c:v>2.0277693788943899E-2</c:v>
                </c:pt>
                <c:pt idx="25">
                  <c:v>1.9010337927134906E-2</c:v>
                </c:pt>
                <c:pt idx="26">
                  <c:v>1.797341040383664E-2</c:v>
                </c:pt>
                <c:pt idx="27">
                  <c:v>1.7109304134421417E-2</c:v>
                </c:pt>
                <c:pt idx="28">
                  <c:v>1.6378137291070075E-2</c:v>
                </c:pt>
                <c:pt idx="29">
                  <c:v>1.5751422853911779E-2</c:v>
                </c:pt>
                <c:pt idx="30">
                  <c:v>1.5208270341707925E-2</c:v>
                </c:pt>
                <c:pt idx="31">
                  <c:v>1.4733011893529553E-2</c:v>
                </c:pt>
                <c:pt idx="32">
                  <c:v>1.43136662039604E-2</c:v>
                </c:pt>
                <c:pt idx="33">
                  <c:v>1.3940914479898932E-2</c:v>
                </c:pt>
                <c:pt idx="34">
                  <c:v>1.3607399779422883E-2</c:v>
                </c:pt>
                <c:pt idx="35">
                  <c:v>1.3307236548994433E-2</c:v>
                </c:pt>
                <c:pt idx="36">
                  <c:v>1.3035660292892508E-2</c:v>
                </c:pt>
                <c:pt idx="37">
                  <c:v>1.2788772787345302E-2</c:v>
                </c:pt>
                <c:pt idx="38">
                  <c:v>1.2563353760541329E-2</c:v>
                </c:pt>
                <c:pt idx="39">
                  <c:v>1.2356719652637689E-2</c:v>
                </c:pt>
                <c:pt idx="40">
                  <c:v>1.2166616273366342E-2</c:v>
                </c:pt>
                <c:pt idx="41">
                  <c:v>1.1991136230962016E-2</c:v>
                </c:pt>
                <c:pt idx="42">
                  <c:v>1.1828654710217277E-2</c:v>
                </c:pt>
                <c:pt idx="43">
                  <c:v>1.1677779012382872E-2</c:v>
                </c:pt>
                <c:pt idx="44">
                  <c:v>1.1537308535088771E-2</c:v>
                </c:pt>
                <c:pt idx="45">
                  <c:v>1.1406202756280943E-2</c:v>
                </c:pt>
                <c:pt idx="46">
                  <c:v>1.1283555414815559E-2</c:v>
                </c:pt>
                <c:pt idx="47">
                  <c:v>1.1168573532191757E-2</c:v>
                </c:pt>
                <c:pt idx="48">
                  <c:v>1.1060560248514853E-2</c:v>
                </c:pt>
                <c:pt idx="49">
                  <c:v>1.0958900687407182E-2</c:v>
                </c:pt>
                <c:pt idx="50">
                  <c:v>1.0863050244077089E-2</c:v>
                </c:pt>
                <c:pt idx="51">
                  <c:v>1.0772524825376446E-2</c:v>
                </c:pt>
                <c:pt idx="52">
                  <c:v>1.0686892672551516E-2</c:v>
                </c:pt>
                <c:pt idx="53">
                  <c:v>1.0605767475138422E-2</c:v>
                </c:pt>
                <c:pt idx="54">
                  <c:v>1.0528802544259334E-2</c:v>
                </c:pt>
                <c:pt idx="55">
                  <c:v>1.0455685859924199E-2</c:v>
                </c:pt>
                <c:pt idx="56">
                  <c:v>1.038613584311761E-2</c:v>
                </c:pt>
                <c:pt idx="57">
                  <c:v>1.0319897731873234E-2</c:v>
                </c:pt>
                <c:pt idx="58">
                  <c:v>1.0256740463012321E-2</c:v>
                </c:pt>
                <c:pt idx="59">
                  <c:v>1.0196453979099631E-2</c:v>
                </c:pt>
                <c:pt idx="60">
                  <c:v>1.013884689447195E-2</c:v>
                </c:pt>
                <c:pt idx="61">
                  <c:v>1.0083744465697647E-2</c:v>
                </c:pt>
                <c:pt idx="62">
                  <c:v>1.0030986821126504E-2</c:v>
                </c:pt>
                <c:pt idx="63">
                  <c:v>9.9804274117458267E-3</c:v>
                </c:pt>
                <c:pt idx="64">
                  <c:v>9.9319316517276247E-3</c:v>
                </c:pt>
                <c:pt idx="65">
                  <c:v>9.885375722110153E-3</c:v>
                </c:pt>
                <c:pt idx="66">
                  <c:v>9.8406455152227745E-3</c:v>
                </c:pt>
                <c:pt idx="67">
                  <c:v>9.7976357009079904E-3</c:v>
                </c:pt>
                <c:pt idx="68">
                  <c:v>9.756248898454143E-3</c:v>
                </c:pt>
                <c:pt idx="69">
                  <c:v>9.7163949405356196E-3</c:v>
                </c:pt>
                <c:pt idx="70">
                  <c:v>9.6779902174504977E-3</c:v>
                </c:pt>
                <c:pt idx="71">
                  <c:v>9.6409570916184163E-3</c:v>
                </c:pt>
                <c:pt idx="72">
                  <c:v>9.6052233737102689E-3</c:v>
                </c:pt>
                <c:pt idx="73">
                  <c:v>9.5707218529713662E-3</c:v>
                </c:pt>
                <c:pt idx="74">
                  <c:v>9.5373898753083608E-3</c:v>
                </c:pt>
                <c:pt idx="75">
                  <c:v>9.5051689635674529E-3</c:v>
                </c:pt>
                <c:pt idx="76">
                  <c:v>9.4740044751623134E-3</c:v>
                </c:pt>
                <c:pt idx="77">
                  <c:v>9.443845292834761E-3</c:v>
                </c:pt>
                <c:pt idx="78">
                  <c:v>9.41464354486681E-3</c:v>
                </c:pt>
                <c:pt idx="79">
                  <c:v>9.3863543515228607E-3</c:v>
                </c:pt>
                <c:pt idx="80">
                  <c:v>9.3589355948971859E-3</c:v>
                </c:pt>
                <c:pt idx="81">
                  <c:v>9.3323477096844097E-3</c:v>
                </c:pt>
                <c:pt idx="82">
                  <c:v>9.3065534926869385E-3</c:v>
                </c:pt>
                <c:pt idx="83">
                  <c:v>9.2815179291305724E-3</c:v>
                </c:pt>
                <c:pt idx="84">
                  <c:v>9.2572080340830865E-3</c:v>
                </c:pt>
                <c:pt idx="85">
                  <c:v>9.2335927074655259E-3</c:v>
                </c:pt>
                <c:pt idx="86">
                  <c:v>9.2106426013160679E-3</c:v>
                </c:pt>
                <c:pt idx="87">
                  <c:v>9.1883299981152036E-3</c:v>
                </c:pt>
                <c:pt idx="88">
                  <c:v>9.1666286991116258E-3</c:v>
                </c:pt>
                <c:pt idx="89">
                  <c:v>9.1455139217027394E-3</c:v>
                </c:pt>
                <c:pt idx="90">
                  <c:v>9.1249622050247545E-3</c:v>
                </c:pt>
                <c:pt idx="91">
                  <c:v>9.1049513229961923E-3</c:v>
                </c:pt>
                <c:pt idx="92">
                  <c:v>9.0854602041372037E-3</c:v>
                </c:pt>
                <c:pt idx="93">
                  <c:v>9.0664688575566484E-3</c:v>
                </c:pt>
                <c:pt idx="94">
                  <c:v>9.0479583045604099E-3</c:v>
                </c:pt>
                <c:pt idx="95">
                  <c:v>9.0299105153890807E-3</c:v>
                </c:pt>
                <c:pt idx="96">
                  <c:v>9.0123083506417328E-3</c:v>
                </c:pt>
                <c:pt idx="97">
                  <c:v>8.9951355069857845E-3</c:v>
                </c:pt>
                <c:pt idx="98">
                  <c:v>8.9783764667914264E-3</c:v>
                </c:pt>
                <c:pt idx="99">
                  <c:v>8.962016451363599E-3</c:v>
                </c:pt>
                <c:pt idx="100">
                  <c:v>8.9460413774752508E-3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B-4F8F-A48B-AC6464554E44}"/>
            </c:ext>
          </c:extLst>
        </c:ser>
        <c:ser>
          <c:idx val="2"/>
          <c:order val="2"/>
          <c:tx>
            <c:strRef>
              <c:f>NPpremie_inkomen!$S$8:$S$9</c:f>
              <c:strCache>
                <c:ptCount val="2"/>
                <c:pt idx="0">
                  <c:v>Saldomethode</c:v>
                </c:pt>
                <c:pt idx="1">
                  <c:v>bereikbaar vanaf AOW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NPpremie_inkomen!$S$10:$S$110</c:f>
              <c:numCache>
                <c:formatCode>0.00%</c:formatCode>
                <c:ptCount val="101"/>
                <c:pt idx="0">
                  <c:v>4.968138812616707E-3</c:v>
                </c:pt>
                <c:pt idx="1">
                  <c:v>4.968138812616707E-3</c:v>
                </c:pt>
                <c:pt idx="2">
                  <c:v>4.968138812616707E-3</c:v>
                </c:pt>
                <c:pt idx="3">
                  <c:v>4.968138812616707E-3</c:v>
                </c:pt>
                <c:pt idx="4">
                  <c:v>4.968138812616707E-3</c:v>
                </c:pt>
                <c:pt idx="5">
                  <c:v>4.968138812616707E-3</c:v>
                </c:pt>
                <c:pt idx="6">
                  <c:v>4.968138812616707E-3</c:v>
                </c:pt>
                <c:pt idx="7">
                  <c:v>4.968138812616707E-3</c:v>
                </c:pt>
                <c:pt idx="8">
                  <c:v>4.968138812616707E-3</c:v>
                </c:pt>
                <c:pt idx="9">
                  <c:v>4.968138812616707E-3</c:v>
                </c:pt>
                <c:pt idx="10">
                  <c:v>4.968138812616707E-3</c:v>
                </c:pt>
                <c:pt idx="11">
                  <c:v>4.968138812616707E-3</c:v>
                </c:pt>
                <c:pt idx="12">
                  <c:v>4.968138812616707E-3</c:v>
                </c:pt>
                <c:pt idx="13">
                  <c:v>4.968138812616707E-3</c:v>
                </c:pt>
                <c:pt idx="14">
                  <c:v>4.968138812616707E-3</c:v>
                </c:pt>
                <c:pt idx="15">
                  <c:v>4.968138812616707E-3</c:v>
                </c:pt>
                <c:pt idx="16">
                  <c:v>4.968138812616707E-3</c:v>
                </c:pt>
                <c:pt idx="17">
                  <c:v>4.968138812616707E-3</c:v>
                </c:pt>
                <c:pt idx="18">
                  <c:v>4.968138812616707E-3</c:v>
                </c:pt>
                <c:pt idx="19">
                  <c:v>4.968138812616707E-3</c:v>
                </c:pt>
                <c:pt idx="20">
                  <c:v>4.968138812616707E-3</c:v>
                </c:pt>
                <c:pt idx="21">
                  <c:v>4.968138812616707E-3</c:v>
                </c:pt>
                <c:pt idx="22">
                  <c:v>4.968138812616707E-3</c:v>
                </c:pt>
                <c:pt idx="23">
                  <c:v>4.968138812616707E-3</c:v>
                </c:pt>
                <c:pt idx="24">
                  <c:v>4.968138812616707E-3</c:v>
                </c:pt>
                <c:pt idx="25">
                  <c:v>4.968138812616707E-3</c:v>
                </c:pt>
                <c:pt idx="26">
                  <c:v>4.968138812616707E-3</c:v>
                </c:pt>
                <c:pt idx="27">
                  <c:v>4.968138812616707E-3</c:v>
                </c:pt>
                <c:pt idx="28">
                  <c:v>4.968138812616707E-3</c:v>
                </c:pt>
                <c:pt idx="29">
                  <c:v>4.968138812616707E-3</c:v>
                </c:pt>
                <c:pt idx="30">
                  <c:v>4.968138812616707E-3</c:v>
                </c:pt>
                <c:pt idx="31">
                  <c:v>4.968138812616707E-3</c:v>
                </c:pt>
                <c:pt idx="32">
                  <c:v>4.968138812616707E-3</c:v>
                </c:pt>
                <c:pt idx="33">
                  <c:v>4.968138812616707E-3</c:v>
                </c:pt>
                <c:pt idx="34">
                  <c:v>4.968138812616707E-3</c:v>
                </c:pt>
                <c:pt idx="35">
                  <c:v>4.968138812616707E-3</c:v>
                </c:pt>
                <c:pt idx="36">
                  <c:v>4.968138812616707E-3</c:v>
                </c:pt>
                <c:pt idx="37">
                  <c:v>4.968138812616707E-3</c:v>
                </c:pt>
                <c:pt idx="38">
                  <c:v>4.968138812616707E-3</c:v>
                </c:pt>
                <c:pt idx="39">
                  <c:v>4.968138812616707E-3</c:v>
                </c:pt>
                <c:pt idx="40">
                  <c:v>4.968138812616707E-3</c:v>
                </c:pt>
                <c:pt idx="41">
                  <c:v>4.968138812616707E-3</c:v>
                </c:pt>
                <c:pt idx="42">
                  <c:v>4.968138812616707E-3</c:v>
                </c:pt>
                <c:pt idx="43">
                  <c:v>4.968138812616707E-3</c:v>
                </c:pt>
                <c:pt idx="44">
                  <c:v>4.968138812616707E-3</c:v>
                </c:pt>
                <c:pt idx="45">
                  <c:v>4.968138812616707E-3</c:v>
                </c:pt>
                <c:pt idx="46">
                  <c:v>4.968138812616707E-3</c:v>
                </c:pt>
                <c:pt idx="47">
                  <c:v>4.968138812616707E-3</c:v>
                </c:pt>
                <c:pt idx="48">
                  <c:v>4.968138812616707E-3</c:v>
                </c:pt>
                <c:pt idx="49">
                  <c:v>4.968138812616707E-3</c:v>
                </c:pt>
                <c:pt idx="50">
                  <c:v>4.968138812616707E-3</c:v>
                </c:pt>
                <c:pt idx="51">
                  <c:v>4.968138812616707E-3</c:v>
                </c:pt>
                <c:pt idx="52">
                  <c:v>4.968138812616707E-3</c:v>
                </c:pt>
                <c:pt idx="53">
                  <c:v>4.968138812616707E-3</c:v>
                </c:pt>
                <c:pt idx="54">
                  <c:v>4.968138812616707E-3</c:v>
                </c:pt>
                <c:pt idx="55">
                  <c:v>4.968138812616707E-3</c:v>
                </c:pt>
                <c:pt idx="56">
                  <c:v>4.968138812616707E-3</c:v>
                </c:pt>
                <c:pt idx="57">
                  <c:v>4.968138812616707E-3</c:v>
                </c:pt>
                <c:pt idx="58">
                  <c:v>4.968138812616707E-3</c:v>
                </c:pt>
                <c:pt idx="59">
                  <c:v>4.968138812616707E-3</c:v>
                </c:pt>
                <c:pt idx="60">
                  <c:v>4.968138812616707E-3</c:v>
                </c:pt>
                <c:pt idx="61">
                  <c:v>4.968138812616707E-3</c:v>
                </c:pt>
                <c:pt idx="62">
                  <c:v>4.968138812616707E-3</c:v>
                </c:pt>
                <c:pt idx="63">
                  <c:v>4.968138812616707E-3</c:v>
                </c:pt>
                <c:pt idx="64">
                  <c:v>4.968138812616707E-3</c:v>
                </c:pt>
                <c:pt idx="65">
                  <c:v>4.968138812616707E-3</c:v>
                </c:pt>
                <c:pt idx="66">
                  <c:v>4.968138812616707E-3</c:v>
                </c:pt>
                <c:pt idx="67">
                  <c:v>4.968138812616707E-3</c:v>
                </c:pt>
                <c:pt idx="68">
                  <c:v>4.968138812616707E-3</c:v>
                </c:pt>
                <c:pt idx="69">
                  <c:v>4.968138812616707E-3</c:v>
                </c:pt>
                <c:pt idx="70">
                  <c:v>4.968138812616707E-3</c:v>
                </c:pt>
                <c:pt idx="71">
                  <c:v>4.968138812616707E-3</c:v>
                </c:pt>
                <c:pt idx="72">
                  <c:v>4.968138812616707E-3</c:v>
                </c:pt>
                <c:pt idx="73">
                  <c:v>4.968138812616707E-3</c:v>
                </c:pt>
                <c:pt idx="74">
                  <c:v>4.968138812616707E-3</c:v>
                </c:pt>
                <c:pt idx="75">
                  <c:v>4.968138812616707E-3</c:v>
                </c:pt>
                <c:pt idx="76">
                  <c:v>4.968138812616707E-3</c:v>
                </c:pt>
                <c:pt idx="77">
                  <c:v>4.968138812616707E-3</c:v>
                </c:pt>
                <c:pt idx="78">
                  <c:v>4.968138812616707E-3</c:v>
                </c:pt>
                <c:pt idx="79">
                  <c:v>4.968138812616707E-3</c:v>
                </c:pt>
                <c:pt idx="80">
                  <c:v>4.968138812616707E-3</c:v>
                </c:pt>
                <c:pt idx="81">
                  <c:v>4.968138812616707E-3</c:v>
                </c:pt>
                <c:pt idx="82">
                  <c:v>4.968138812616707E-3</c:v>
                </c:pt>
                <c:pt idx="83">
                  <c:v>4.968138812616707E-3</c:v>
                </c:pt>
                <c:pt idx="84">
                  <c:v>4.968138812616707E-3</c:v>
                </c:pt>
                <c:pt idx="85">
                  <c:v>4.968138812616707E-3</c:v>
                </c:pt>
                <c:pt idx="86">
                  <c:v>4.968138812616707E-3</c:v>
                </c:pt>
                <c:pt idx="87">
                  <c:v>4.968138812616707E-3</c:v>
                </c:pt>
                <c:pt idx="88">
                  <c:v>4.968138812616707E-3</c:v>
                </c:pt>
                <c:pt idx="89">
                  <c:v>4.968138812616707E-3</c:v>
                </c:pt>
                <c:pt idx="90">
                  <c:v>4.968138812616707E-3</c:v>
                </c:pt>
                <c:pt idx="91">
                  <c:v>4.968138812616707E-3</c:v>
                </c:pt>
                <c:pt idx="92">
                  <c:v>4.968138812616707E-3</c:v>
                </c:pt>
                <c:pt idx="93">
                  <c:v>4.968138812616707E-3</c:v>
                </c:pt>
                <c:pt idx="94">
                  <c:v>4.968138812616707E-3</c:v>
                </c:pt>
                <c:pt idx="95">
                  <c:v>4.968138812616707E-3</c:v>
                </c:pt>
                <c:pt idx="96">
                  <c:v>4.968138812616707E-3</c:v>
                </c:pt>
                <c:pt idx="97">
                  <c:v>4.968138812616707E-3</c:v>
                </c:pt>
                <c:pt idx="98">
                  <c:v>4.968138812616707E-3</c:v>
                </c:pt>
                <c:pt idx="99">
                  <c:v>4.968138812616707E-3</c:v>
                </c:pt>
                <c:pt idx="100">
                  <c:v>4.968138812616707E-3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B-4F8F-A48B-AC6464554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Premie_leeftijd!$CM$4</c:f>
          <c:strCache>
            <c:ptCount val="1"/>
            <c:pt idx="0">
              <c:v>Uitkeringsregeling (degr)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Premie_leeftijd!$CM$4:$CM$5</c:f>
              <c:strCache>
                <c:ptCount val="2"/>
                <c:pt idx="0">
                  <c:v>Uitkeringsregeling (degr)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Premie_leeftijd!$CM$6:$CM$48</c:f>
              <c:numCache>
                <c:formatCode>0.00%</c:formatCode>
                <c:ptCount val="43"/>
                <c:pt idx="0">
                  <c:v>3.9159687171057347E-2</c:v>
                </c:pt>
                <c:pt idx="1">
                  <c:v>3.9159687171057347E-2</c:v>
                </c:pt>
                <c:pt idx="2">
                  <c:v>3.9159687171057347E-2</c:v>
                </c:pt>
                <c:pt idx="3">
                  <c:v>3.9159687171057347E-2</c:v>
                </c:pt>
                <c:pt idx="4">
                  <c:v>3.9159687171057347E-2</c:v>
                </c:pt>
                <c:pt idx="5">
                  <c:v>3.9159687171057347E-2</c:v>
                </c:pt>
                <c:pt idx="6">
                  <c:v>3.9159687171057347E-2</c:v>
                </c:pt>
                <c:pt idx="7">
                  <c:v>3.9159687171057347E-2</c:v>
                </c:pt>
                <c:pt idx="8">
                  <c:v>3.9159687171057347E-2</c:v>
                </c:pt>
                <c:pt idx="9">
                  <c:v>3.9159687171057347E-2</c:v>
                </c:pt>
                <c:pt idx="10">
                  <c:v>3.9159687171057347E-2</c:v>
                </c:pt>
                <c:pt idx="11">
                  <c:v>3.9159687171057347E-2</c:v>
                </c:pt>
                <c:pt idx="12">
                  <c:v>3.9159687171057347E-2</c:v>
                </c:pt>
                <c:pt idx="13">
                  <c:v>3.9159687171057347E-2</c:v>
                </c:pt>
                <c:pt idx="14">
                  <c:v>3.9159687171057347E-2</c:v>
                </c:pt>
                <c:pt idx="15">
                  <c:v>3.9159687171057347E-2</c:v>
                </c:pt>
                <c:pt idx="16">
                  <c:v>3.9159687171057347E-2</c:v>
                </c:pt>
                <c:pt idx="17">
                  <c:v>3.9159687171057347E-2</c:v>
                </c:pt>
                <c:pt idx="18">
                  <c:v>3.9159687171057347E-2</c:v>
                </c:pt>
                <c:pt idx="19">
                  <c:v>3.9159687171057347E-2</c:v>
                </c:pt>
                <c:pt idx="20">
                  <c:v>3.9159687171057347E-2</c:v>
                </c:pt>
                <c:pt idx="21">
                  <c:v>3.9159687171057347E-2</c:v>
                </c:pt>
                <c:pt idx="22">
                  <c:v>3.9159687171057347E-2</c:v>
                </c:pt>
                <c:pt idx="23">
                  <c:v>3.9159687171057347E-2</c:v>
                </c:pt>
                <c:pt idx="24">
                  <c:v>3.9159687171057347E-2</c:v>
                </c:pt>
                <c:pt idx="25">
                  <c:v>3.9159687171057347E-2</c:v>
                </c:pt>
                <c:pt idx="26">
                  <c:v>3.9159687171057347E-2</c:v>
                </c:pt>
                <c:pt idx="27">
                  <c:v>3.9159687171057347E-2</c:v>
                </c:pt>
                <c:pt idx="28">
                  <c:v>3.9159687171057347E-2</c:v>
                </c:pt>
                <c:pt idx="29">
                  <c:v>3.9159687171057347E-2</c:v>
                </c:pt>
                <c:pt idx="30">
                  <c:v>3.9159687171057347E-2</c:v>
                </c:pt>
                <c:pt idx="31">
                  <c:v>3.9159687171057347E-2</c:v>
                </c:pt>
                <c:pt idx="32">
                  <c:v>3.9159687171057347E-2</c:v>
                </c:pt>
                <c:pt idx="33">
                  <c:v>3.9159687171057347E-2</c:v>
                </c:pt>
                <c:pt idx="34">
                  <c:v>3.9159687171057347E-2</c:v>
                </c:pt>
                <c:pt idx="35">
                  <c:v>3.9159687171057347E-2</c:v>
                </c:pt>
                <c:pt idx="36">
                  <c:v>3.9159687171057347E-2</c:v>
                </c:pt>
                <c:pt idx="37">
                  <c:v>3.9159687171057347E-2</c:v>
                </c:pt>
                <c:pt idx="38">
                  <c:v>3.9159687171057347E-2</c:v>
                </c:pt>
                <c:pt idx="39">
                  <c:v>3.9159687171057347E-2</c:v>
                </c:pt>
                <c:pt idx="40">
                  <c:v>3.9159687171057347E-2</c:v>
                </c:pt>
                <c:pt idx="41">
                  <c:v>3.9159687171057347E-2</c:v>
                </c:pt>
                <c:pt idx="42">
                  <c:v>3.9159687171057347E-2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4-4BF3-A6C4-425C0B4ED1E6}"/>
            </c:ext>
          </c:extLst>
        </c:ser>
        <c:ser>
          <c:idx val="1"/>
          <c:order val="1"/>
          <c:tx>
            <c:strRef>
              <c:f>Premie_leeftijd!$CN$4:$CN$5</c:f>
              <c:strCache>
                <c:ptCount val="2"/>
                <c:pt idx="0">
                  <c:v>Uitkeringsregeling (degr)</c:v>
                </c:pt>
                <c:pt idx="1">
                  <c:v>bereikbaar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Premie_leeftijd!$CN$6:$CN$48</c:f>
              <c:numCache>
                <c:formatCode>0.00%</c:formatCode>
                <c:ptCount val="43"/>
                <c:pt idx="0">
                  <c:v>1.1516047973479509E-2</c:v>
                </c:pt>
                <c:pt idx="1">
                  <c:v>9.6813930235745693E-3</c:v>
                </c:pt>
                <c:pt idx="2">
                  <c:v>9.594971679726616E-3</c:v>
                </c:pt>
                <c:pt idx="3">
                  <c:v>9.2298312119709815E-3</c:v>
                </c:pt>
                <c:pt idx="4">
                  <c:v>8.1103080029050808E-3</c:v>
                </c:pt>
                <c:pt idx="5">
                  <c:v>9.8959872208379384E-3</c:v>
                </c:pt>
                <c:pt idx="6">
                  <c:v>8.6387116145615929E-3</c:v>
                </c:pt>
                <c:pt idx="7">
                  <c:v>8.5777122104791024E-3</c:v>
                </c:pt>
                <c:pt idx="8">
                  <c:v>8.9982949444167501E-3</c:v>
                </c:pt>
                <c:pt idx="9">
                  <c:v>8.6752227043091108E-3</c:v>
                </c:pt>
                <c:pt idx="10">
                  <c:v>8.6800003700365971E-3</c:v>
                </c:pt>
                <c:pt idx="11">
                  <c:v>7.7851168595442378E-3</c:v>
                </c:pt>
                <c:pt idx="12">
                  <c:v>8.9032727677331759E-3</c:v>
                </c:pt>
                <c:pt idx="13">
                  <c:v>9.210164077113097E-3</c:v>
                </c:pt>
                <c:pt idx="14">
                  <c:v>8.380036668380865E-3</c:v>
                </c:pt>
                <c:pt idx="15">
                  <c:v>8.9228555548421361E-3</c:v>
                </c:pt>
                <c:pt idx="16">
                  <c:v>9.4235379571042093E-3</c:v>
                </c:pt>
                <c:pt idx="17">
                  <c:v>9.8778871315275407E-3</c:v>
                </c:pt>
                <c:pt idx="18">
                  <c:v>7.9489163550862871E-3</c:v>
                </c:pt>
                <c:pt idx="19">
                  <c:v>9.6088607599059579E-3</c:v>
                </c:pt>
                <c:pt idx="20">
                  <c:v>1.0458401613929511E-2</c:v>
                </c:pt>
                <c:pt idx="21">
                  <c:v>9.7840102424686104E-3</c:v>
                </c:pt>
                <c:pt idx="22">
                  <c:v>9.8699289547149217E-3</c:v>
                </c:pt>
                <c:pt idx="23">
                  <c:v>1.1137886650011327E-2</c:v>
                </c:pt>
                <c:pt idx="24">
                  <c:v>9.9655271896180331E-3</c:v>
                </c:pt>
                <c:pt idx="25">
                  <c:v>1.0474304968880572E-2</c:v>
                </c:pt>
                <c:pt idx="26">
                  <c:v>1.0846595055314611E-2</c:v>
                </c:pt>
                <c:pt idx="27">
                  <c:v>1.0202544020989635E-2</c:v>
                </c:pt>
                <c:pt idx="28">
                  <c:v>9.291009785448081E-3</c:v>
                </c:pt>
                <c:pt idx="29">
                  <c:v>9.2470868069878306E-3</c:v>
                </c:pt>
                <c:pt idx="30">
                  <c:v>9.2075869425831628E-3</c:v>
                </c:pt>
                <c:pt idx="31">
                  <c:v>1.0890965825332477E-2</c:v>
                </c:pt>
                <c:pt idx="32">
                  <c:v>1.0440819021269072E-2</c:v>
                </c:pt>
                <c:pt idx="33">
                  <c:v>1.0058559655696532E-2</c:v>
                </c:pt>
                <c:pt idx="34">
                  <c:v>9.4400547715761292E-3</c:v>
                </c:pt>
                <c:pt idx="35">
                  <c:v>8.6454562912251579E-3</c:v>
                </c:pt>
                <c:pt idx="36">
                  <c:v>7.9195313125685549E-3</c:v>
                </c:pt>
                <c:pt idx="37">
                  <c:v>6.8978180265987918E-3</c:v>
                </c:pt>
                <c:pt idx="38">
                  <c:v>5.778996616778209E-3</c:v>
                </c:pt>
                <c:pt idx="39">
                  <c:v>4.528296333595935E-3</c:v>
                </c:pt>
                <c:pt idx="40">
                  <c:v>3.1393161637683015E-3</c:v>
                </c:pt>
                <c:pt idx="41">
                  <c:v>1.6403492316243702E-3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4-4BF3-A6C4-425C0B4ED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  <c:extLst>
          <c:ext xmlns:c15="http://schemas.microsoft.com/office/drawing/2012/chart" uri="{02D57815-91ED-43cb-92C2-25804820EDAC}">
            <c15:filteredArea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Premie_leeftijd!$CO$4:$CO$5</c15:sqref>
                        </c15:formulaRef>
                      </c:ext>
                    </c:extLst>
                    <c:strCache>
                      <c:ptCount val="2"/>
                      <c:pt idx="0">
                        <c:v>Uitkeringsregeling (degr)</c:v>
                      </c:pt>
                      <c:pt idx="1">
                        <c:v>risico ANW-hiaat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Premie_leeftijd!$H$6:$H$48</c15:sqref>
                        </c15:formulaRef>
                      </c:ext>
                    </c:extLst>
                    <c:numCache>
                      <c:formatCode>General</c:formatCode>
                      <c:ptCount val="43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27</c:v>
                      </c:pt>
                      <c:pt idx="3">
                        <c:v>28</c:v>
                      </c:pt>
                      <c:pt idx="4">
                        <c:v>29</c:v>
                      </c:pt>
                      <c:pt idx="5">
                        <c:v>30</c:v>
                      </c:pt>
                      <c:pt idx="6">
                        <c:v>31</c:v>
                      </c:pt>
                      <c:pt idx="7">
                        <c:v>32</c:v>
                      </c:pt>
                      <c:pt idx="8">
                        <c:v>33</c:v>
                      </c:pt>
                      <c:pt idx="9">
                        <c:v>34</c:v>
                      </c:pt>
                      <c:pt idx="10">
                        <c:v>35</c:v>
                      </c:pt>
                      <c:pt idx="11">
                        <c:v>36</c:v>
                      </c:pt>
                      <c:pt idx="12">
                        <c:v>37</c:v>
                      </c:pt>
                      <c:pt idx="13">
                        <c:v>38</c:v>
                      </c:pt>
                      <c:pt idx="14">
                        <c:v>39</c:v>
                      </c:pt>
                      <c:pt idx="15">
                        <c:v>40</c:v>
                      </c:pt>
                      <c:pt idx="16">
                        <c:v>41</c:v>
                      </c:pt>
                      <c:pt idx="17">
                        <c:v>42</c:v>
                      </c:pt>
                      <c:pt idx="18">
                        <c:v>43</c:v>
                      </c:pt>
                      <c:pt idx="19">
                        <c:v>44</c:v>
                      </c:pt>
                      <c:pt idx="20">
                        <c:v>45</c:v>
                      </c:pt>
                      <c:pt idx="21">
                        <c:v>46</c:v>
                      </c:pt>
                      <c:pt idx="22">
                        <c:v>47</c:v>
                      </c:pt>
                      <c:pt idx="23">
                        <c:v>48</c:v>
                      </c:pt>
                      <c:pt idx="24">
                        <c:v>49</c:v>
                      </c:pt>
                      <c:pt idx="25">
                        <c:v>50</c:v>
                      </c:pt>
                      <c:pt idx="26">
                        <c:v>51</c:v>
                      </c:pt>
                      <c:pt idx="27">
                        <c:v>52</c:v>
                      </c:pt>
                      <c:pt idx="28">
                        <c:v>53</c:v>
                      </c:pt>
                      <c:pt idx="29">
                        <c:v>54</c:v>
                      </c:pt>
                      <c:pt idx="30">
                        <c:v>55</c:v>
                      </c:pt>
                      <c:pt idx="31">
                        <c:v>56</c:v>
                      </c:pt>
                      <c:pt idx="32">
                        <c:v>57</c:v>
                      </c:pt>
                      <c:pt idx="33">
                        <c:v>58</c:v>
                      </c:pt>
                      <c:pt idx="34">
                        <c:v>59</c:v>
                      </c:pt>
                      <c:pt idx="35">
                        <c:v>60</c:v>
                      </c:pt>
                      <c:pt idx="36">
                        <c:v>61</c:v>
                      </c:pt>
                      <c:pt idx="37">
                        <c:v>62</c:v>
                      </c:pt>
                      <c:pt idx="38">
                        <c:v>63</c:v>
                      </c:pt>
                      <c:pt idx="39">
                        <c:v>64</c:v>
                      </c:pt>
                      <c:pt idx="40">
                        <c:v>65</c:v>
                      </c:pt>
                      <c:pt idx="41">
                        <c:v>66</c:v>
                      </c:pt>
                      <c:pt idx="42">
                        <c:v>67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Premie_leeftijd!$CO$6:$CO$48</c15:sqref>
                        </c15:formulaRef>
                      </c:ext>
                    </c:extLst>
                    <c:numCache>
                      <c:formatCode>0.00%</c:formatCode>
                      <c:ptCount val="4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4DF-49BE-A253-A77BCA757A3D}"/>
                  </c:ext>
                </c:extLst>
              </c15:ser>
            </c15:filteredAreaSeries>
          </c:ext>
        </c:extLst>
      </c:areaChart>
      <c:catAx>
        <c:axId val="21379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5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100" b="0" i="0" baseline="0">
                <a:effectLst/>
              </a:rPr>
              <a:t>kostendekkende NP-premie (% pensioengrondslag, risico- en opbouwbasis)</a:t>
            </a:r>
            <a:endParaRPr lang="nl-NL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NPpremie_inkomen!$AX$9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NPpremie_inkomen!$AW$10:$AW$110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NPpremie_inkomen!$AX$10:$AX$110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3.1573064585159504E-3</c:v>
                </c:pt>
                <c:pt idx="17">
                  <c:v>5.9431650983829652E-3</c:v>
                </c:pt>
                <c:pt idx="18">
                  <c:v>8.4194838893758665E-3</c:v>
                </c:pt>
                <c:pt idx="19">
                  <c:v>1.0635137544474779E-2</c:v>
                </c:pt>
                <c:pt idx="20">
                  <c:v>1.2629225834063802E-2</c:v>
                </c:pt>
                <c:pt idx="21">
                  <c:v>1.4433400953215773E-2</c:v>
                </c:pt>
                <c:pt idx="22">
                  <c:v>1.6073560152444835E-2</c:v>
                </c:pt>
                <c:pt idx="23">
                  <c:v>1.7571096812610508E-2</c:v>
                </c:pt>
                <c:pt idx="24">
                  <c:v>1.8943838751095704E-2</c:v>
                </c:pt>
                <c:pt idx="25">
                  <c:v>2.0206761334502082E-2</c:v>
                </c:pt>
                <c:pt idx="26">
                  <c:v>2.1372536026877203E-2</c:v>
                </c:pt>
                <c:pt idx="27">
                  <c:v>2.2451957038335649E-2</c:v>
                </c:pt>
                <c:pt idx="28">
                  <c:v>2.3454276548975628E-2</c:v>
                </c:pt>
                <c:pt idx="29">
                  <c:v>2.4387470576123199E-2</c:v>
                </c:pt>
                <c:pt idx="30">
                  <c:v>2.5258451668127603E-2</c:v>
                </c:pt>
                <c:pt idx="31">
                  <c:v>2.6073240431615588E-2</c:v>
                </c:pt>
                <c:pt idx="32">
                  <c:v>2.6837104897385576E-2</c:v>
                </c:pt>
                <c:pt idx="33">
                  <c:v>2.7554674547048297E-2</c:v>
                </c:pt>
                <c:pt idx="34">
                  <c:v>2.8230034217319084E-2</c:v>
                </c:pt>
                <c:pt idx="35">
                  <c:v>2.8866801906431545E-2</c:v>
                </c:pt>
                <c:pt idx="36">
                  <c:v>2.9468193612815538E-2</c:v>
                </c:pt>
                <c:pt idx="37">
                  <c:v>3.0037077659394989E-2</c:v>
                </c:pt>
                <c:pt idx="38">
                  <c:v>3.0576020440364993E-2</c:v>
                </c:pt>
                <c:pt idx="39">
                  <c:v>3.1087325130003205E-2</c:v>
                </c:pt>
                <c:pt idx="40">
                  <c:v>3.1573064585159502E-2</c:v>
                </c:pt>
                <c:pt idx="41">
                  <c:v>3.2035109432747198E-2</c:v>
                </c:pt>
                <c:pt idx="42">
                  <c:v>3.2475152144735488E-2</c:v>
                </c:pt>
                <c:pt idx="43">
                  <c:v>3.28947277538406E-2</c:v>
                </c:pt>
                <c:pt idx="44">
                  <c:v>3.3295231744350021E-2</c:v>
                </c:pt>
                <c:pt idx="45">
                  <c:v>3.3677935557503466E-2</c:v>
                </c:pt>
                <c:pt idx="46">
                  <c:v>3.4044000074432854E-2</c:v>
                </c:pt>
                <c:pt idx="47">
                  <c:v>3.4394487377875885E-2</c:v>
                </c:pt>
                <c:pt idx="48">
                  <c:v>3.4730371043675455E-2</c:v>
                </c:pt>
                <c:pt idx="49">
                  <c:v>3.5052545172095446E-2</c:v>
                </c:pt>
                <c:pt idx="50">
                  <c:v>3.5361832335378644E-2</c:v>
                </c:pt>
                <c:pt idx="51">
                  <c:v>3.5658990590297791E-2</c:v>
                </c:pt>
                <c:pt idx="52">
                  <c:v>3.5944719681566206E-2</c:v>
                </c:pt>
                <c:pt idx="53">
                  <c:v>3.6219666542975426E-2</c:v>
                </c:pt>
                <c:pt idx="54">
                  <c:v>3.6484430187295427E-2</c:v>
                </c:pt>
                <c:pt idx="55">
                  <c:v>3.6739566062731058E-2</c:v>
                </c:pt>
                <c:pt idx="56">
                  <c:v>3.6985589942615416E-2</c:v>
                </c:pt>
                <c:pt idx="57">
                  <c:v>3.7222981405661729E-2</c:v>
                </c:pt>
                <c:pt idx="58">
                  <c:v>3.745218695618921E-2</c:v>
                </c:pt>
                <c:pt idx="59">
                  <c:v>3.7673622827037775E-2</c:v>
                </c:pt>
                <c:pt idx="60">
                  <c:v>3.7887677502191401E-2</c:v>
                </c:pt>
                <c:pt idx="61">
                  <c:v>3.8094713991274412E-2</c:v>
                </c:pt>
                <c:pt idx="62">
                  <c:v>3.8295071883935397E-2</c:v>
                </c:pt>
                <c:pt idx="63">
                  <c:v>3.8489069208575394E-2</c:v>
                </c:pt>
                <c:pt idx="64">
                  <c:v>3.8677004116820388E-2</c:v>
                </c:pt>
                <c:pt idx="65">
                  <c:v>3.8859156412504009E-2</c:v>
                </c:pt>
                <c:pt idx="66">
                  <c:v>3.9035788941651745E-2</c:v>
                </c:pt>
                <c:pt idx="67">
                  <c:v>3.9207148857989114E-2</c:v>
                </c:pt>
                <c:pt idx="68">
                  <c:v>3.937346877678715E-2</c:v>
                </c:pt>
                <c:pt idx="69">
                  <c:v>3.9534967828373638E-2</c:v>
                </c:pt>
                <c:pt idx="70">
                  <c:v>3.9691852621343379E-2</c:v>
                </c:pt>
                <c:pt idx="71">
                  <c:v>3.9844318124370295E-2</c:v>
                </c:pt>
                <c:pt idx="72">
                  <c:v>3.9992548474535372E-2</c:v>
                </c:pt>
                <c:pt idx="73">
                  <c:v>4.0136717719216466E-2</c:v>
                </c:pt>
                <c:pt idx="74">
                  <c:v>4.0276990497825092E-2</c:v>
                </c:pt>
                <c:pt idx="75">
                  <c:v>4.0413522669004165E-2</c:v>
                </c:pt>
                <c:pt idx="76">
                  <c:v>4.0546461888310098E-2</c:v>
                </c:pt>
                <c:pt idx="77">
                  <c:v>4.0675948140880817E-2</c:v>
                </c:pt>
                <c:pt idx="78">
                  <c:v>4.0802114233129204E-2</c:v>
                </c:pt>
                <c:pt idx="79">
                  <c:v>4.0925086247092818E-2</c:v>
                </c:pt>
                <c:pt idx="80">
                  <c:v>4.1044983960707354E-2</c:v>
                </c:pt>
                <c:pt idx="81">
                  <c:v>4.1161921236948687E-2</c:v>
                </c:pt>
                <c:pt idx="82">
                  <c:v>4.1276006384501206E-2</c:v>
                </c:pt>
                <c:pt idx="83">
                  <c:v>4.1387342492353658E-2</c:v>
                </c:pt>
                <c:pt idx="84">
                  <c:v>4.1496027740495343E-2</c:v>
                </c:pt>
                <c:pt idx="85">
                  <c:v>4.1602155688680753E-2</c:v>
                </c:pt>
                <c:pt idx="86">
                  <c:v>4.1705815545047903E-2</c:v>
                </c:pt>
                <c:pt idx="87">
                  <c:v>4.1807092416211208E-2</c:v>
                </c:pt>
                <c:pt idx="88">
                  <c:v>4.1906067540302613E-2</c:v>
                </c:pt>
                <c:pt idx="89">
                  <c:v>4.2002818504302084E-2</c:v>
                </c:pt>
                <c:pt idx="90">
                  <c:v>4.2097419446879336E-2</c:v>
                </c:pt>
                <c:pt idx="91">
                  <c:v>4.218994124786149E-2</c:v>
                </c:pt>
                <c:pt idx="92">
                  <c:v>4.228045170534403E-2</c:v>
                </c:pt>
                <c:pt idx="93">
                  <c:v>4.2369015701375329E-2</c:v>
                </c:pt>
                <c:pt idx="94">
                  <c:v>4.2455695357065545E-2</c:v>
                </c:pt>
                <c:pt idx="95">
                  <c:v>4.2540550177899115E-2</c:v>
                </c:pt>
                <c:pt idx="96">
                  <c:v>4.2623637189965327E-2</c:v>
                </c:pt>
                <c:pt idx="97">
                  <c:v>4.270501106776213E-2</c:v>
                </c:pt>
                <c:pt idx="98">
                  <c:v>4.278472425417533E-2</c:v>
                </c:pt>
                <c:pt idx="99">
                  <c:v>4.2862827073186234E-2</c:v>
                </c:pt>
                <c:pt idx="100">
                  <c:v>4.2939367835816922E-2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0-4C1F-BE49-4433B92A17D6}"/>
            </c:ext>
          </c:extLst>
        </c:ser>
        <c:ser>
          <c:idx val="1"/>
          <c:order val="1"/>
          <c:tx>
            <c:strRef>
              <c:f>NPpremie_inkomen!$AY$9</c:f>
              <c:strCache>
                <c:ptCount val="1"/>
                <c:pt idx="0">
                  <c:v>Uitkeringsregeling (degr)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NPpremie_inkomen!$AW$10:$AW$110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NPpremie_inkomen!$AY$10:$AY$110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2.9878214663926566E-3</c:v>
                </c:pt>
                <c:pt idx="17">
                  <c:v>5.6241345249744123E-3</c:v>
                </c:pt>
                <c:pt idx="18">
                  <c:v>7.9675239103804175E-3</c:v>
                </c:pt>
                <c:pt idx="19">
                  <c:v>1.006424072890158E-2</c:v>
                </c:pt>
                <c:pt idx="20">
                  <c:v>1.1951285865570626E-2</c:v>
                </c:pt>
                <c:pt idx="21">
                  <c:v>1.3658612417795002E-2</c:v>
                </c:pt>
                <c:pt idx="22">
                  <c:v>1.5210727465271707E-2</c:v>
                </c:pt>
                <c:pt idx="23">
                  <c:v>1.6627875986880872E-2</c:v>
                </c:pt>
                <c:pt idx="24">
                  <c:v>1.7926928798355939E-2</c:v>
                </c:pt>
                <c:pt idx="25">
                  <c:v>1.9122057384913002E-2</c:v>
                </c:pt>
                <c:pt idx="26">
                  <c:v>2.022525300327337E-2</c:v>
                </c:pt>
                <c:pt idx="27">
                  <c:v>2.1246730427681111E-2</c:v>
                </c:pt>
                <c:pt idx="28">
                  <c:v>2.2195245178916877E-2</c:v>
                </c:pt>
                <c:pt idx="29">
                  <c:v>2.3078345119722593E-2</c:v>
                </c:pt>
                <c:pt idx="30">
                  <c:v>2.3902571731141253E-2</c:v>
                </c:pt>
                <c:pt idx="31">
                  <c:v>2.4673622432145811E-2</c:v>
                </c:pt>
                <c:pt idx="32">
                  <c:v>2.539648246433758E-2</c:v>
                </c:pt>
                <c:pt idx="33">
                  <c:v>2.6075532797608637E-2</c:v>
                </c:pt>
                <c:pt idx="34">
                  <c:v>2.6714638993628456E-2</c:v>
                </c:pt>
                <c:pt idx="35">
                  <c:v>2.7317224835590001E-2</c:v>
                </c:pt>
                <c:pt idx="36">
                  <c:v>2.7886333686331463E-2</c:v>
                </c:pt>
                <c:pt idx="37">
                  <c:v>2.8424679896492302E-2</c:v>
                </c:pt>
                <c:pt idx="38">
                  <c:v>2.8934692095592043E-2</c:v>
                </c:pt>
                <c:pt idx="39">
                  <c:v>2.941854982294308E-2</c:v>
                </c:pt>
                <c:pt idx="40">
                  <c:v>2.9878214663926563E-2</c:v>
                </c:pt>
                <c:pt idx="41">
                  <c:v>3.0315456829740128E-2</c:v>
                </c:pt>
                <c:pt idx="42">
                  <c:v>3.0731877940038753E-2</c:v>
                </c:pt>
                <c:pt idx="43">
                  <c:v>3.1128930626602564E-2</c:v>
                </c:pt>
                <c:pt idx="44">
                  <c:v>3.1507935463777108E-2</c:v>
                </c:pt>
                <c:pt idx="45">
                  <c:v>3.187009564152167E-2</c:v>
                </c:pt>
                <c:pt idx="46">
                  <c:v>3.2216509724581691E-2</c:v>
                </c:pt>
                <c:pt idx="47">
                  <c:v>3.2548182782830642E-2</c:v>
                </c:pt>
                <c:pt idx="48">
                  <c:v>3.2866036130319222E-2</c:v>
                </c:pt>
                <c:pt idx="49">
                  <c:v>3.3170915871787859E-2</c:v>
                </c:pt>
                <c:pt idx="50">
                  <c:v>3.346360042359775E-2</c:v>
                </c:pt>
                <c:pt idx="51">
                  <c:v>3.374480714984647E-2</c:v>
                </c:pt>
                <c:pt idx="52">
                  <c:v>3.4015198232777932E-2</c:v>
                </c:pt>
                <c:pt idx="53">
                  <c:v>3.4275385878617642E-2</c:v>
                </c:pt>
                <c:pt idx="54">
                  <c:v>3.4525936944981808E-2</c:v>
                </c:pt>
                <c:pt idx="55">
                  <c:v>3.4767377063478183E-2</c:v>
                </c:pt>
                <c:pt idx="56">
                  <c:v>3.5000194320599691E-2</c:v>
                </c:pt>
                <c:pt idx="57">
                  <c:v>3.522484255115553E-2</c:v>
                </c:pt>
                <c:pt idx="58">
                  <c:v>3.5441744291002553E-2</c:v>
                </c:pt>
                <c:pt idx="59">
                  <c:v>3.5651293429498819E-2</c:v>
                </c:pt>
                <c:pt idx="60">
                  <c:v>3.5853857596711877E-2</c:v>
                </c:pt>
                <c:pt idx="61">
                  <c:v>3.6049780315819596E-2</c:v>
                </c:pt>
                <c:pt idx="62">
                  <c:v>3.6239382947214155E-2</c:v>
                </c:pt>
                <c:pt idx="63">
                  <c:v>3.6422966447453339E-2</c:v>
                </c:pt>
                <c:pt idx="64">
                  <c:v>3.6600812963310039E-2</c:v>
                </c:pt>
                <c:pt idx="65">
                  <c:v>3.677318727867885E-2</c:v>
                </c:pt>
                <c:pt idx="66">
                  <c:v>3.6940338129945571E-2</c:v>
                </c:pt>
                <c:pt idx="67">
                  <c:v>3.7102499403562542E-2</c:v>
                </c:pt>
                <c:pt idx="68">
                  <c:v>3.7259891227955484E-2</c:v>
                </c:pt>
                <c:pt idx="69">
                  <c:v>3.7412720970481962E-2</c:v>
                </c:pt>
                <c:pt idx="70">
                  <c:v>3.756118414893625E-2</c:v>
                </c:pt>
                <c:pt idx="71">
                  <c:v>3.770546526602564E-2</c:v>
                </c:pt>
                <c:pt idx="72">
                  <c:v>3.7845738574306981E-2</c:v>
                </c:pt>
                <c:pt idx="73">
                  <c:v>3.7982168778251856E-2</c:v>
                </c:pt>
                <c:pt idx="74">
                  <c:v>3.8114911679387402E-2</c:v>
                </c:pt>
                <c:pt idx="75">
                  <c:v>3.8244114769826004E-2</c:v>
                </c:pt>
                <c:pt idx="76">
                  <c:v>3.8369917778937272E-2</c:v>
                </c:pt>
                <c:pt idx="77">
                  <c:v>3.8492453177422281E-2</c:v>
                </c:pt>
                <c:pt idx="78">
                  <c:v>3.8611846642612788E-2</c:v>
                </c:pt>
                <c:pt idx="79">
                  <c:v>3.8728217488431402E-2</c:v>
                </c:pt>
                <c:pt idx="80">
                  <c:v>3.8841679063104539E-2</c:v>
                </c:pt>
                <c:pt idx="81">
                  <c:v>3.8952339117415372E-2</c:v>
                </c:pt>
                <c:pt idx="82">
                  <c:v>3.9060300146011313E-2</c:v>
                </c:pt>
                <c:pt idx="83">
                  <c:v>3.9165659704038673E-2</c:v>
                </c:pt>
                <c:pt idx="84">
                  <c:v>3.9268510701160629E-2</c:v>
                </c:pt>
                <c:pt idx="85">
                  <c:v>3.9368941674820884E-2</c:v>
                </c:pt>
                <c:pt idx="86">
                  <c:v>3.9467037044442529E-2</c:v>
                </c:pt>
                <c:pt idx="87">
                  <c:v>3.9562877348095868E-2</c:v>
                </c:pt>
                <c:pt idx="88">
                  <c:v>3.9656539463029813E-2</c:v>
                </c:pt>
                <c:pt idx="89">
                  <c:v>3.9748096811336016E-2</c:v>
                </c:pt>
                <c:pt idx="90">
                  <c:v>3.9837619551902091E-2</c:v>
                </c:pt>
                <c:pt idx="91">
                  <c:v>3.9925174759708464E-2</c:v>
                </c:pt>
                <c:pt idx="92">
                  <c:v>4.0010826593432094E-2</c:v>
                </c:pt>
                <c:pt idx="93">
                  <c:v>4.0094636452236938E-2</c:v>
                </c:pt>
                <c:pt idx="94">
                  <c:v>4.017666312255657E-2</c:v>
                </c:pt>
                <c:pt idx="95">
                  <c:v>4.025696291560632E-2</c:v>
                </c:pt>
                <c:pt idx="96">
                  <c:v>4.0335589796300864E-2</c:v>
                </c:pt>
                <c:pt idx="97">
                  <c:v>4.0412595504197582E-2</c:v>
                </c:pt>
                <c:pt idx="98">
                  <c:v>4.0488029667035179E-2</c:v>
                </c:pt>
                <c:pt idx="99">
                  <c:v>4.0561939907391223E-2</c:v>
                </c:pt>
                <c:pt idx="100">
                  <c:v>4.0634371942940124E-2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0-4C1F-BE49-4433B92A17D6}"/>
            </c:ext>
          </c:extLst>
        </c:ser>
        <c:ser>
          <c:idx val="2"/>
          <c:order val="2"/>
          <c:tx>
            <c:strRef>
              <c:f>NPpremie_inkomen!$AZ$9</c:f>
              <c:strCache>
                <c:ptCount val="1"/>
                <c:pt idx="0">
                  <c:v>MvT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NPpremie_inkomen!$AW$10:$AW$110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NPpremie_inkomen!$AZ$10:$AZ$110</c:f>
              <c:numCache>
                <c:formatCode>0.00%</c:formatCode>
                <c:ptCount val="101"/>
                <c:pt idx="0">
                  <c:v>#N/A</c:v>
                </c:pt>
                <c:pt idx="1">
                  <c:v>5.5021506197276915E-2</c:v>
                </c:pt>
                <c:pt idx="2">
                  <c:v>5.5021506197276915E-2</c:v>
                </c:pt>
                <c:pt idx="3">
                  <c:v>5.5021506197276915E-2</c:v>
                </c:pt>
                <c:pt idx="4">
                  <c:v>5.5021506197276915E-2</c:v>
                </c:pt>
                <c:pt idx="5">
                  <c:v>5.5021506197276915E-2</c:v>
                </c:pt>
                <c:pt idx="6">
                  <c:v>5.5021506197276915E-2</c:v>
                </c:pt>
                <c:pt idx="7">
                  <c:v>5.5021506197276915E-2</c:v>
                </c:pt>
                <c:pt idx="8">
                  <c:v>5.5021506197276915E-2</c:v>
                </c:pt>
                <c:pt idx="9">
                  <c:v>5.5021506197276915E-2</c:v>
                </c:pt>
                <c:pt idx="10">
                  <c:v>5.5021506197276915E-2</c:v>
                </c:pt>
                <c:pt idx="11">
                  <c:v>5.5021506197276915E-2</c:v>
                </c:pt>
                <c:pt idx="12">
                  <c:v>5.5021506197276915E-2</c:v>
                </c:pt>
                <c:pt idx="13">
                  <c:v>5.5021506197276915E-2</c:v>
                </c:pt>
                <c:pt idx="14">
                  <c:v>5.5021506197276915E-2</c:v>
                </c:pt>
                <c:pt idx="15">
                  <c:v>5.5021506197276915E-2</c:v>
                </c:pt>
                <c:pt idx="16">
                  <c:v>5.6508654553711749E-2</c:v>
                </c:pt>
                <c:pt idx="17">
                  <c:v>5.7820844279977766E-2</c:v>
                </c:pt>
                <c:pt idx="18">
                  <c:v>5.8987235147769788E-2</c:v>
                </c:pt>
                <c:pt idx="19">
                  <c:v>6.0030848029478431E-2</c:v>
                </c:pt>
                <c:pt idx="20">
                  <c:v>6.0970099623016222E-2</c:v>
                </c:pt>
                <c:pt idx="21">
                  <c:v>6.1819898683836125E-2</c:v>
                </c:pt>
                <c:pt idx="22">
                  <c:v>6.2592443284581481E-2</c:v>
                </c:pt>
                <c:pt idx="23">
                  <c:v>6.3297810093957685E-2</c:v>
                </c:pt>
                <c:pt idx="24">
                  <c:v>6.3944396335885861E-2</c:v>
                </c:pt>
                <c:pt idx="25">
                  <c:v>6.4539255678459806E-2</c:v>
                </c:pt>
                <c:pt idx="26">
                  <c:v>6.5088356610066511E-2</c:v>
                </c:pt>
                <c:pt idx="27">
                  <c:v>6.5596783398591235E-2</c:v>
                </c:pt>
                <c:pt idx="28">
                  <c:v>6.6068893987935612E-2</c:v>
                </c:pt>
                <c:pt idx="29">
                  <c:v>6.6508445226290736E-2</c:v>
                </c:pt>
                <c:pt idx="30">
                  <c:v>6.6918693048755529E-2</c:v>
                </c:pt>
                <c:pt idx="31">
                  <c:v>6.7302473269770957E-2</c:v>
                </c:pt>
                <c:pt idx="32">
                  <c:v>6.7662267226972939E-2</c:v>
                </c:pt>
                <c:pt idx="33">
                  <c:v>6.800025548979903E-2</c:v>
                </c:pt>
                <c:pt idx="34">
                  <c:v>6.8318362090105944E-2</c:v>
                </c:pt>
                <c:pt idx="35">
                  <c:v>6.8618291170395321E-2</c:v>
                </c:pt>
                <c:pt idx="36">
                  <c:v>6.8901557524001955E-2</c:v>
                </c:pt>
                <c:pt idx="37">
                  <c:v>6.916951218281904E-2</c:v>
                </c:pt>
                <c:pt idx="38">
                  <c:v>6.942336396485628E-2</c:v>
                </c:pt>
                <c:pt idx="39">
                  <c:v>6.9664197706789055E-2</c:v>
                </c:pt>
                <c:pt idx="40">
                  <c:v>6.9892989761625168E-2</c:v>
                </c:pt>
                <c:pt idx="41">
                  <c:v>7.0110621228420517E-2</c:v>
                </c:pt>
                <c:pt idx="42">
                  <c:v>7.0317889292035113E-2</c:v>
                </c:pt>
                <c:pt idx="43">
                  <c:v>7.0515516980597881E-2</c:v>
                </c:pt>
                <c:pt idx="44">
                  <c:v>7.0704161592407805E-2</c:v>
                </c:pt>
                <c:pt idx="45">
                  <c:v>7.0884421999248381E-2</c:v>
                </c:pt>
                <c:pt idx="46">
                  <c:v>7.1056844997095914E-2</c:v>
                </c:pt>
                <c:pt idx="47">
                  <c:v>7.1221930846098847E-2</c:v>
                </c:pt>
                <c:pt idx="48">
                  <c:v>7.1380138118059988E-2</c:v>
                </c:pt>
                <c:pt idx="49">
                  <c:v>7.153188795034926E-2</c:v>
                </c:pt>
                <c:pt idx="50">
                  <c:v>7.1677567789346974E-2</c:v>
                </c:pt>
                <c:pt idx="51">
                  <c:v>7.181753469348201E-2</c:v>
                </c:pt>
                <c:pt idx="52">
                  <c:v>7.1952118255150327E-2</c:v>
                </c:pt>
                <c:pt idx="53">
                  <c:v>7.2081623191850019E-2</c:v>
                </c:pt>
                <c:pt idx="54">
                  <c:v>7.2206331649412675E-2</c:v>
                </c:pt>
                <c:pt idx="55">
                  <c:v>7.2326505253973078E-2</c:v>
                </c:pt>
                <c:pt idx="56">
                  <c:v>7.2442386944084863E-2</c:v>
                </c:pt>
                <c:pt idx="57">
                  <c:v>7.255420260998223E-2</c:v>
                </c:pt>
                <c:pt idx="58">
                  <c:v>7.2662162563262439E-2</c:v>
                </c:pt>
                <c:pt idx="59">
                  <c:v>7.2766462857109415E-2</c:v>
                </c:pt>
                <c:pt idx="60">
                  <c:v>7.2867286474494822E-2</c:v>
                </c:pt>
                <c:pt idx="61">
                  <c:v>7.296480439950695E-2</c:v>
                </c:pt>
                <c:pt idx="62">
                  <c:v>7.305917658500255E-2</c:v>
                </c:pt>
                <c:pt idx="63">
                  <c:v>7.3150552828101456E-2</c:v>
                </c:pt>
                <c:pt idx="64">
                  <c:v>7.3239073563603541E-2</c:v>
                </c:pt>
                <c:pt idx="65">
                  <c:v>7.3324870584167076E-2</c:v>
                </c:pt>
                <c:pt idx="66">
                  <c:v>7.3408067695016579E-2</c:v>
                </c:pt>
                <c:pt idx="67">
                  <c:v>7.3488781310019818E-2</c:v>
                </c:pt>
                <c:pt idx="68">
                  <c:v>7.3567120995170043E-2</c:v>
                </c:pt>
                <c:pt idx="69">
                  <c:v>7.3643189964808647E-2</c:v>
                </c:pt>
                <c:pt idx="70">
                  <c:v>7.3717085535314725E-2</c:v>
                </c:pt>
                <c:pt idx="71">
                  <c:v>7.3788899540454422E-2</c:v>
                </c:pt>
                <c:pt idx="72">
                  <c:v>7.3858718712118049E-2</c:v>
                </c:pt>
                <c:pt idx="73">
                  <c:v>7.3926625029763465E-2</c:v>
                </c:pt>
                <c:pt idx="74">
                  <c:v>7.3992696041526584E-2</c:v>
                </c:pt>
                <c:pt idx="75">
                  <c:v>7.4057005159642683E-2</c:v>
                </c:pt>
                <c:pt idx="76">
                  <c:v>7.4119621932545204E-2</c:v>
                </c:pt>
                <c:pt idx="77">
                  <c:v>7.418061229576195E-2</c:v>
                </c:pt>
                <c:pt idx="78">
                  <c:v>7.4240038803511585E-2</c:v>
                </c:pt>
                <c:pt idx="79">
                  <c:v>7.4297960842710606E-2</c:v>
                </c:pt>
                <c:pt idx="80">
                  <c:v>7.4354434830929655E-2</c:v>
                </c:pt>
                <c:pt idx="81">
                  <c:v>7.4409514399686488E-2</c:v>
                </c:pt>
                <c:pt idx="82">
                  <c:v>7.4463250564327316E-2</c:v>
                </c:pt>
                <c:pt idx="83">
                  <c:v>7.4515691881627405E-2</c:v>
                </c:pt>
                <c:pt idx="84">
                  <c:v>7.4566884596134614E-2</c:v>
                </c:pt>
                <c:pt idx="85">
                  <c:v>7.4616872776182841E-2</c:v>
                </c:pt>
                <c:pt idx="86">
                  <c:v>7.4665698440416012E-2</c:v>
                </c:pt>
                <c:pt idx="87">
                  <c:v>7.4713401675586322E-2</c:v>
                </c:pt>
                <c:pt idx="88">
                  <c:v>7.476002074632096E-2</c:v>
                </c:pt>
                <c:pt idx="89">
                  <c:v>7.480559219748853E-2</c:v>
                </c:pt>
                <c:pt idx="90">
                  <c:v>7.4850150949741262E-2</c:v>
                </c:pt>
                <c:pt idx="91">
                  <c:v>7.4893730388757657E-2</c:v>
                </c:pt>
                <c:pt idx="92">
                  <c:v>7.4936362448665014E-2</c:v>
                </c:pt>
                <c:pt idx="93">
                  <c:v>7.4978077690079747E-2</c:v>
                </c:pt>
                <c:pt idx="94">
                  <c:v>7.5018905373166495E-2</c:v>
                </c:pt>
                <c:pt idx="95">
                  <c:v>7.5058873526082981E-2</c:v>
                </c:pt>
                <c:pt idx="96">
                  <c:v>7.5098009009147065E-2</c:v>
                </c:pt>
                <c:pt idx="97">
                  <c:v>7.5136337575034545E-2</c:v>
                </c:pt>
                <c:pt idx="98">
                  <c:v>7.5173883925291701E-2</c:v>
                </c:pt>
                <c:pt idx="99">
                  <c:v>7.5210671763422415E-2</c:v>
                </c:pt>
                <c:pt idx="100">
                  <c:v>7.5246723844790545E-2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0-4C1F-BE49-4433B92A17D6}"/>
            </c:ext>
          </c:extLst>
        </c:ser>
        <c:ser>
          <c:idx val="4"/>
          <c:order val="4"/>
          <c:tx>
            <c:strRef>
              <c:f>NPpremie_inkomen!$BB$9</c:f>
              <c:strCache>
                <c:ptCount val="1"/>
                <c:pt idx="0">
                  <c:v>MvT met overbrugging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NPpremie_inkomen!$AW$10:$AW$110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NPpremie_inkomen!$BB$10:$BB$110</c:f>
              <c:numCache>
                <c:formatCode>0.00%</c:formatCode>
                <c:ptCount val="101"/>
                <c:pt idx="0">
                  <c:v>#N/A</c:v>
                </c:pt>
                <c:pt idx="1">
                  <c:v>4.4071813666357235E-2</c:v>
                </c:pt>
                <c:pt idx="2">
                  <c:v>4.4071813666357235E-2</c:v>
                </c:pt>
                <c:pt idx="3">
                  <c:v>4.4071813666357235E-2</c:v>
                </c:pt>
                <c:pt idx="4">
                  <c:v>4.4071813666357235E-2</c:v>
                </c:pt>
                <c:pt idx="5">
                  <c:v>4.4071813666357235E-2</c:v>
                </c:pt>
                <c:pt idx="6">
                  <c:v>4.4071813666357235E-2</c:v>
                </c:pt>
                <c:pt idx="7">
                  <c:v>4.4071813666357235E-2</c:v>
                </c:pt>
                <c:pt idx="8">
                  <c:v>4.4071813666357235E-2</c:v>
                </c:pt>
                <c:pt idx="9">
                  <c:v>4.4071813666357235E-2</c:v>
                </c:pt>
                <c:pt idx="10">
                  <c:v>4.4071813666357235E-2</c:v>
                </c:pt>
                <c:pt idx="11">
                  <c:v>4.4071813666357235E-2</c:v>
                </c:pt>
                <c:pt idx="12">
                  <c:v>4.4071813666357235E-2</c:v>
                </c:pt>
                <c:pt idx="13">
                  <c:v>4.4071813666357235E-2</c:v>
                </c:pt>
                <c:pt idx="14">
                  <c:v>4.4071813666357235E-2</c:v>
                </c:pt>
                <c:pt idx="15">
                  <c:v>4.4071813666357235E-2</c:v>
                </c:pt>
                <c:pt idx="16">
                  <c:v>4.5558962022792054E-2</c:v>
                </c:pt>
                <c:pt idx="17">
                  <c:v>4.6871151749058079E-2</c:v>
                </c:pt>
                <c:pt idx="18">
                  <c:v>4.8037542616850101E-2</c:v>
                </c:pt>
                <c:pt idx="19">
                  <c:v>4.9081155498558751E-2</c:v>
                </c:pt>
                <c:pt idx="20">
                  <c:v>5.0020407092096535E-2</c:v>
                </c:pt>
                <c:pt idx="21">
                  <c:v>5.0870206152916431E-2</c:v>
                </c:pt>
                <c:pt idx="22">
                  <c:v>5.1642750753661801E-2</c:v>
                </c:pt>
                <c:pt idx="23">
                  <c:v>5.2348117563037998E-2</c:v>
                </c:pt>
                <c:pt idx="24">
                  <c:v>5.2994703804966181E-2</c:v>
                </c:pt>
                <c:pt idx="25">
                  <c:v>5.3589563147540112E-2</c:v>
                </c:pt>
                <c:pt idx="26">
                  <c:v>5.4138664079146817E-2</c:v>
                </c:pt>
                <c:pt idx="27">
                  <c:v>5.4647090867671548E-2</c:v>
                </c:pt>
                <c:pt idx="28">
                  <c:v>5.5119201457015932E-2</c:v>
                </c:pt>
                <c:pt idx="29">
                  <c:v>5.5558752695371055E-2</c:v>
                </c:pt>
                <c:pt idx="30">
                  <c:v>5.5969000517835835E-2</c:v>
                </c:pt>
                <c:pt idx="31">
                  <c:v>5.6352780738851277E-2</c:v>
                </c:pt>
                <c:pt idx="32">
                  <c:v>5.6712574696053245E-2</c:v>
                </c:pt>
                <c:pt idx="33">
                  <c:v>5.7050562958879343E-2</c:v>
                </c:pt>
                <c:pt idx="34">
                  <c:v>5.7368669559186257E-2</c:v>
                </c:pt>
                <c:pt idx="35">
                  <c:v>5.7668598639475634E-2</c:v>
                </c:pt>
                <c:pt idx="36">
                  <c:v>5.7951864993082268E-2</c:v>
                </c:pt>
                <c:pt idx="37">
                  <c:v>5.8219819651899353E-2</c:v>
                </c:pt>
                <c:pt idx="38">
                  <c:v>5.8473671433936593E-2</c:v>
                </c:pt>
                <c:pt idx="39">
                  <c:v>5.8714505175869361E-2</c:v>
                </c:pt>
                <c:pt idx="40">
                  <c:v>5.8943297230705488E-2</c:v>
                </c:pt>
                <c:pt idx="41">
                  <c:v>5.9160928697500823E-2</c:v>
                </c:pt>
                <c:pt idx="42">
                  <c:v>5.9368196761115433E-2</c:v>
                </c:pt>
                <c:pt idx="43">
                  <c:v>5.9565824449678201E-2</c:v>
                </c:pt>
                <c:pt idx="44">
                  <c:v>5.9754469061488118E-2</c:v>
                </c:pt>
                <c:pt idx="45">
                  <c:v>5.9934729468328701E-2</c:v>
                </c:pt>
                <c:pt idx="46">
                  <c:v>6.010715246617622E-2</c:v>
                </c:pt>
                <c:pt idx="47">
                  <c:v>6.0272238315179159E-2</c:v>
                </c:pt>
                <c:pt idx="48">
                  <c:v>6.0430445587140308E-2</c:v>
                </c:pt>
                <c:pt idx="49">
                  <c:v>6.058219541942958E-2</c:v>
                </c:pt>
                <c:pt idx="50">
                  <c:v>6.072787525842728E-2</c:v>
                </c:pt>
                <c:pt idx="51">
                  <c:v>6.0867842162562316E-2</c:v>
                </c:pt>
                <c:pt idx="52">
                  <c:v>6.1002425724230633E-2</c:v>
                </c:pt>
                <c:pt idx="53">
                  <c:v>6.1131930660930325E-2</c:v>
                </c:pt>
                <c:pt idx="54">
                  <c:v>6.1256639118492995E-2</c:v>
                </c:pt>
                <c:pt idx="55">
                  <c:v>6.1376812723053384E-2</c:v>
                </c:pt>
                <c:pt idx="56">
                  <c:v>6.1492694413165183E-2</c:v>
                </c:pt>
                <c:pt idx="57">
                  <c:v>6.1604510079062542E-2</c:v>
                </c:pt>
                <c:pt idx="58">
                  <c:v>6.1712470032342745E-2</c:v>
                </c:pt>
                <c:pt idx="59">
                  <c:v>6.1816770326189721E-2</c:v>
                </c:pt>
                <c:pt idx="60">
                  <c:v>6.1917593943575135E-2</c:v>
                </c:pt>
                <c:pt idx="61">
                  <c:v>6.2015111868587255E-2</c:v>
                </c:pt>
                <c:pt idx="62">
                  <c:v>6.2109484054082856E-2</c:v>
                </c:pt>
                <c:pt idx="63">
                  <c:v>6.2200860297181776E-2</c:v>
                </c:pt>
                <c:pt idx="64">
                  <c:v>6.2289381032683847E-2</c:v>
                </c:pt>
                <c:pt idx="65">
                  <c:v>6.2375178053247389E-2</c:v>
                </c:pt>
                <c:pt idx="66">
                  <c:v>6.2458375164096892E-2</c:v>
                </c:pt>
                <c:pt idx="67">
                  <c:v>6.2539088779100138E-2</c:v>
                </c:pt>
                <c:pt idx="68">
                  <c:v>6.2617428464250349E-2</c:v>
                </c:pt>
                <c:pt idx="69">
                  <c:v>6.2693497433888953E-2</c:v>
                </c:pt>
                <c:pt idx="70">
                  <c:v>6.2767393004395031E-2</c:v>
                </c:pt>
                <c:pt idx="71">
                  <c:v>6.2839207009534742E-2</c:v>
                </c:pt>
                <c:pt idx="72">
                  <c:v>6.2909026181198355E-2</c:v>
                </c:pt>
                <c:pt idx="73">
                  <c:v>6.2976932498843785E-2</c:v>
                </c:pt>
                <c:pt idx="74">
                  <c:v>6.3043003510606904E-2</c:v>
                </c:pt>
                <c:pt idx="75">
                  <c:v>6.3107312628722989E-2</c:v>
                </c:pt>
                <c:pt idx="76">
                  <c:v>6.3169929401625524E-2</c:v>
                </c:pt>
                <c:pt idx="77">
                  <c:v>6.3230919764842256E-2</c:v>
                </c:pt>
                <c:pt idx="78">
                  <c:v>6.3290346272591891E-2</c:v>
                </c:pt>
                <c:pt idx="79">
                  <c:v>6.3348268311790912E-2</c:v>
                </c:pt>
                <c:pt idx="80">
                  <c:v>6.3404742300009961E-2</c:v>
                </c:pt>
                <c:pt idx="81">
                  <c:v>6.3459821868766808E-2</c:v>
                </c:pt>
                <c:pt idx="82">
                  <c:v>6.3513558033407636E-2</c:v>
                </c:pt>
                <c:pt idx="83">
                  <c:v>6.3565999350707711E-2</c:v>
                </c:pt>
                <c:pt idx="84">
                  <c:v>6.3617192065214934E-2</c:v>
                </c:pt>
                <c:pt idx="85">
                  <c:v>6.3667180245263161E-2</c:v>
                </c:pt>
                <c:pt idx="86">
                  <c:v>6.3716005909496318E-2</c:v>
                </c:pt>
                <c:pt idx="87">
                  <c:v>6.3763709144666642E-2</c:v>
                </c:pt>
                <c:pt idx="88">
                  <c:v>6.381032821540128E-2</c:v>
                </c:pt>
                <c:pt idx="89">
                  <c:v>6.3855899666568849E-2</c:v>
                </c:pt>
                <c:pt idx="90">
                  <c:v>6.3900458418821568E-2</c:v>
                </c:pt>
                <c:pt idx="91">
                  <c:v>6.3944037857837976E-2</c:v>
                </c:pt>
                <c:pt idx="92">
                  <c:v>6.398666991774532E-2</c:v>
                </c:pt>
                <c:pt idx="93">
                  <c:v>6.4028385159160053E-2</c:v>
                </c:pt>
                <c:pt idx="94">
                  <c:v>6.40692128422468E-2</c:v>
                </c:pt>
                <c:pt idx="95">
                  <c:v>6.4109180995163301E-2</c:v>
                </c:pt>
                <c:pt idx="96">
                  <c:v>6.4148316478227371E-2</c:v>
                </c:pt>
                <c:pt idx="97">
                  <c:v>6.4186645044114865E-2</c:v>
                </c:pt>
                <c:pt idx="98">
                  <c:v>6.4224191394372007E-2</c:v>
                </c:pt>
                <c:pt idx="99">
                  <c:v>6.4260979232502735E-2</c:v>
                </c:pt>
                <c:pt idx="100">
                  <c:v>6.429703131387085E-2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0-4C1F-BE49-4433B92A17D6}"/>
            </c:ext>
          </c:extLst>
        </c:ser>
        <c:ser>
          <c:idx val="5"/>
          <c:order val="5"/>
          <c:tx>
            <c:strRef>
              <c:f>NPpremie_inkomen!$BC$9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NPpremie_inkomen!$AW$10:$AW$110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NPpremie_inkomen!$BC$10:$BC$110</c:f>
              <c:numCache>
                <c:formatCode>0.00%</c:formatCode>
                <c:ptCount val="101"/>
                <c:pt idx="0">
                  <c:v>#N/A</c:v>
                </c:pt>
                <c:pt idx="1">
                  <c:v>1.8522531094211297E-2</c:v>
                </c:pt>
                <c:pt idx="2">
                  <c:v>1.8522531094211297E-2</c:v>
                </c:pt>
                <c:pt idx="3">
                  <c:v>1.8522531094211297E-2</c:v>
                </c:pt>
                <c:pt idx="4">
                  <c:v>1.8522531094211297E-2</c:v>
                </c:pt>
                <c:pt idx="5">
                  <c:v>1.8522531094211297E-2</c:v>
                </c:pt>
                <c:pt idx="6">
                  <c:v>1.8522531094211297E-2</c:v>
                </c:pt>
                <c:pt idx="7">
                  <c:v>1.8522531094211297E-2</c:v>
                </c:pt>
                <c:pt idx="8">
                  <c:v>1.8522531094211297E-2</c:v>
                </c:pt>
                <c:pt idx="9">
                  <c:v>1.8522531094211297E-2</c:v>
                </c:pt>
                <c:pt idx="10">
                  <c:v>1.8522531094211297E-2</c:v>
                </c:pt>
                <c:pt idx="11">
                  <c:v>1.8522531094211297E-2</c:v>
                </c:pt>
                <c:pt idx="12">
                  <c:v>1.8522531094211297E-2</c:v>
                </c:pt>
                <c:pt idx="13">
                  <c:v>1.8522531094211297E-2</c:v>
                </c:pt>
                <c:pt idx="14">
                  <c:v>1.8522531094211297E-2</c:v>
                </c:pt>
                <c:pt idx="15">
                  <c:v>1.8522531094211297E-2</c:v>
                </c:pt>
                <c:pt idx="16">
                  <c:v>2.0970352921268341E-2</c:v>
                </c:pt>
                <c:pt idx="17">
                  <c:v>2.3130195709848082E-2</c:v>
                </c:pt>
                <c:pt idx="18">
                  <c:v>2.5050055966363411E-2</c:v>
                </c:pt>
                <c:pt idx="19">
                  <c:v>2.6767825669561339E-2</c:v>
                </c:pt>
                <c:pt idx="20">
                  <c:v>2.8313818402439468E-2</c:v>
                </c:pt>
                <c:pt idx="21">
                  <c:v>2.9712573732186352E-2</c:v>
                </c:pt>
                <c:pt idx="22">
                  <c:v>3.0984169486501702E-2</c:v>
                </c:pt>
                <c:pt idx="23">
                  <c:v>3.2145191696963539E-2</c:v>
                </c:pt>
                <c:pt idx="24">
                  <c:v>3.3209462056553556E-2</c:v>
                </c:pt>
                <c:pt idx="25">
                  <c:v>3.418859078737637E-2</c:v>
                </c:pt>
                <c:pt idx="26">
                  <c:v>3.5092401923520512E-2</c:v>
                </c:pt>
                <c:pt idx="27">
                  <c:v>3.5929264086616931E-2</c:v>
                </c:pt>
                <c:pt idx="28">
                  <c:v>3.6706350380920759E-2</c:v>
                </c:pt>
                <c:pt idx="29">
                  <c:v>3.7429844516996741E-2</c:v>
                </c:pt>
                <c:pt idx="30">
                  <c:v>3.8105105710667643E-2</c:v>
                </c:pt>
                <c:pt idx="31">
                  <c:v>3.8736801666037199E-2</c:v>
                </c:pt>
                <c:pt idx="32">
                  <c:v>3.9329016624196161E-2</c:v>
                </c:pt>
                <c:pt idx="33">
                  <c:v>3.9885339766709133E-2</c:v>
                </c:pt>
                <c:pt idx="34">
                  <c:v>4.0408938018486038E-2</c:v>
                </c:pt>
                <c:pt idx="35">
                  <c:v>4.0902616370161404E-2</c:v>
                </c:pt>
                <c:pt idx="36">
                  <c:v>4.1368868146743704E-2</c:v>
                </c:pt>
                <c:pt idx="37">
                  <c:v>4.1809917124591818E-2</c:v>
                </c:pt>
                <c:pt idx="38">
                  <c:v>4.2227752998342666E-2</c:v>
                </c:pt>
                <c:pt idx="39">
                  <c:v>4.2624161391388339E-2</c:v>
                </c:pt>
                <c:pt idx="40">
                  <c:v>4.3000749364781723E-2</c:v>
                </c:pt>
                <c:pt idx="41">
                  <c:v>4.3358967193131544E-2</c:v>
                </c:pt>
                <c:pt idx="42">
                  <c:v>4.3700127029655172E-2</c:v>
                </c:pt>
                <c:pt idx="43">
                  <c:v>4.4025418966805605E-2</c:v>
                </c:pt>
                <c:pt idx="44">
                  <c:v>4.4335924906812846E-2</c:v>
                </c:pt>
                <c:pt idx="45">
                  <c:v>4.4632630582819757E-2</c:v>
                </c:pt>
                <c:pt idx="46">
                  <c:v>4.4916436012043766E-2</c:v>
                </c:pt>
                <c:pt idx="47">
                  <c:v>4.5188164614492272E-2</c:v>
                </c:pt>
                <c:pt idx="48">
                  <c:v>4.5448571191838774E-2</c:v>
                </c:pt>
                <c:pt idx="49">
                  <c:v>4.5698348929293579E-2</c:v>
                </c:pt>
                <c:pt idx="50">
                  <c:v>4.5938135557250181E-2</c:v>
                </c:pt>
                <c:pt idx="51">
                  <c:v>4.616851878803202E-2</c:v>
                </c:pt>
                <c:pt idx="52">
                  <c:v>4.6390041125322252E-2</c:v>
                </c:pt>
                <c:pt idx="53">
                  <c:v>4.6603204129129834E-2</c:v>
                </c:pt>
                <c:pt idx="54">
                  <c:v>4.6808472206870462E-2</c:v>
                </c:pt>
                <c:pt idx="55">
                  <c:v>4.700627599087507E-2</c:v>
                </c:pt>
                <c:pt idx="56">
                  <c:v>4.7197015354022376E-2</c:v>
                </c:pt>
                <c:pt idx="57">
                  <c:v>4.7381062107936439E-2</c:v>
                </c:pt>
                <c:pt idx="58">
                  <c:v>4.7558762422060363E-2</c:v>
                </c:pt>
                <c:pt idx="59">
                  <c:v>4.7730438996722462E-2</c:v>
                </c:pt>
                <c:pt idx="60">
                  <c:v>4.7896393018895818E-2</c:v>
                </c:pt>
                <c:pt idx="61">
                  <c:v>4.8056905925588082E-2</c:v>
                </c:pt>
                <c:pt idx="62">
                  <c:v>4.8212240996580599E-2</c:v>
                </c:pt>
                <c:pt idx="63">
                  <c:v>4.836264479547811E-2</c:v>
                </c:pt>
                <c:pt idx="64">
                  <c:v>4.8508348475660081E-2</c:v>
                </c:pt>
                <c:pt idx="65">
                  <c:v>4.8649568965682594E-2</c:v>
                </c:pt>
                <c:pt idx="66">
                  <c:v>4.8786510046916552E-2</c:v>
                </c:pt>
                <c:pt idx="67">
                  <c:v>4.8919363334680846E-2</c:v>
                </c:pt>
                <c:pt idx="68">
                  <c:v>4.9048309172805012E-2</c:v>
                </c:pt>
                <c:pt idx="69">
                  <c:v>4.9173517450403839E-2</c:v>
                </c:pt>
                <c:pt idx="70">
                  <c:v>4.9295148348642695E-2</c:v>
                </c:pt>
                <c:pt idx="71">
                  <c:v>4.9413353024395958E-2</c:v>
                </c:pt>
                <c:pt idx="72">
                  <c:v>4.9528274236933845E-2</c:v>
                </c:pt>
                <c:pt idx="73">
                  <c:v>4.9640046923100832E-2</c:v>
                </c:pt>
                <c:pt idx="74">
                  <c:v>4.9748798725857898E-2</c:v>
                </c:pt>
                <c:pt idx="75">
                  <c:v>4.9854650480541447E-2</c:v>
                </c:pt>
                <c:pt idx="76">
                  <c:v>4.9957716662733333E-2</c:v>
                </c:pt>
                <c:pt idx="77">
                  <c:v>5.0058105801231906E-2</c:v>
                </c:pt>
                <c:pt idx="78">
                  <c:v>5.0155920859256159E-2</c:v>
                </c:pt>
                <c:pt idx="79">
                  <c:v>5.025125958669753E-2</c:v>
                </c:pt>
                <c:pt idx="80">
                  <c:v>5.0344214845952855E-2</c:v>
                </c:pt>
                <c:pt idx="81">
                  <c:v>5.0434874913621641E-2</c:v>
                </c:pt>
                <c:pt idx="82">
                  <c:v>5.0523323760127761E-2</c:v>
                </c:pt>
                <c:pt idx="83">
                  <c:v>5.060964130912772E-2</c:v>
                </c:pt>
                <c:pt idx="84">
                  <c:v>5.0693903678389579E-2</c:v>
                </c:pt>
                <c:pt idx="85">
                  <c:v>5.0776183403668809E-2</c:v>
                </c:pt>
                <c:pt idx="86">
                  <c:v>5.0856549646964802E-2</c:v>
                </c:pt>
                <c:pt idx="87">
                  <c:v>5.0935068390414902E-2</c:v>
                </c:pt>
                <c:pt idx="88">
                  <c:v>5.1011802616968416E-2</c:v>
                </c:pt>
                <c:pt idx="89">
                  <c:v>5.1086812478880278E-2</c:v>
                </c:pt>
                <c:pt idx="90">
                  <c:v>5.1160155454971878E-2</c:v>
                </c:pt>
                <c:pt idx="91">
                  <c:v>5.1231886497522999E-2</c:v>
                </c:pt>
                <c:pt idx="92">
                  <c:v>5.1302058169583872E-2</c:v>
                </c:pt>
                <c:pt idx="93">
                  <c:v>5.1370720773428392E-2</c:v>
                </c:pt>
                <c:pt idx="94">
                  <c:v>5.143792247080814E-2</c:v>
                </c:pt>
                <c:pt idx="95">
                  <c:v>5.1503709395611462E-2</c:v>
                </c:pt>
                <c:pt idx="96">
                  <c:v>5.1568125759481387E-2</c:v>
                </c:pt>
                <c:pt idx="97">
                  <c:v>5.1631213950900381E-2</c:v>
                </c:pt>
                <c:pt idx="98">
                  <c:v>5.1693014628208779E-2</c:v>
                </c:pt>
                <c:pt idx="99">
                  <c:v>5.1753566806985708E-2</c:v>
                </c:pt>
                <c:pt idx="100">
                  <c:v>5.1812907942187091E-2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C1F-BE49-4433B92A17D6}"/>
            </c:ext>
          </c:extLst>
        </c:ser>
        <c:ser>
          <c:idx val="6"/>
          <c:order val="6"/>
          <c:tx>
            <c:strRef>
              <c:f>NPpremie_inkomen!$BD$9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NPpremie_inkomen!$AW$10:$AW$110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NPpremie_inkomen!$BD$10:$BD$110</c:f>
              <c:numCache>
                <c:formatCode>0.00%</c:formatCode>
                <c:ptCount val="101"/>
                <c:pt idx="0">
                  <c:v>#N/A</c:v>
                </c:pt>
                <c:pt idx="1">
                  <c:v>7.6041351708539626E-3</c:v>
                </c:pt>
                <c:pt idx="2">
                  <c:v>7.6041351708539626E-3</c:v>
                </c:pt>
                <c:pt idx="3">
                  <c:v>7.6041351708539626E-3</c:v>
                </c:pt>
                <c:pt idx="4">
                  <c:v>7.6041351708539626E-3</c:v>
                </c:pt>
                <c:pt idx="5">
                  <c:v>7.6041351708539626E-3</c:v>
                </c:pt>
                <c:pt idx="6">
                  <c:v>7.6041351708539626E-3</c:v>
                </c:pt>
                <c:pt idx="7">
                  <c:v>7.6041351708539626E-3</c:v>
                </c:pt>
                <c:pt idx="8">
                  <c:v>7.6041351708539626E-3</c:v>
                </c:pt>
                <c:pt idx="9">
                  <c:v>7.6041351708539626E-3</c:v>
                </c:pt>
                <c:pt idx="10">
                  <c:v>7.6041351708539626E-3</c:v>
                </c:pt>
                <c:pt idx="11">
                  <c:v>7.6041351708539626E-3</c:v>
                </c:pt>
                <c:pt idx="12">
                  <c:v>7.6041351708539626E-3</c:v>
                </c:pt>
                <c:pt idx="13">
                  <c:v>7.6041351708539626E-3</c:v>
                </c:pt>
                <c:pt idx="14">
                  <c:v>7.6041351708539626E-3</c:v>
                </c:pt>
                <c:pt idx="15">
                  <c:v>7.6041351708539626E-3</c:v>
                </c:pt>
                <c:pt idx="16">
                  <c:v>1.0362124294833592E-2</c:v>
                </c:pt>
                <c:pt idx="17">
                  <c:v>1.2795644110109734E-2</c:v>
                </c:pt>
                <c:pt idx="18">
                  <c:v>1.4958772834799638E-2</c:v>
                </c:pt>
                <c:pt idx="19">
                  <c:v>1.6894203798995869E-2</c:v>
                </c:pt>
                <c:pt idx="20">
                  <c:v>1.8636091666772478E-2</c:v>
                </c:pt>
                <c:pt idx="21">
                  <c:v>2.0212085451903693E-2</c:v>
                </c:pt>
                <c:pt idx="22">
                  <c:v>2.1644807074750253E-2</c:v>
                </c:pt>
                <c:pt idx="23">
                  <c:v>2.2952944208653632E-2</c:v>
                </c:pt>
                <c:pt idx="24">
                  <c:v>2.4152069914731733E-2</c:v>
                </c:pt>
                <c:pt idx="25">
                  <c:v>2.5255265564323583E-2</c:v>
                </c:pt>
                <c:pt idx="26">
                  <c:v>2.6273600010100682E-2</c:v>
                </c:pt>
                <c:pt idx="27">
                  <c:v>2.7216502274709096E-2</c:v>
                </c:pt>
                <c:pt idx="28">
                  <c:v>2.8092054377559773E-2</c:v>
                </c:pt>
                <c:pt idx="29">
                  <c:v>2.8907223576765579E-2</c:v>
                </c:pt>
                <c:pt idx="30">
                  <c:v>2.9668048162690988E-2</c:v>
                </c:pt>
                <c:pt idx="31">
                  <c:v>3.0379787291459924E-2</c:v>
                </c:pt>
                <c:pt idx="32">
                  <c:v>3.1047042724680802E-2</c:v>
                </c:pt>
                <c:pt idx="33">
                  <c:v>3.1673858434676169E-2</c:v>
                </c:pt>
                <c:pt idx="34">
                  <c:v>3.2263802632318872E-2</c:v>
                </c:pt>
                <c:pt idx="35">
                  <c:v>3.2820035732953418E-2</c:v>
                </c:pt>
                <c:pt idx="36">
                  <c:v>3.3345366994663832E-2</c:v>
                </c:pt>
                <c:pt idx="37">
                  <c:v>3.3842301971957457E-2</c:v>
                </c:pt>
                <c:pt idx="38">
                  <c:v>3.4313082476761944E-2</c:v>
                </c:pt>
                <c:pt idx="39">
                  <c:v>3.475972039157646E-2</c:v>
                </c:pt>
                <c:pt idx="40">
                  <c:v>3.5184026410650243E-2</c:v>
                </c:pt>
                <c:pt idx="41">
                  <c:v>3.5587634575135078E-2</c:v>
                </c:pt>
                <c:pt idx="42">
                  <c:v>3.5972023303215854E-2</c:v>
                </c:pt>
                <c:pt idx="43">
                  <c:v>3.6338533485804514E-2</c:v>
                </c:pt>
                <c:pt idx="44">
                  <c:v>3.6688384114639136E-2</c:v>
                </c:pt>
                <c:pt idx="45">
                  <c:v>3.7022685826636668E-2</c:v>
                </c:pt>
                <c:pt idx="46">
                  <c:v>3.7342452681590824E-2</c:v>
                </c:pt>
                <c:pt idx="47">
                  <c:v>3.7648612436334168E-2</c:v>
                </c:pt>
                <c:pt idx="48">
                  <c:v>3.7942015534629878E-2</c:v>
                </c:pt>
                <c:pt idx="49">
                  <c:v>3.8223442996260452E-2</c:v>
                </c:pt>
                <c:pt idx="50">
                  <c:v>3.8493613359425798E-2</c:v>
                </c:pt>
                <c:pt idx="51">
                  <c:v>3.8753188806388589E-2</c:v>
                </c:pt>
                <c:pt idx="52">
                  <c:v>3.900278058231435E-2</c:v>
                </c:pt>
                <c:pt idx="53">
                  <c:v>3.9242953800658002E-2</c:v>
                </c:pt>
                <c:pt idx="54">
                  <c:v>3.9474231714618557E-2</c:v>
                </c:pt>
                <c:pt idx="55">
                  <c:v>3.9697099522616908E-2</c:v>
                </c:pt>
                <c:pt idx="56">
                  <c:v>3.9912007766043894E-2</c:v>
                </c:pt>
                <c:pt idx="57">
                  <c:v>4.0119375369350632E-2</c:v>
                </c:pt>
                <c:pt idx="58">
                  <c:v>4.0319592365646799E-2</c:v>
                </c:pt>
                <c:pt idx="59">
                  <c:v>4.0513022345119359E-2</c:v>
                </c:pt>
                <c:pt idx="60">
                  <c:v>4.0700004658609505E-2</c:v>
                </c:pt>
                <c:pt idx="61">
                  <c:v>4.0880856404444235E-2</c:v>
                </c:pt>
                <c:pt idx="62">
                  <c:v>4.105587422299397E-2</c:v>
                </c:pt>
                <c:pt idx="63">
                  <c:v>4.1225335920319905E-2</c:v>
                </c:pt>
                <c:pt idx="64">
                  <c:v>4.138950193960441E-2</c:v>
                </c:pt>
                <c:pt idx="65">
                  <c:v>4.1548616696757079E-2</c:v>
                </c:pt>
                <c:pt idx="66">
                  <c:v>4.1702909794602096E-2</c:v>
                </c:pt>
                <c:pt idx="67">
                  <c:v>4.1852597128332336E-2</c:v>
                </c:pt>
                <c:pt idx="68">
                  <c:v>4.1997881893423447E-2</c:v>
                </c:pt>
                <c:pt idx="69">
                  <c:v>4.2138955505903228E-2</c:v>
                </c:pt>
                <c:pt idx="70">
                  <c:v>4.227599844374072E-2</c:v>
                </c:pt>
                <c:pt idx="71">
                  <c:v>4.2409181017132092E-2</c:v>
                </c:pt>
                <c:pt idx="72">
                  <c:v>4.2538664074595924E-2</c:v>
                </c:pt>
                <c:pt idx="73">
                  <c:v>4.266459965103335E-2</c:v>
                </c:pt>
                <c:pt idx="74">
                  <c:v>4.2787131563242729E-2</c:v>
                </c:pt>
                <c:pt idx="75">
                  <c:v>4.2906395957793206E-2</c:v>
                </c:pt>
                <c:pt idx="76">
                  <c:v>4.3022521815644976E-2</c:v>
                </c:pt>
                <c:pt idx="77">
                  <c:v>4.3135631417448653E-2</c:v>
                </c:pt>
                <c:pt idx="78">
                  <c:v>4.3245840773052227E-2</c:v>
                </c:pt>
                <c:pt idx="79">
                  <c:v>4.3353260018387373E-2</c:v>
                </c:pt>
                <c:pt idx="80">
                  <c:v>4.3457993782589133E-2</c:v>
                </c:pt>
                <c:pt idx="81">
                  <c:v>4.3560141527921703E-2</c:v>
                </c:pt>
                <c:pt idx="82">
                  <c:v>4.365979786483154E-2</c:v>
                </c:pt>
                <c:pt idx="83">
                  <c:v>4.3757052844225472E-2</c:v>
                </c:pt>
                <c:pt idx="84">
                  <c:v>4.3851992228871935E-2</c:v>
                </c:pt>
                <c:pt idx="85">
                  <c:v>4.3944697745644357E-2</c:v>
                </c:pt>
                <c:pt idx="86">
                  <c:v>4.4035247320166261E-2</c:v>
                </c:pt>
                <c:pt idx="87">
                  <c:v>4.4123715295273869E-2</c:v>
                </c:pt>
                <c:pt idx="88">
                  <c:v>4.4210172634583579E-2</c:v>
                </c:pt>
                <c:pt idx="89">
                  <c:v>4.4294687112335758E-2</c:v>
                </c:pt>
                <c:pt idx="90">
                  <c:v>4.4377323490582342E-2</c:v>
                </c:pt>
                <c:pt idx="91">
                  <c:v>4.4458143684691628E-2</c:v>
                </c:pt>
                <c:pt idx="92">
                  <c:v>4.4537206918059416E-2</c:v>
                </c:pt>
                <c:pt idx="93">
                  <c:v>4.4614569866838649E-2</c:v>
                </c:pt>
                <c:pt idx="94">
                  <c:v>4.4690286795431092E-2</c:v>
                </c:pt>
                <c:pt idx="95">
                  <c:v>4.4764409683421588E-2</c:v>
                </c:pt>
                <c:pt idx="96">
                  <c:v>4.4836988344578943E-2</c:v>
                </c:pt>
                <c:pt idx="97">
                  <c:v>4.4908070538495951E-2</c:v>
                </c:pt>
                <c:pt idx="98">
                  <c:v>4.4977702075394227E-2</c:v>
                </c:pt>
                <c:pt idx="99">
                  <c:v>4.5045926914577407E-2</c:v>
                </c:pt>
                <c:pt idx="100">
                  <c:v>4.5112787256976906E-2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80-4C1F-BE49-4433B92A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0319056"/>
        <c:axId val="202032238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NPpremie_inkomen!$BA$9</c15:sqref>
                        </c15:formulaRef>
                      </c:ext>
                    </c:extLst>
                    <c:strCache>
                      <c:ptCount val="1"/>
                      <c:pt idx="0">
                        <c:v>MvT_x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NPpremie_inkomen!$AW$10:$AW$110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NPpremie_inkomen!$BA$10:$BA$110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#N/A</c:v>
                      </c:pt>
                      <c:pt idx="1">
                        <c:v>5.5021506197276915E-2</c:v>
                      </c:pt>
                      <c:pt idx="2">
                        <c:v>5.5021506197276915E-2</c:v>
                      </c:pt>
                      <c:pt idx="3">
                        <c:v>5.5021506197276915E-2</c:v>
                      </c:pt>
                      <c:pt idx="4">
                        <c:v>5.5021506197276915E-2</c:v>
                      </c:pt>
                      <c:pt idx="5">
                        <c:v>5.5021506197276915E-2</c:v>
                      </c:pt>
                      <c:pt idx="6">
                        <c:v>5.5021506197276915E-2</c:v>
                      </c:pt>
                      <c:pt idx="7">
                        <c:v>5.5021506197276915E-2</c:v>
                      </c:pt>
                      <c:pt idx="8">
                        <c:v>5.5021506197276915E-2</c:v>
                      </c:pt>
                      <c:pt idx="9">
                        <c:v>5.5021506197276915E-2</c:v>
                      </c:pt>
                      <c:pt idx="10">
                        <c:v>5.5021506197276915E-2</c:v>
                      </c:pt>
                      <c:pt idx="11">
                        <c:v>5.5021506197276915E-2</c:v>
                      </c:pt>
                      <c:pt idx="12">
                        <c:v>5.5021506197276915E-2</c:v>
                      </c:pt>
                      <c:pt idx="13">
                        <c:v>5.5021506197276915E-2</c:v>
                      </c:pt>
                      <c:pt idx="14">
                        <c:v>5.5021506197276915E-2</c:v>
                      </c:pt>
                      <c:pt idx="15">
                        <c:v>5.5021506197276915E-2</c:v>
                      </c:pt>
                      <c:pt idx="16">
                        <c:v>5.6508654553711749E-2</c:v>
                      </c:pt>
                      <c:pt idx="17">
                        <c:v>5.7820844279977766E-2</c:v>
                      </c:pt>
                      <c:pt idx="18">
                        <c:v>5.8987235147769788E-2</c:v>
                      </c:pt>
                      <c:pt idx="19">
                        <c:v>6.0030848029478431E-2</c:v>
                      </c:pt>
                      <c:pt idx="20">
                        <c:v>6.0970099623016222E-2</c:v>
                      </c:pt>
                      <c:pt idx="21">
                        <c:v>6.1819898683836125E-2</c:v>
                      </c:pt>
                      <c:pt idx="22">
                        <c:v>6.2592443284581481E-2</c:v>
                      </c:pt>
                      <c:pt idx="23">
                        <c:v>6.3297810093957685E-2</c:v>
                      </c:pt>
                      <c:pt idx="24">
                        <c:v>6.3944396335885861E-2</c:v>
                      </c:pt>
                      <c:pt idx="25">
                        <c:v>6.4539255678459806E-2</c:v>
                      </c:pt>
                      <c:pt idx="26">
                        <c:v>6.5088356610066511E-2</c:v>
                      </c:pt>
                      <c:pt idx="27">
                        <c:v>6.5596783398591235E-2</c:v>
                      </c:pt>
                      <c:pt idx="28">
                        <c:v>6.6068893987935612E-2</c:v>
                      </c:pt>
                      <c:pt idx="29">
                        <c:v>6.6508445226290736E-2</c:v>
                      </c:pt>
                      <c:pt idx="30">
                        <c:v>6.6918693048755529E-2</c:v>
                      </c:pt>
                      <c:pt idx="31">
                        <c:v>6.7302473269770957E-2</c:v>
                      </c:pt>
                      <c:pt idx="32">
                        <c:v>6.7662267226972939E-2</c:v>
                      </c:pt>
                      <c:pt idx="33">
                        <c:v>6.800025548979903E-2</c:v>
                      </c:pt>
                      <c:pt idx="34">
                        <c:v>6.8318362090105944E-2</c:v>
                      </c:pt>
                      <c:pt idx="35">
                        <c:v>6.8618291170395321E-2</c:v>
                      </c:pt>
                      <c:pt idx="36">
                        <c:v>6.8901557524001955E-2</c:v>
                      </c:pt>
                      <c:pt idx="37">
                        <c:v>6.916951218281904E-2</c:v>
                      </c:pt>
                      <c:pt idx="38">
                        <c:v>6.942336396485628E-2</c:v>
                      </c:pt>
                      <c:pt idx="39">
                        <c:v>6.9664197706789055E-2</c:v>
                      </c:pt>
                      <c:pt idx="40">
                        <c:v>6.9892989761625168E-2</c:v>
                      </c:pt>
                      <c:pt idx="41">
                        <c:v>7.0110621228420517E-2</c:v>
                      </c:pt>
                      <c:pt idx="42">
                        <c:v>7.0317889292035113E-2</c:v>
                      </c:pt>
                      <c:pt idx="43">
                        <c:v>7.0515516980597881E-2</c:v>
                      </c:pt>
                      <c:pt idx="44">
                        <c:v>7.0704161592407805E-2</c:v>
                      </c:pt>
                      <c:pt idx="45">
                        <c:v>7.0884421999248381E-2</c:v>
                      </c:pt>
                      <c:pt idx="46">
                        <c:v>7.1056844997095914E-2</c:v>
                      </c:pt>
                      <c:pt idx="47">
                        <c:v>7.1221930846098847E-2</c:v>
                      </c:pt>
                      <c:pt idx="48">
                        <c:v>7.1380138118059988E-2</c:v>
                      </c:pt>
                      <c:pt idx="49">
                        <c:v>7.153188795034926E-2</c:v>
                      </c:pt>
                      <c:pt idx="50">
                        <c:v>7.1677567789346974E-2</c:v>
                      </c:pt>
                      <c:pt idx="51">
                        <c:v>7.181753469348201E-2</c:v>
                      </c:pt>
                      <c:pt idx="52">
                        <c:v>7.1952118255150327E-2</c:v>
                      </c:pt>
                      <c:pt idx="53">
                        <c:v>7.2081623191850019E-2</c:v>
                      </c:pt>
                      <c:pt idx="54">
                        <c:v>7.2206331649412675E-2</c:v>
                      </c:pt>
                      <c:pt idx="55">
                        <c:v>7.2326505253973078E-2</c:v>
                      </c:pt>
                      <c:pt idx="56">
                        <c:v>7.2442386944084863E-2</c:v>
                      </c:pt>
                      <c:pt idx="57">
                        <c:v>7.255420260998223E-2</c:v>
                      </c:pt>
                      <c:pt idx="58">
                        <c:v>7.2662162563262439E-2</c:v>
                      </c:pt>
                      <c:pt idx="59">
                        <c:v>7.2766462857109415E-2</c:v>
                      </c:pt>
                      <c:pt idx="60">
                        <c:v>7.2867286474494822E-2</c:v>
                      </c:pt>
                      <c:pt idx="61">
                        <c:v>7.296480439950695E-2</c:v>
                      </c:pt>
                      <c:pt idx="62">
                        <c:v>7.305917658500255E-2</c:v>
                      </c:pt>
                      <c:pt idx="63">
                        <c:v>7.3150552828101456E-2</c:v>
                      </c:pt>
                      <c:pt idx="64">
                        <c:v>7.3239073563603541E-2</c:v>
                      </c:pt>
                      <c:pt idx="65">
                        <c:v>7.3324870584167076E-2</c:v>
                      </c:pt>
                      <c:pt idx="66">
                        <c:v>7.3408067695016579E-2</c:v>
                      </c:pt>
                      <c:pt idx="67">
                        <c:v>7.3488781310019818E-2</c:v>
                      </c:pt>
                      <c:pt idx="68">
                        <c:v>7.3567120995170043E-2</c:v>
                      </c:pt>
                      <c:pt idx="69">
                        <c:v>7.3643189964808647E-2</c:v>
                      </c:pt>
                      <c:pt idx="70">
                        <c:v>7.3717085535314725E-2</c:v>
                      </c:pt>
                      <c:pt idx="71">
                        <c:v>7.3788899540454422E-2</c:v>
                      </c:pt>
                      <c:pt idx="72">
                        <c:v>7.3858718712118049E-2</c:v>
                      </c:pt>
                      <c:pt idx="73">
                        <c:v>7.3926625029763465E-2</c:v>
                      </c:pt>
                      <c:pt idx="74">
                        <c:v>7.3992696041526584E-2</c:v>
                      </c:pt>
                      <c:pt idx="75">
                        <c:v>7.4057005159642683E-2</c:v>
                      </c:pt>
                      <c:pt idx="76">
                        <c:v>7.4119621932545204E-2</c:v>
                      </c:pt>
                      <c:pt idx="77">
                        <c:v>7.418061229576195E-2</c:v>
                      </c:pt>
                      <c:pt idx="78">
                        <c:v>7.4240038803511585E-2</c:v>
                      </c:pt>
                      <c:pt idx="79">
                        <c:v>7.4297960842710606E-2</c:v>
                      </c:pt>
                      <c:pt idx="80">
                        <c:v>7.4354434830929655E-2</c:v>
                      </c:pt>
                      <c:pt idx="81">
                        <c:v>7.4409514399686488E-2</c:v>
                      </c:pt>
                      <c:pt idx="82">
                        <c:v>7.4463250564327316E-2</c:v>
                      </c:pt>
                      <c:pt idx="83">
                        <c:v>7.4515691881627405E-2</c:v>
                      </c:pt>
                      <c:pt idx="84">
                        <c:v>7.4566884596134614E-2</c:v>
                      </c:pt>
                      <c:pt idx="85">
                        <c:v>7.4616872776182841E-2</c:v>
                      </c:pt>
                      <c:pt idx="86">
                        <c:v>7.4665698440416012E-2</c:v>
                      </c:pt>
                      <c:pt idx="87">
                        <c:v>7.4713401675586322E-2</c:v>
                      </c:pt>
                      <c:pt idx="88">
                        <c:v>7.476002074632096E-2</c:v>
                      </c:pt>
                      <c:pt idx="89">
                        <c:v>7.480559219748853E-2</c:v>
                      </c:pt>
                      <c:pt idx="90">
                        <c:v>7.4850150949741262E-2</c:v>
                      </c:pt>
                      <c:pt idx="91">
                        <c:v>7.4893730388757657E-2</c:v>
                      </c:pt>
                      <c:pt idx="92">
                        <c:v>7.4936362448665014E-2</c:v>
                      </c:pt>
                      <c:pt idx="93">
                        <c:v>7.4978077690079747E-2</c:v>
                      </c:pt>
                      <c:pt idx="94">
                        <c:v>7.5018905373166495E-2</c:v>
                      </c:pt>
                      <c:pt idx="95">
                        <c:v>7.5058873526082981E-2</c:v>
                      </c:pt>
                      <c:pt idx="96">
                        <c:v>7.5098009009147065E-2</c:v>
                      </c:pt>
                      <c:pt idx="97">
                        <c:v>7.5136337575034545E-2</c:v>
                      </c:pt>
                      <c:pt idx="98">
                        <c:v>7.5173883925291701E-2</c:v>
                      </c:pt>
                      <c:pt idx="99">
                        <c:v>7.5210671763422415E-2</c:v>
                      </c:pt>
                      <c:pt idx="100">
                        <c:v>7.5246723844790545E-2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FE80-4C1F-BE49-4433B92A17D6}"/>
                  </c:ext>
                </c:extLst>
              </c15:ser>
            </c15:filteredLineSeries>
          </c:ext>
        </c:extLst>
      </c:lineChart>
      <c:catAx>
        <c:axId val="202031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20322384"/>
        <c:crosses val="autoZero"/>
        <c:auto val="1"/>
        <c:lblAlgn val="ctr"/>
        <c:lblOffset val="100"/>
        <c:tickLblSkip val="5"/>
        <c:noMultiLvlLbl val="0"/>
      </c:catAx>
      <c:valAx>
        <c:axId val="202032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02031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NPpremie_inkomen!$C$8</c:f>
          <c:strCache>
            <c:ptCount val="1"/>
            <c:pt idx="0">
              <c:v>Uitkeringsregeling (DSS)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NPpremie_inkomen!$AE$8:$AE$9</c:f>
              <c:strCache>
                <c:ptCount val="2"/>
                <c:pt idx="0">
                  <c:v>Uitkeringsregeling (DSS)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NPpremie_inkomen!$AE$10:$AE$110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2.6002511475709416E-3</c:v>
                </c:pt>
                <c:pt idx="17">
                  <c:v>4.8945903954276549E-3</c:v>
                </c:pt>
                <c:pt idx="18">
                  <c:v>6.9340030601891776E-3</c:v>
                </c:pt>
                <c:pt idx="19">
                  <c:v>8.7587407076073816E-3</c:v>
                </c:pt>
                <c:pt idx="20">
                  <c:v>1.0401004590283766E-2</c:v>
                </c:pt>
                <c:pt idx="21">
                  <c:v>1.1886862388895733E-2</c:v>
                </c:pt>
                <c:pt idx="22">
                  <c:v>1.3237642205815702E-2</c:v>
                </c:pt>
                <c:pt idx="23">
                  <c:v>1.4470962908220893E-2</c:v>
                </c:pt>
                <c:pt idx="24">
                  <c:v>1.5601506885425651E-2</c:v>
                </c:pt>
                <c:pt idx="25">
                  <c:v>1.6641607344454027E-2</c:v>
                </c:pt>
                <c:pt idx="26">
                  <c:v>1.7601700075864837E-2</c:v>
                </c:pt>
                <c:pt idx="27">
                  <c:v>1.8490674827171143E-2</c:v>
                </c:pt>
                <c:pt idx="28">
                  <c:v>1.9316151381955565E-2</c:v>
                </c:pt>
                <c:pt idx="29">
                  <c:v>2.0084698519168651E-2</c:v>
                </c:pt>
                <c:pt idx="30">
                  <c:v>2.0802009180567533E-2</c:v>
                </c:pt>
                <c:pt idx="31">
                  <c:v>2.1473041734779388E-2</c:v>
                </c:pt>
                <c:pt idx="32">
                  <c:v>2.2102134754353003E-2</c:v>
                </c:pt>
                <c:pt idx="33">
                  <c:v>2.2693100924255492E-2</c:v>
                </c:pt>
                <c:pt idx="34">
                  <c:v>2.324930437828136E-2</c:v>
                </c:pt>
                <c:pt idx="35">
                  <c:v>2.3773724777791466E-2</c:v>
                </c:pt>
                <c:pt idx="36">
                  <c:v>2.4269010710662123E-2</c:v>
                </c:pt>
                <c:pt idx="37">
                  <c:v>2.4737524430945176E-2</c:v>
                </c:pt>
                <c:pt idx="38">
                  <c:v>2.5181379534371225E-2</c:v>
                </c:pt>
                <c:pt idx="39">
                  <c:v>2.5602472837621581E-2</c:v>
                </c:pt>
                <c:pt idx="40">
                  <c:v>2.6002511475709415E-2</c:v>
                </c:pt>
                <c:pt idx="41">
                  <c:v>2.6383036033890528E-2</c:v>
                </c:pt>
                <c:pt idx="42">
                  <c:v>2.6745440375015399E-2</c:v>
                </c:pt>
                <c:pt idx="43">
                  <c:v>2.7090988700273995E-2</c:v>
                </c:pt>
                <c:pt idx="44">
                  <c:v>2.7420830283475386E-2</c:v>
                </c:pt>
                <c:pt idx="45">
                  <c:v>2.7736012240756711E-2</c:v>
                </c:pt>
                <c:pt idx="46">
                  <c:v>2.8037490634677979E-2</c:v>
                </c:pt>
                <c:pt idx="47">
                  <c:v>2.8326140160772811E-2</c:v>
                </c:pt>
                <c:pt idx="48">
                  <c:v>2.8602762623280358E-2</c:v>
                </c:pt>
                <c:pt idx="49">
                  <c:v>2.8868094373032494E-2</c:v>
                </c:pt>
                <c:pt idx="50">
                  <c:v>2.9122812852794545E-2</c:v>
                </c:pt>
                <c:pt idx="51">
                  <c:v>2.9367542372565929E-2</c:v>
                </c:pt>
                <c:pt idx="52">
                  <c:v>2.9602859218499953E-2</c:v>
                </c:pt>
                <c:pt idx="53">
                  <c:v>2.9829296183455329E-2</c:v>
                </c:pt>
                <c:pt idx="54">
                  <c:v>3.0047346594153104E-2</c:v>
                </c:pt>
                <c:pt idx="55">
                  <c:v>3.025746789900732E-2</c:v>
                </c:pt>
                <c:pt idx="56">
                  <c:v>3.0460084871545313E-2</c:v>
                </c:pt>
                <c:pt idx="57">
                  <c:v>3.0655592476625838E-2</c:v>
                </c:pt>
                <c:pt idx="58">
                  <c:v>3.0844358440151862E-2</c:v>
                </c:pt>
                <c:pt idx="59">
                  <c:v>3.1026725557456659E-2</c:v>
                </c:pt>
                <c:pt idx="60">
                  <c:v>3.1203013770851298E-2</c:v>
                </c:pt>
                <c:pt idx="61">
                  <c:v>3.1373522042823163E-2</c:v>
                </c:pt>
                <c:pt idx="62">
                  <c:v>3.1538530047957224E-2</c:v>
                </c:pt>
                <c:pt idx="63">
                  <c:v>3.1698299703721955E-2</c:v>
                </c:pt>
                <c:pt idx="64">
                  <c:v>3.1853076557744033E-2</c:v>
                </c:pt>
                <c:pt idx="65">
                  <c:v>3.2003091047026977E-2</c:v>
                </c:pt>
                <c:pt idx="66">
                  <c:v>3.2148559642695272E-2</c:v>
                </c:pt>
                <c:pt idx="67">
                  <c:v>3.2289685892224231E-2</c:v>
                </c:pt>
                <c:pt idx="68">
                  <c:v>3.2426661369708218E-2</c:v>
                </c:pt>
                <c:pt idx="69">
                  <c:v>3.2559666543497005E-2</c:v>
                </c:pt>
                <c:pt idx="70">
                  <c:v>3.2688871569463269E-2</c:v>
                </c:pt>
                <c:pt idx="71">
                  <c:v>3.2814437017233286E-2</c:v>
                </c:pt>
                <c:pt idx="72">
                  <c:v>3.2936514535898596E-2</c:v>
                </c:pt>
                <c:pt idx="73">
                  <c:v>3.3055247465011428E-2</c:v>
                </c:pt>
                <c:pt idx="74">
                  <c:v>3.3170771396040119E-2</c:v>
                </c:pt>
                <c:pt idx="75">
                  <c:v>3.3283214688908054E-2</c:v>
                </c:pt>
                <c:pt idx="76">
                  <c:v>3.3392698947753145E-2</c:v>
                </c:pt>
                <c:pt idx="77">
                  <c:v>3.3499339459615252E-2</c:v>
                </c:pt>
                <c:pt idx="78">
                  <c:v>3.3603245599378322E-2</c:v>
                </c:pt>
                <c:pt idx="79">
                  <c:v>3.3704521203957519E-2</c:v>
                </c:pt>
                <c:pt idx="80">
                  <c:v>3.3803264918422241E-2</c:v>
                </c:pt>
                <c:pt idx="81">
                  <c:v>3.3899570516480425E-2</c:v>
                </c:pt>
                <c:pt idx="82">
                  <c:v>3.39935271975128E-2</c:v>
                </c:pt>
                <c:pt idx="83">
                  <c:v>3.4085219862134752E-2</c:v>
                </c:pt>
                <c:pt idx="84">
                  <c:v>3.4174729368075231E-2</c:v>
                </c:pt>
                <c:pt idx="85">
                  <c:v>3.4262132767993579E-2</c:v>
                </c:pt>
                <c:pt idx="86">
                  <c:v>3.434750353070453E-2</c:v>
                </c:pt>
                <c:pt idx="87">
                  <c:v>3.4430911747146263E-2</c:v>
                </c:pt>
                <c:pt idx="88">
                  <c:v>3.4512424322305224E-2</c:v>
                </c:pt>
                <c:pt idx="89">
                  <c:v>3.4592105154202191E-2</c:v>
                </c:pt>
                <c:pt idx="90">
                  <c:v>3.4670015300945885E-2</c:v>
                </c:pt>
                <c:pt idx="91">
                  <c:v>3.474621313677214E-2</c:v>
                </c:pt>
                <c:pt idx="92">
                  <c:v>3.4820754497906524E-2</c:v>
                </c:pt>
                <c:pt idx="93">
                  <c:v>3.4893692819016504E-2</c:v>
                </c:pt>
                <c:pt idx="94">
                  <c:v>3.4965079260953942E-2</c:v>
                </c:pt>
                <c:pt idx="95">
                  <c:v>3.5034962830429527E-2</c:v>
                </c:pt>
                <c:pt idx="96">
                  <c:v>3.510339049220771E-2</c:v>
                </c:pt>
                <c:pt idx="97">
                  <c:v>3.5170407274361604E-2</c:v>
                </c:pt>
                <c:pt idx="98">
                  <c:v>3.5236056367083782E-2</c:v>
                </c:pt>
                <c:pt idx="99">
                  <c:v>3.5300379215508541E-2</c:v>
                </c:pt>
                <c:pt idx="100">
                  <c:v>3.5363415606964807E-2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3-4671-8FC9-88B9E2A17030}"/>
            </c:ext>
          </c:extLst>
        </c:ser>
        <c:ser>
          <c:idx val="0"/>
          <c:order val="1"/>
          <c:tx>
            <c:strRef>
              <c:f>NPpremie_inkomen!$AF$8:$AF$9</c:f>
              <c:strCache>
                <c:ptCount val="2"/>
                <c:pt idx="0">
                  <c:v>Uitkeringsregeling (DSS)</c:v>
                </c:pt>
                <c:pt idx="1">
                  <c:v>bereikbaar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NPpremie_inkomen!$AF$10:$AF$110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5.5705531094500866E-4</c:v>
                </c:pt>
                <c:pt idx="17">
                  <c:v>1.0485747029553103E-3</c:v>
                </c:pt>
                <c:pt idx="18">
                  <c:v>1.4854808291866898E-3</c:v>
                </c:pt>
                <c:pt idx="19">
                  <c:v>1.8763968368673977E-3</c:v>
                </c:pt>
                <c:pt idx="20">
                  <c:v>2.2282212437800346E-3</c:v>
                </c:pt>
                <c:pt idx="21">
                  <c:v>2.5465385643200396E-3</c:v>
                </c:pt>
                <c:pt idx="22">
                  <c:v>2.8359179466291348E-3</c:v>
                </c:pt>
                <c:pt idx="23">
                  <c:v>3.1001339043896133E-3</c:v>
                </c:pt>
                <c:pt idx="24">
                  <c:v>3.3423318656700517E-3</c:v>
                </c:pt>
                <c:pt idx="25">
                  <c:v>3.5651539900480554E-3</c:v>
                </c:pt>
                <c:pt idx="26">
                  <c:v>3.7708359510123662E-3</c:v>
                </c:pt>
                <c:pt idx="27">
                  <c:v>3.961282211164506E-3</c:v>
                </c:pt>
                <c:pt idx="28">
                  <c:v>4.1381251670200648E-3</c:v>
                </c:pt>
                <c:pt idx="29">
                  <c:v>4.3027720569545494E-3</c:v>
                </c:pt>
                <c:pt idx="30">
                  <c:v>4.4564424875600693E-3</c:v>
                </c:pt>
                <c:pt idx="31">
                  <c:v>4.6001986968362005E-3</c:v>
                </c:pt>
                <c:pt idx="32">
                  <c:v>4.7349701430325734E-3</c:v>
                </c:pt>
                <c:pt idx="33">
                  <c:v>4.8615736227928027E-3</c:v>
                </c:pt>
                <c:pt idx="34">
                  <c:v>4.9807298390377244E-3</c:v>
                </c:pt>
                <c:pt idx="35">
                  <c:v>5.0930771286400792E-3</c:v>
                </c:pt>
                <c:pt idx="36">
                  <c:v>5.1991829021534146E-3</c:v>
                </c:pt>
                <c:pt idx="37">
                  <c:v>5.2995532284498123E-3</c:v>
                </c:pt>
                <c:pt idx="38">
                  <c:v>5.3946409059937679E-3</c:v>
                </c:pt>
                <c:pt idx="39">
                  <c:v>5.4848522923816234E-3</c:v>
                </c:pt>
                <c:pt idx="40">
                  <c:v>5.5705531094500868E-3</c:v>
                </c:pt>
                <c:pt idx="41">
                  <c:v>5.652073398856673E-3</c:v>
                </c:pt>
                <c:pt idx="42">
                  <c:v>5.7297117697200891E-3</c:v>
                </c:pt>
                <c:pt idx="43">
                  <c:v>5.8037390535666013E-3</c:v>
                </c:pt>
                <c:pt idx="44">
                  <c:v>5.8744014608746366E-3</c:v>
                </c:pt>
                <c:pt idx="45">
                  <c:v>5.941923316746759E-3</c:v>
                </c:pt>
                <c:pt idx="46">
                  <c:v>6.0065094397548759E-3</c:v>
                </c:pt>
                <c:pt idx="47">
                  <c:v>6.0683472171030733E-3</c:v>
                </c:pt>
                <c:pt idx="48">
                  <c:v>6.127608420395096E-3</c:v>
                </c:pt>
                <c:pt idx="49">
                  <c:v>6.1844507990629531E-3</c:v>
                </c:pt>
                <c:pt idx="50">
                  <c:v>6.239019482584097E-3</c:v>
                </c:pt>
                <c:pt idx="51">
                  <c:v>6.2914482177318619E-3</c:v>
                </c:pt>
                <c:pt idx="52">
                  <c:v>6.3418604630662524E-3</c:v>
                </c:pt>
                <c:pt idx="53">
                  <c:v>6.3903703595200997E-3</c:v>
                </c:pt>
                <c:pt idx="54">
                  <c:v>6.4370835931423223E-3</c:v>
                </c:pt>
                <c:pt idx="55">
                  <c:v>6.4820981637237372E-3</c:v>
                </c:pt>
                <c:pt idx="56">
                  <c:v>6.5255050710701012E-3</c:v>
                </c:pt>
                <c:pt idx="57">
                  <c:v>6.567388929035892E-3</c:v>
                </c:pt>
                <c:pt idx="58">
                  <c:v>6.6078285160373444E-3</c:v>
                </c:pt>
                <c:pt idx="59">
                  <c:v>6.6468972695811201E-3</c:v>
                </c:pt>
                <c:pt idx="60">
                  <c:v>6.6846637313401043E-3</c:v>
                </c:pt>
                <c:pt idx="61">
                  <c:v>6.7211919484512521E-3</c:v>
                </c:pt>
                <c:pt idx="62">
                  <c:v>6.75654183597817E-3</c:v>
                </c:pt>
                <c:pt idx="63">
                  <c:v>6.790769504853438E-3</c:v>
                </c:pt>
                <c:pt idx="64">
                  <c:v>6.823927559076356E-3</c:v>
                </c:pt>
                <c:pt idx="65">
                  <c:v>6.8560653654770303E-3</c:v>
                </c:pt>
                <c:pt idx="66">
                  <c:v>6.8872292989564706E-3</c:v>
                </c:pt>
                <c:pt idx="67">
                  <c:v>6.917462965764884E-3</c:v>
                </c:pt>
                <c:pt idx="68">
                  <c:v>6.9468074070789315E-3</c:v>
                </c:pt>
                <c:pt idx="69">
                  <c:v>6.9753012848766298E-3</c:v>
                </c:pt>
                <c:pt idx="70">
                  <c:v>7.0029810518801089E-3</c:v>
                </c:pt>
                <c:pt idx="71">
                  <c:v>7.0298811071370102E-3</c:v>
                </c:pt>
                <c:pt idx="72">
                  <c:v>7.0560339386367766E-3</c:v>
                </c:pt>
                <c:pt idx="73">
                  <c:v>7.081470254205041E-3</c:v>
                </c:pt>
                <c:pt idx="74">
                  <c:v>7.1062191017849758E-3</c:v>
                </c:pt>
                <c:pt idx="75">
                  <c:v>7.1303079800961108E-3</c:v>
                </c:pt>
                <c:pt idx="76">
                  <c:v>7.1537629405569528E-3</c:v>
                </c:pt>
                <c:pt idx="77">
                  <c:v>7.1766086812655658E-3</c:v>
                </c:pt>
                <c:pt idx="78">
                  <c:v>7.1988686337508814E-3</c:v>
                </c:pt>
                <c:pt idx="79">
                  <c:v>7.2205650431353017E-3</c:v>
                </c:pt>
                <c:pt idx="80">
                  <c:v>7.2417190422851118E-3</c:v>
                </c:pt>
                <c:pt idx="81">
                  <c:v>7.2623507204682613E-3</c:v>
                </c:pt>
                <c:pt idx="82">
                  <c:v>7.2824791869884062E-3</c:v>
                </c:pt>
                <c:pt idx="83">
                  <c:v>7.3021226302189086E-3</c:v>
                </c:pt>
                <c:pt idx="84">
                  <c:v>7.3212983724201134E-3</c:v>
                </c:pt>
                <c:pt idx="85">
                  <c:v>7.3400229206871731E-3</c:v>
                </c:pt>
                <c:pt idx="86">
                  <c:v>7.3583120143433699E-3</c:v>
                </c:pt>
                <c:pt idx="87">
                  <c:v>7.3761806690649419E-3</c:v>
                </c:pt>
                <c:pt idx="88">
                  <c:v>7.3936432179973885E-3</c:v>
                </c:pt>
                <c:pt idx="89">
                  <c:v>7.4107133500998902E-3</c:v>
                </c:pt>
                <c:pt idx="90">
                  <c:v>7.4274041459334488E-3</c:v>
                </c:pt>
                <c:pt idx="91">
                  <c:v>7.4437281110893471E-3</c:v>
                </c:pt>
                <c:pt idx="92">
                  <c:v>7.4596972074375077E-3</c:v>
                </c:pt>
                <c:pt idx="93">
                  <c:v>7.4753228823588253E-3</c:v>
                </c:pt>
                <c:pt idx="94">
                  <c:v>7.4906160961116051E-3</c:v>
                </c:pt>
                <c:pt idx="95">
                  <c:v>7.5055873474695906E-3</c:v>
                </c:pt>
                <c:pt idx="96">
                  <c:v>7.5202466977576168E-3</c:v>
                </c:pt>
                <c:pt idx="97">
                  <c:v>7.5346037934005293E-3</c:v>
                </c:pt>
                <c:pt idx="98">
                  <c:v>7.5486678870915463E-3</c:v>
                </c:pt>
                <c:pt idx="99">
                  <c:v>7.5624478576776935E-3</c:v>
                </c:pt>
                <c:pt idx="100">
                  <c:v>7.5759522288521173E-3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3-4671-8FC9-88B9E2A17030}"/>
            </c:ext>
          </c:extLst>
        </c:ser>
        <c:ser>
          <c:idx val="2"/>
          <c:order val="2"/>
          <c:tx>
            <c:strRef>
              <c:f>NPpremie_inkomen!$AG$8:$AG$9</c:f>
              <c:strCache>
                <c:ptCount val="2"/>
                <c:pt idx="0">
                  <c:v>Uitkeringsregeling (DSS)</c:v>
                </c:pt>
                <c:pt idx="1">
                  <c:v>risico, ANW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NPpremie_inkomen!$AG$10:$AG$110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8-4FDC-B240-5CC9B519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NPpremie_inkomen!$F$8</c:f>
          <c:strCache>
            <c:ptCount val="1"/>
            <c:pt idx="0">
              <c:v>Uitkeringsregeling (degr)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NPpremie_inkomen!$AH$8:$AH$9</c:f>
              <c:strCache>
                <c:ptCount val="2"/>
                <c:pt idx="0">
                  <c:v>Uitkeringsregeling (degr)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NPpremie_inkomen!$AH$10:$AH$110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2.4474804481910842E-3</c:v>
                </c:pt>
                <c:pt idx="17">
                  <c:v>4.607022020124394E-3</c:v>
                </c:pt>
                <c:pt idx="18">
                  <c:v>6.5266145285095582E-3</c:v>
                </c:pt>
                <c:pt idx="19">
                  <c:v>8.2441446675910208E-3</c:v>
                </c:pt>
                <c:pt idx="20">
                  <c:v>9.7899217927643369E-3</c:v>
                </c:pt>
                <c:pt idx="21">
                  <c:v>1.1188482048873528E-2</c:v>
                </c:pt>
                <c:pt idx="22">
                  <c:v>1.2459900463518248E-2</c:v>
                </c:pt>
                <c:pt idx="23">
                  <c:v>1.3620760755150382E-2</c:v>
                </c:pt>
                <c:pt idx="24">
                  <c:v>1.4684882689146505E-2</c:v>
                </c:pt>
                <c:pt idx="25">
                  <c:v>1.5663874868422939E-2</c:v>
                </c:pt>
                <c:pt idx="26">
                  <c:v>1.6567559956985802E-2</c:v>
                </c:pt>
                <c:pt idx="27">
                  <c:v>1.740430540935882E-2</c:v>
                </c:pt>
                <c:pt idx="28">
                  <c:v>1.8181283329419484E-2</c:v>
                </c:pt>
                <c:pt idx="29">
                  <c:v>1.8904676565338032E-2</c:v>
                </c:pt>
                <c:pt idx="30">
                  <c:v>1.9579843585528674E-2</c:v>
                </c:pt>
                <c:pt idx="31">
                  <c:v>2.0211451443126374E-2</c:v>
                </c:pt>
                <c:pt idx="32">
                  <c:v>2.0803583809624215E-2</c:v>
                </c:pt>
                <c:pt idx="33">
                  <c:v>2.1359829366031279E-2</c:v>
                </c:pt>
                <c:pt idx="34">
                  <c:v>2.1883354595590869E-2</c:v>
                </c:pt>
                <c:pt idx="35">
                  <c:v>2.2376964097747053E-2</c:v>
                </c:pt>
                <c:pt idx="36">
                  <c:v>2.2843150849783455E-2</c:v>
                </c:pt>
                <c:pt idx="37">
                  <c:v>2.328413831792599E-2</c:v>
                </c:pt>
                <c:pt idx="38">
                  <c:v>2.3701915919324183E-2</c:v>
                </c:pt>
                <c:pt idx="39">
                  <c:v>2.4098269028342983E-2</c:v>
                </c:pt>
                <c:pt idx="40">
                  <c:v>2.447480448191084E-2</c:v>
                </c:pt>
                <c:pt idx="41">
                  <c:v>2.4832972352377834E-2</c:v>
                </c:pt>
                <c:pt idx="42">
                  <c:v>2.5174084609965439E-2</c:v>
                </c:pt>
                <c:pt idx="43">
                  <c:v>2.5499331181153623E-2</c:v>
                </c:pt>
                <c:pt idx="44">
                  <c:v>2.5809793817287797E-2</c:v>
                </c:pt>
                <c:pt idx="45">
                  <c:v>2.6106458114038233E-2</c:v>
                </c:pt>
                <c:pt idx="46">
                  <c:v>2.6390223963103865E-2</c:v>
                </c:pt>
                <c:pt idx="47">
                  <c:v>2.6661914669656065E-2</c:v>
                </c:pt>
                <c:pt idx="48">
                  <c:v>2.6922284930101927E-2</c:v>
                </c:pt>
                <c:pt idx="49">
                  <c:v>2.7172027832978566E-2</c:v>
                </c:pt>
                <c:pt idx="50">
                  <c:v>2.7411781019740143E-2</c:v>
                </c:pt>
                <c:pt idx="51">
                  <c:v>2.7642132120746361E-2</c:v>
                </c:pt>
                <c:pt idx="52">
                  <c:v>2.7863623564021573E-2</c:v>
                </c:pt>
                <c:pt idx="53">
                  <c:v>2.8076756839626023E-2</c:v>
                </c:pt>
                <c:pt idx="54">
                  <c:v>2.8281996290208083E-2</c:v>
                </c:pt>
                <c:pt idx="55">
                  <c:v>2.8479772488041705E-2</c:v>
                </c:pt>
                <c:pt idx="56">
                  <c:v>2.8670485250238416E-2</c:v>
                </c:pt>
                <c:pt idx="57">
                  <c:v>2.8854506336568574E-2</c:v>
                </c:pt>
                <c:pt idx="58">
                  <c:v>2.9032181868197691E-2</c:v>
                </c:pt>
                <c:pt idx="59">
                  <c:v>2.9203834500449548E-2</c:v>
                </c:pt>
                <c:pt idx="60">
                  <c:v>2.9369765378293011E-2</c:v>
                </c:pt>
                <c:pt idx="61">
                  <c:v>2.953025589948587E-2</c:v>
                </c:pt>
                <c:pt idx="62">
                  <c:v>2.9685569307091861E-2</c:v>
                </c:pt>
                <c:pt idx="63">
                  <c:v>2.9835952130329406E-2</c:v>
                </c:pt>
                <c:pt idx="64">
                  <c:v>2.9981635490340781E-2</c:v>
                </c:pt>
                <c:pt idx="65">
                  <c:v>3.0122836285428729E-2</c:v>
                </c:pt>
                <c:pt idx="66">
                  <c:v>3.0259758268544313E-2</c:v>
                </c:pt>
                <c:pt idx="67">
                  <c:v>3.0392593028283316E-2</c:v>
                </c:pt>
                <c:pt idx="68">
                  <c:v>3.0521520883324108E-2</c:v>
                </c:pt>
                <c:pt idx="69">
                  <c:v>3.064671169908836E-2</c:v>
                </c:pt>
                <c:pt idx="70">
                  <c:v>3.07683256344022E-2</c:v>
                </c:pt>
                <c:pt idx="71">
                  <c:v>3.0886513825059317E-2</c:v>
                </c:pt>
                <c:pt idx="72">
                  <c:v>3.1001419010420399E-2</c:v>
                </c:pt>
                <c:pt idx="73">
                  <c:v>3.1113176108511317E-2</c:v>
                </c:pt>
                <c:pt idx="74">
                  <c:v>3.1221912744491667E-2</c:v>
                </c:pt>
                <c:pt idx="75">
                  <c:v>3.1327749736845878E-2</c:v>
                </c:pt>
                <c:pt idx="76">
                  <c:v>3.1430801545190762E-2</c:v>
                </c:pt>
                <c:pt idx="77">
                  <c:v>3.1531176683189034E-2</c:v>
                </c:pt>
                <c:pt idx="78">
                  <c:v>3.162897809970016E-2</c:v>
                </c:pt>
                <c:pt idx="79">
                  <c:v>3.1724303530983169E-2</c:v>
                </c:pt>
                <c:pt idx="80">
                  <c:v>3.1817245826484097E-2</c:v>
                </c:pt>
                <c:pt idx="81">
                  <c:v>3.1907893250491169E-2</c:v>
                </c:pt>
                <c:pt idx="82">
                  <c:v>3.1996329761717589E-2</c:v>
                </c:pt>
                <c:pt idx="83">
                  <c:v>3.2082635272673486E-2</c:v>
                </c:pt>
                <c:pt idx="84">
                  <c:v>3.2166885890511393E-2</c:v>
                </c:pt>
                <c:pt idx="85">
                  <c:v>3.2249154140870755E-2</c:v>
                </c:pt>
                <c:pt idx="86">
                  <c:v>3.2329509176105484E-2</c:v>
                </c:pt>
                <c:pt idx="87">
                  <c:v>3.240801696915091E-2</c:v>
                </c:pt>
                <c:pt idx="88">
                  <c:v>3.2484740494172576E-2</c:v>
                </c:pt>
                <c:pt idx="89">
                  <c:v>3.2559739895036445E-2</c:v>
                </c:pt>
                <c:pt idx="90">
                  <c:v>3.2633072642547792E-2</c:v>
                </c:pt>
                <c:pt idx="91">
                  <c:v>3.2704793681322619E-2</c:v>
                </c:pt>
                <c:pt idx="92">
                  <c:v>3.2774955567080606E-2</c:v>
                </c:pt>
                <c:pt idx="93">
                  <c:v>3.2843608595080356E-2</c:v>
                </c:pt>
                <c:pt idx="94">
                  <c:v>3.2910800920356705E-2</c:v>
                </c:pt>
                <c:pt idx="95">
                  <c:v>3.2976578670364083E-2</c:v>
                </c:pt>
                <c:pt idx="96">
                  <c:v>3.3040986050579639E-2</c:v>
                </c:pt>
                <c:pt idx="97">
                  <c:v>3.3104065443574256E-2</c:v>
                </c:pt>
                <c:pt idx="98">
                  <c:v>3.3165857502017955E-2</c:v>
                </c:pt>
                <c:pt idx="99">
                  <c:v>3.3226401236048662E-2</c:v>
                </c:pt>
                <c:pt idx="100">
                  <c:v>3.3285734095398742E-2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6-4FFD-8300-EC2FDA64D520}"/>
            </c:ext>
          </c:extLst>
        </c:ser>
        <c:ser>
          <c:idx val="0"/>
          <c:order val="1"/>
          <c:tx>
            <c:strRef>
              <c:f>NPpremie_inkomen!$AI$8:$AI$9</c:f>
              <c:strCache>
                <c:ptCount val="2"/>
                <c:pt idx="0">
                  <c:v>Uitkeringsregeling (degr)</c:v>
                </c:pt>
                <c:pt idx="1">
                  <c:v>bereikbaar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NPpremie_inkomen!$AI$10:$AI$110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5.4034101820157237E-4</c:v>
                </c:pt>
                <c:pt idx="17">
                  <c:v>1.0171125048500185E-3</c:v>
                </c:pt>
                <c:pt idx="18">
                  <c:v>1.4409093818708596E-3</c:v>
                </c:pt>
                <c:pt idx="19">
                  <c:v>1.8200960613105595E-3</c:v>
                </c:pt>
                <c:pt idx="20">
                  <c:v>2.1613640728062895E-3</c:v>
                </c:pt>
                <c:pt idx="21">
                  <c:v>2.4701303689214737E-3</c:v>
                </c:pt>
                <c:pt idx="22">
                  <c:v>2.7508270017534593E-3</c:v>
                </c:pt>
                <c:pt idx="23">
                  <c:v>3.0071152317304897E-3</c:v>
                </c:pt>
                <c:pt idx="24">
                  <c:v>3.2420461092094338E-3</c:v>
                </c:pt>
                <c:pt idx="25">
                  <c:v>3.4581825164900631E-3</c:v>
                </c:pt>
                <c:pt idx="26">
                  <c:v>3.6576930462875672E-3</c:v>
                </c:pt>
                <c:pt idx="27">
                  <c:v>3.8424250183222925E-3</c:v>
                </c:pt>
                <c:pt idx="28">
                  <c:v>4.0139618494973942E-3</c:v>
                </c:pt>
                <c:pt idx="29">
                  <c:v>4.1736685543845593E-3</c:v>
                </c:pt>
                <c:pt idx="30">
                  <c:v>4.3227281456125789E-3</c:v>
                </c:pt>
                <c:pt idx="31">
                  <c:v>4.4621709890194363E-3</c:v>
                </c:pt>
                <c:pt idx="32">
                  <c:v>4.5928986547133649E-3</c:v>
                </c:pt>
                <c:pt idx="33">
                  <c:v>4.7157034315773588E-3</c:v>
                </c:pt>
                <c:pt idx="34">
                  <c:v>4.8312843980375881E-3</c:v>
                </c:pt>
                <c:pt idx="35">
                  <c:v>4.9402607378429475E-3</c:v>
                </c:pt>
                <c:pt idx="36">
                  <c:v>5.0431828365480082E-3</c:v>
                </c:pt>
                <c:pt idx="37">
                  <c:v>5.1405415785663105E-3</c:v>
                </c:pt>
                <c:pt idx="38">
                  <c:v>5.2327761762678586E-3</c:v>
                </c:pt>
                <c:pt idx="39">
                  <c:v>5.3202807946000968E-3</c:v>
                </c:pt>
                <c:pt idx="40">
                  <c:v>5.4034101820157237E-3</c:v>
                </c:pt>
                <c:pt idx="41">
                  <c:v>5.4824844773622948E-3</c:v>
                </c:pt>
                <c:pt idx="42">
                  <c:v>5.557793330073316E-3</c:v>
                </c:pt>
                <c:pt idx="43">
                  <c:v>5.6295994454489398E-3</c:v>
                </c:pt>
                <c:pt idx="44">
                  <c:v>5.6981416464893095E-3</c:v>
                </c:pt>
                <c:pt idx="45">
                  <c:v>5.7636375274834391E-3</c:v>
                </c:pt>
                <c:pt idx="46">
                  <c:v>5.826285761477824E-3</c:v>
                </c:pt>
                <c:pt idx="47">
                  <c:v>5.8862681131745757E-3</c:v>
                </c:pt>
                <c:pt idx="48">
                  <c:v>5.9437512002172956E-3</c:v>
                </c:pt>
                <c:pt idx="49">
                  <c:v>5.9988880388092925E-3</c:v>
                </c:pt>
                <c:pt idx="50">
                  <c:v>6.0518194038576105E-3</c:v>
                </c:pt>
                <c:pt idx="51">
                  <c:v>6.1026750291001105E-3</c:v>
                </c:pt>
                <c:pt idx="52">
                  <c:v>6.1515746687563627E-3</c:v>
                </c:pt>
                <c:pt idx="53">
                  <c:v>6.1986290389916231E-3</c:v>
                </c:pt>
                <c:pt idx="54">
                  <c:v>6.2439406547737256E-3</c:v>
                </c:pt>
                <c:pt idx="55">
                  <c:v>6.2876045754364784E-3</c:v>
                </c:pt>
                <c:pt idx="56">
                  <c:v>6.329709070361276E-3</c:v>
                </c:pt>
                <c:pt idx="57">
                  <c:v>6.3703362145869583E-3</c:v>
                </c:pt>
                <c:pt idx="58">
                  <c:v>6.4095624228048577E-3</c:v>
                </c:pt>
                <c:pt idx="59">
                  <c:v>6.4474589290492703E-3</c:v>
                </c:pt>
                <c:pt idx="60">
                  <c:v>6.4840922184188684E-3</c:v>
                </c:pt>
                <c:pt idx="61">
                  <c:v>6.5195244163337258E-3</c:v>
                </c:pt>
                <c:pt idx="62">
                  <c:v>6.5538136401222975E-3</c:v>
                </c:pt>
                <c:pt idx="63">
                  <c:v>6.58701431712393E-3</c:v>
                </c:pt>
                <c:pt idx="64">
                  <c:v>6.6191774729692614E-3</c:v>
                </c:pt>
                <c:pt idx="65">
                  <c:v>6.6503509932501212E-3</c:v>
                </c:pt>
                <c:pt idx="66">
                  <c:v>6.6805798614012583E-3</c:v>
                </c:pt>
                <c:pt idx="67">
                  <c:v>6.7099063752792268E-3</c:v>
                </c:pt>
                <c:pt idx="68">
                  <c:v>6.7383703446313734E-3</c:v>
                </c:pt>
                <c:pt idx="69">
                  <c:v>6.7660092713936019E-3</c:v>
                </c:pt>
                <c:pt idx="70">
                  <c:v>6.7928585145340531E-3</c:v>
                </c:pt>
                <c:pt idx="71">
                  <c:v>6.8189514409663218E-3</c:v>
                </c:pt>
                <c:pt idx="72">
                  <c:v>6.844319563886583E-3</c:v>
                </c:pt>
                <c:pt idx="73">
                  <c:v>6.8689926697405373E-3</c:v>
                </c:pt>
                <c:pt idx="74">
                  <c:v>6.8929989348957346E-3</c:v>
                </c:pt>
                <c:pt idx="75">
                  <c:v>6.9163650329801263E-3</c:v>
                </c:pt>
                <c:pt idx="76">
                  <c:v>6.9391162337465086E-3</c:v>
                </c:pt>
                <c:pt idx="77">
                  <c:v>6.9612764942332444E-3</c:v>
                </c:pt>
                <c:pt idx="78">
                  <c:v>6.9828685429126278E-3</c:v>
                </c:pt>
                <c:pt idx="79">
                  <c:v>7.0039139574482288E-3</c:v>
                </c:pt>
                <c:pt idx="80">
                  <c:v>7.0244332366204403E-3</c:v>
                </c:pt>
                <c:pt idx="81">
                  <c:v>7.0444458669242024E-3</c:v>
                </c:pt>
                <c:pt idx="82">
                  <c:v>7.0639703842937263E-3</c:v>
                </c:pt>
                <c:pt idx="83">
                  <c:v>7.0830244313651895E-3</c:v>
                </c:pt>
                <c:pt idx="84">
                  <c:v>7.1016248106492361E-3</c:v>
                </c:pt>
                <c:pt idx="85">
                  <c:v>7.1197875339501296E-3</c:v>
                </c:pt>
                <c:pt idx="86">
                  <c:v>7.1375278683370484E-3</c:v>
                </c:pt>
                <c:pt idx="87">
                  <c:v>7.1548603789449577E-3</c:v>
                </c:pt>
                <c:pt idx="88">
                  <c:v>7.1717989688572341E-3</c:v>
                </c:pt>
                <c:pt idx="89">
                  <c:v>7.18835691629957E-3</c:v>
                </c:pt>
                <c:pt idx="90">
                  <c:v>7.2045469093542985E-3</c:v>
                </c:pt>
                <c:pt idx="91">
                  <c:v>7.2203810783858461E-3</c:v>
                </c:pt>
                <c:pt idx="92">
                  <c:v>7.2358710263514909E-3</c:v>
                </c:pt>
                <c:pt idx="93">
                  <c:v>7.2510278571565837E-3</c:v>
                </c:pt>
                <c:pt idx="94">
                  <c:v>7.2658622021998668E-3</c:v>
                </c:pt>
                <c:pt idx="95">
                  <c:v>7.280384245242238E-3</c:v>
                </c:pt>
                <c:pt idx="96">
                  <c:v>7.2946037457212272E-3</c:v>
                </c:pt>
                <c:pt idx="97">
                  <c:v>7.308530060623329E-3</c:v>
                </c:pt>
                <c:pt idx="98">
                  <c:v>7.3221721650172256E-3</c:v>
                </c:pt>
                <c:pt idx="99">
                  <c:v>7.3355386713425579E-3</c:v>
                </c:pt>
                <c:pt idx="100">
                  <c:v>7.3486378475413842E-3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6-4FFD-8300-EC2FDA64D520}"/>
            </c:ext>
          </c:extLst>
        </c:ser>
        <c:ser>
          <c:idx val="2"/>
          <c:order val="2"/>
          <c:tx>
            <c:strRef>
              <c:f>NPpremie_inkomen!$AJ$8:$AJ$9</c:f>
              <c:strCache>
                <c:ptCount val="2"/>
                <c:pt idx="0">
                  <c:v>Uitkeringsregeling (degr)</c:v>
                </c:pt>
                <c:pt idx="1">
                  <c:v>risico ANW-hiaat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NPpremie_inkomen!$AJ$10:$AJ$110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B-4EA3-8FBD-C59842D5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NPpremie_inkomen!$X$9</c:f>
          <c:strCache>
            <c:ptCount val="1"/>
            <c:pt idx="0">
              <c:v>MvT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NPpremie_inkomen!$AK$8:$AK$9</c:f>
              <c:strCache>
                <c:ptCount val="2"/>
                <c:pt idx="0">
                  <c:v>MvT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NPpremie_inkomen!$AK$10:$AK$110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1.4871483564348254E-3</c:v>
                </c:pt>
                <c:pt idx="17">
                  <c:v>2.7993380827008481E-3</c:v>
                </c:pt>
                <c:pt idx="18">
                  <c:v>3.9657289504928684E-3</c:v>
                </c:pt>
                <c:pt idx="19">
                  <c:v>5.0093418322015174E-3</c:v>
                </c:pt>
                <c:pt idx="20">
                  <c:v>5.9485934257393017E-3</c:v>
                </c:pt>
                <c:pt idx="21">
                  <c:v>6.798392486559203E-3</c:v>
                </c:pt>
                <c:pt idx="22">
                  <c:v>7.5709370873045662E-3</c:v>
                </c:pt>
                <c:pt idx="23">
                  <c:v>8.2763038966807683E-3</c:v>
                </c:pt>
                <c:pt idx="24">
                  <c:v>8.9228901386089517E-3</c:v>
                </c:pt>
                <c:pt idx="25">
                  <c:v>9.5177494811828824E-3</c:v>
                </c:pt>
                <c:pt idx="26">
                  <c:v>1.0066850412789588E-2</c:v>
                </c:pt>
                <c:pt idx="27">
                  <c:v>1.0575277201314315E-2</c:v>
                </c:pt>
                <c:pt idx="28">
                  <c:v>1.1047387790658702E-2</c:v>
                </c:pt>
                <c:pt idx="29">
                  <c:v>1.1486939029013824E-2</c:v>
                </c:pt>
                <c:pt idx="30">
                  <c:v>1.1897186851478603E-2</c:v>
                </c:pt>
                <c:pt idx="31">
                  <c:v>1.2280967072494042E-2</c:v>
                </c:pt>
                <c:pt idx="32">
                  <c:v>1.2640761029696017E-2</c:v>
                </c:pt>
                <c:pt idx="33">
                  <c:v>1.2978749292522112E-2</c:v>
                </c:pt>
                <c:pt idx="34">
                  <c:v>1.3296855892829028E-2</c:v>
                </c:pt>
                <c:pt idx="35">
                  <c:v>1.3596784973118402E-2</c:v>
                </c:pt>
                <c:pt idx="36">
                  <c:v>1.3880051326725037E-2</c:v>
                </c:pt>
                <c:pt idx="37">
                  <c:v>1.4148005985542124E-2</c:v>
                </c:pt>
                <c:pt idx="38">
                  <c:v>1.4401857767579363E-2</c:v>
                </c:pt>
                <c:pt idx="39">
                  <c:v>1.4642691509512128E-2</c:v>
                </c:pt>
                <c:pt idx="40">
                  <c:v>1.4871483564348253E-2</c:v>
                </c:pt>
                <c:pt idx="41">
                  <c:v>1.5089115031143595E-2</c:v>
                </c:pt>
                <c:pt idx="42">
                  <c:v>1.5296383094758205E-2</c:v>
                </c:pt>
                <c:pt idx="43">
                  <c:v>1.5494010783320973E-2</c:v>
                </c:pt>
                <c:pt idx="44">
                  <c:v>1.5682655395130887E-2</c:v>
                </c:pt>
                <c:pt idx="45">
                  <c:v>1.586291580197147E-2</c:v>
                </c:pt>
                <c:pt idx="46">
                  <c:v>1.6035338799818988E-2</c:v>
                </c:pt>
                <c:pt idx="47">
                  <c:v>1.6200424648821928E-2</c:v>
                </c:pt>
                <c:pt idx="48">
                  <c:v>1.635863192078308E-2</c:v>
                </c:pt>
                <c:pt idx="49">
                  <c:v>1.6510381753072349E-2</c:v>
                </c:pt>
                <c:pt idx="50">
                  <c:v>1.6656061592070046E-2</c:v>
                </c:pt>
                <c:pt idx="51">
                  <c:v>1.6796028496205085E-2</c:v>
                </c:pt>
                <c:pt idx="52">
                  <c:v>1.6930612057873398E-2</c:v>
                </c:pt>
                <c:pt idx="53">
                  <c:v>1.7060116994573091E-2</c:v>
                </c:pt>
                <c:pt idx="54">
                  <c:v>1.718482545213576E-2</c:v>
                </c:pt>
                <c:pt idx="55">
                  <c:v>1.7304999056696149E-2</c:v>
                </c:pt>
                <c:pt idx="56">
                  <c:v>1.7420880746807955E-2</c:v>
                </c:pt>
                <c:pt idx="57">
                  <c:v>1.7532696412705311E-2</c:v>
                </c:pt>
                <c:pt idx="58">
                  <c:v>1.7640656365985514E-2</c:v>
                </c:pt>
                <c:pt idx="59">
                  <c:v>1.7744956659832493E-2</c:v>
                </c:pt>
                <c:pt idx="60">
                  <c:v>1.7845780277217903E-2</c:v>
                </c:pt>
                <c:pt idx="61">
                  <c:v>1.7943298202230028E-2</c:v>
                </c:pt>
                <c:pt idx="62">
                  <c:v>1.8037670387725625E-2</c:v>
                </c:pt>
                <c:pt idx="63">
                  <c:v>1.8129046630824541E-2</c:v>
                </c:pt>
                <c:pt idx="64">
                  <c:v>1.8217567366326612E-2</c:v>
                </c:pt>
                <c:pt idx="65">
                  <c:v>1.8303364386890158E-2</c:v>
                </c:pt>
                <c:pt idx="66">
                  <c:v>1.8386561497739661E-2</c:v>
                </c:pt>
                <c:pt idx="67">
                  <c:v>1.8467275112742907E-2</c:v>
                </c:pt>
                <c:pt idx="68">
                  <c:v>1.8545614797893118E-2</c:v>
                </c:pt>
                <c:pt idx="69">
                  <c:v>1.8621683767531726E-2</c:v>
                </c:pt>
                <c:pt idx="70">
                  <c:v>1.8695579338037803E-2</c:v>
                </c:pt>
                <c:pt idx="71">
                  <c:v>1.8767393343177514E-2</c:v>
                </c:pt>
                <c:pt idx="72">
                  <c:v>1.883721251484112E-2</c:v>
                </c:pt>
                <c:pt idx="73">
                  <c:v>1.890511883248655E-2</c:v>
                </c:pt>
                <c:pt idx="74">
                  <c:v>1.8971189844249666E-2</c:v>
                </c:pt>
                <c:pt idx="75">
                  <c:v>1.9035498962365765E-2</c:v>
                </c:pt>
                <c:pt idx="76">
                  <c:v>1.9098115735268286E-2</c:v>
                </c:pt>
                <c:pt idx="77">
                  <c:v>1.9159106098485024E-2</c:v>
                </c:pt>
                <c:pt idx="78">
                  <c:v>1.9218532606234667E-2</c:v>
                </c:pt>
                <c:pt idx="79">
                  <c:v>1.9276454645433688E-2</c:v>
                </c:pt>
                <c:pt idx="80">
                  <c:v>1.933292863365273E-2</c:v>
                </c:pt>
                <c:pt idx="81">
                  <c:v>1.9388008202409577E-2</c:v>
                </c:pt>
                <c:pt idx="82">
                  <c:v>1.9441744367050401E-2</c:v>
                </c:pt>
                <c:pt idx="83">
                  <c:v>1.9494185684350483E-2</c:v>
                </c:pt>
                <c:pt idx="84">
                  <c:v>1.9545378398857706E-2</c:v>
                </c:pt>
                <c:pt idx="85">
                  <c:v>1.9595366578905933E-2</c:v>
                </c:pt>
                <c:pt idx="86">
                  <c:v>1.964419224313909E-2</c:v>
                </c:pt>
                <c:pt idx="87">
                  <c:v>1.969189547830941E-2</c:v>
                </c:pt>
                <c:pt idx="88">
                  <c:v>1.9738514549044048E-2</c:v>
                </c:pt>
                <c:pt idx="89">
                  <c:v>1.9784086000211611E-2</c:v>
                </c:pt>
                <c:pt idx="90">
                  <c:v>1.9828644752464337E-2</c:v>
                </c:pt>
                <c:pt idx="91">
                  <c:v>1.9872224191480745E-2</c:v>
                </c:pt>
                <c:pt idx="92">
                  <c:v>1.9914856251388096E-2</c:v>
                </c:pt>
                <c:pt idx="93">
                  <c:v>1.9956571492802819E-2</c:v>
                </c:pt>
                <c:pt idx="94">
                  <c:v>1.9997399175889566E-2</c:v>
                </c:pt>
                <c:pt idx="95">
                  <c:v>2.003736732880607E-2</c:v>
                </c:pt>
                <c:pt idx="96">
                  <c:v>2.0076502811870144E-2</c:v>
                </c:pt>
                <c:pt idx="97">
                  <c:v>2.0114831377757637E-2</c:v>
                </c:pt>
                <c:pt idx="98">
                  <c:v>2.015237772801478E-2</c:v>
                </c:pt>
                <c:pt idx="99">
                  <c:v>2.0189165566145507E-2</c:v>
                </c:pt>
                <c:pt idx="100">
                  <c:v>2.0225217647513626E-2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6-494A-9043-745F6382EBC0}"/>
            </c:ext>
          </c:extLst>
        </c:ser>
        <c:ser>
          <c:idx val="0"/>
          <c:order val="1"/>
          <c:tx>
            <c:strRef>
              <c:f>NPpremie_inkomen!$AL$8:$AL$9</c:f>
              <c:strCache>
                <c:ptCount val="2"/>
                <c:pt idx="0">
                  <c:v>MvT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NPpremie_inkomen!$AL$10:$AL$110</c:f>
              <c:numCache>
                <c:formatCode>0.00%</c:formatCode>
                <c:ptCount val="101"/>
                <c:pt idx="0">
                  <c:v>1.8522531094211297E-2</c:v>
                </c:pt>
                <c:pt idx="1">
                  <c:v>1.8522531094211297E-2</c:v>
                </c:pt>
                <c:pt idx="2">
                  <c:v>1.8522531094211297E-2</c:v>
                </c:pt>
                <c:pt idx="3">
                  <c:v>1.8522531094211297E-2</c:v>
                </c:pt>
                <c:pt idx="4">
                  <c:v>1.8522531094211297E-2</c:v>
                </c:pt>
                <c:pt idx="5">
                  <c:v>1.8522531094211297E-2</c:v>
                </c:pt>
                <c:pt idx="6">
                  <c:v>1.8522531094211297E-2</c:v>
                </c:pt>
                <c:pt idx="7">
                  <c:v>1.8522531094211297E-2</c:v>
                </c:pt>
                <c:pt idx="8">
                  <c:v>1.8522531094211297E-2</c:v>
                </c:pt>
                <c:pt idx="9">
                  <c:v>1.8522531094211297E-2</c:v>
                </c:pt>
                <c:pt idx="10">
                  <c:v>1.8522531094211297E-2</c:v>
                </c:pt>
                <c:pt idx="11">
                  <c:v>1.8522531094211297E-2</c:v>
                </c:pt>
                <c:pt idx="12">
                  <c:v>1.8522531094211297E-2</c:v>
                </c:pt>
                <c:pt idx="13">
                  <c:v>1.8522531094211297E-2</c:v>
                </c:pt>
                <c:pt idx="14">
                  <c:v>1.8522531094211297E-2</c:v>
                </c:pt>
                <c:pt idx="15">
                  <c:v>1.8522531094211297E-2</c:v>
                </c:pt>
                <c:pt idx="16">
                  <c:v>1.8522531094211297E-2</c:v>
                </c:pt>
                <c:pt idx="17">
                  <c:v>1.8522531094211297E-2</c:v>
                </c:pt>
                <c:pt idx="18">
                  <c:v>1.8522531094211297E-2</c:v>
                </c:pt>
                <c:pt idx="19">
                  <c:v>1.8522531094211297E-2</c:v>
                </c:pt>
                <c:pt idx="20">
                  <c:v>1.8522531094211297E-2</c:v>
                </c:pt>
                <c:pt idx="21">
                  <c:v>1.8522531094211297E-2</c:v>
                </c:pt>
                <c:pt idx="22">
                  <c:v>1.8522531094211297E-2</c:v>
                </c:pt>
                <c:pt idx="23">
                  <c:v>1.8522531094211297E-2</c:v>
                </c:pt>
                <c:pt idx="24">
                  <c:v>1.8522531094211297E-2</c:v>
                </c:pt>
                <c:pt idx="25">
                  <c:v>1.8522531094211297E-2</c:v>
                </c:pt>
                <c:pt idx="26">
                  <c:v>1.8522531094211297E-2</c:v>
                </c:pt>
                <c:pt idx="27">
                  <c:v>1.8522531094211297E-2</c:v>
                </c:pt>
                <c:pt idx="28">
                  <c:v>1.8522531094211297E-2</c:v>
                </c:pt>
                <c:pt idx="29">
                  <c:v>1.8522531094211297E-2</c:v>
                </c:pt>
                <c:pt idx="30">
                  <c:v>1.8522531094211297E-2</c:v>
                </c:pt>
                <c:pt idx="31">
                  <c:v>1.8522531094211297E-2</c:v>
                </c:pt>
                <c:pt idx="32">
                  <c:v>1.8522531094211297E-2</c:v>
                </c:pt>
                <c:pt idx="33">
                  <c:v>1.8522531094211297E-2</c:v>
                </c:pt>
                <c:pt idx="34">
                  <c:v>1.8522531094211297E-2</c:v>
                </c:pt>
                <c:pt idx="35">
                  <c:v>1.8522531094211297E-2</c:v>
                </c:pt>
                <c:pt idx="36">
                  <c:v>1.8522531094211297E-2</c:v>
                </c:pt>
                <c:pt idx="37">
                  <c:v>1.8522531094211297E-2</c:v>
                </c:pt>
                <c:pt idx="38">
                  <c:v>1.8522531094211297E-2</c:v>
                </c:pt>
                <c:pt idx="39">
                  <c:v>1.8522531094211297E-2</c:v>
                </c:pt>
                <c:pt idx="40">
                  <c:v>1.8522531094211297E-2</c:v>
                </c:pt>
                <c:pt idx="41">
                  <c:v>1.8522531094211297E-2</c:v>
                </c:pt>
                <c:pt idx="42">
                  <c:v>1.8522531094211297E-2</c:v>
                </c:pt>
                <c:pt idx="43">
                  <c:v>1.8522531094211297E-2</c:v>
                </c:pt>
                <c:pt idx="44">
                  <c:v>1.8522531094211297E-2</c:v>
                </c:pt>
                <c:pt idx="45">
                  <c:v>1.8522531094211297E-2</c:v>
                </c:pt>
                <c:pt idx="46">
                  <c:v>1.8522531094211297E-2</c:v>
                </c:pt>
                <c:pt idx="47">
                  <c:v>1.8522531094211297E-2</c:v>
                </c:pt>
                <c:pt idx="48">
                  <c:v>1.8522531094211297E-2</c:v>
                </c:pt>
                <c:pt idx="49">
                  <c:v>1.8522531094211297E-2</c:v>
                </c:pt>
                <c:pt idx="50">
                  <c:v>1.8522531094211297E-2</c:v>
                </c:pt>
                <c:pt idx="51">
                  <c:v>1.8522531094211297E-2</c:v>
                </c:pt>
                <c:pt idx="52">
                  <c:v>1.8522531094211297E-2</c:v>
                </c:pt>
                <c:pt idx="53">
                  <c:v>1.8522531094211297E-2</c:v>
                </c:pt>
                <c:pt idx="54">
                  <c:v>1.8522531094211297E-2</c:v>
                </c:pt>
                <c:pt idx="55">
                  <c:v>1.8522531094211297E-2</c:v>
                </c:pt>
                <c:pt idx="56">
                  <c:v>1.8522531094211297E-2</c:v>
                </c:pt>
                <c:pt idx="57">
                  <c:v>1.8522531094211297E-2</c:v>
                </c:pt>
                <c:pt idx="58">
                  <c:v>1.8522531094211297E-2</c:v>
                </c:pt>
                <c:pt idx="59">
                  <c:v>1.8522531094211297E-2</c:v>
                </c:pt>
                <c:pt idx="60">
                  <c:v>1.8522531094211297E-2</c:v>
                </c:pt>
                <c:pt idx="61">
                  <c:v>1.8522531094211297E-2</c:v>
                </c:pt>
                <c:pt idx="62">
                  <c:v>1.8522531094211297E-2</c:v>
                </c:pt>
                <c:pt idx="63">
                  <c:v>1.8522531094211297E-2</c:v>
                </c:pt>
                <c:pt idx="64">
                  <c:v>1.8522531094211297E-2</c:v>
                </c:pt>
                <c:pt idx="65">
                  <c:v>1.8522531094211297E-2</c:v>
                </c:pt>
                <c:pt idx="66">
                  <c:v>1.8522531094211297E-2</c:v>
                </c:pt>
                <c:pt idx="67">
                  <c:v>1.8522531094211297E-2</c:v>
                </c:pt>
                <c:pt idx="68">
                  <c:v>1.8522531094211297E-2</c:v>
                </c:pt>
                <c:pt idx="69">
                  <c:v>1.8522531094211297E-2</c:v>
                </c:pt>
                <c:pt idx="70">
                  <c:v>1.8522531094211297E-2</c:v>
                </c:pt>
                <c:pt idx="71">
                  <c:v>1.8522531094211297E-2</c:v>
                </c:pt>
                <c:pt idx="72">
                  <c:v>1.8522531094211297E-2</c:v>
                </c:pt>
                <c:pt idx="73">
                  <c:v>1.8522531094211297E-2</c:v>
                </c:pt>
                <c:pt idx="74">
                  <c:v>1.8522531094211297E-2</c:v>
                </c:pt>
                <c:pt idx="75">
                  <c:v>1.8522531094211297E-2</c:v>
                </c:pt>
                <c:pt idx="76">
                  <c:v>1.8522531094211297E-2</c:v>
                </c:pt>
                <c:pt idx="77">
                  <c:v>1.8522531094211297E-2</c:v>
                </c:pt>
                <c:pt idx="78">
                  <c:v>1.8522531094211297E-2</c:v>
                </c:pt>
                <c:pt idx="79">
                  <c:v>1.8522531094211297E-2</c:v>
                </c:pt>
                <c:pt idx="80">
                  <c:v>1.8522531094211297E-2</c:v>
                </c:pt>
                <c:pt idx="81">
                  <c:v>1.8522531094211297E-2</c:v>
                </c:pt>
                <c:pt idx="82">
                  <c:v>1.8522531094211297E-2</c:v>
                </c:pt>
                <c:pt idx="83">
                  <c:v>1.8522531094211297E-2</c:v>
                </c:pt>
                <c:pt idx="84">
                  <c:v>1.8522531094211297E-2</c:v>
                </c:pt>
                <c:pt idx="85">
                  <c:v>1.8522531094211297E-2</c:v>
                </c:pt>
                <c:pt idx="86">
                  <c:v>1.8522531094211297E-2</c:v>
                </c:pt>
                <c:pt idx="87">
                  <c:v>1.8522531094211297E-2</c:v>
                </c:pt>
                <c:pt idx="88">
                  <c:v>1.8522531094211297E-2</c:v>
                </c:pt>
                <c:pt idx="89">
                  <c:v>1.8522531094211297E-2</c:v>
                </c:pt>
                <c:pt idx="90">
                  <c:v>1.8522531094211297E-2</c:v>
                </c:pt>
                <c:pt idx="91">
                  <c:v>1.8522531094211297E-2</c:v>
                </c:pt>
                <c:pt idx="92">
                  <c:v>1.8522531094211297E-2</c:v>
                </c:pt>
                <c:pt idx="93">
                  <c:v>1.8522531094211297E-2</c:v>
                </c:pt>
                <c:pt idx="94">
                  <c:v>1.8522531094211297E-2</c:v>
                </c:pt>
                <c:pt idx="95">
                  <c:v>1.8522531094211297E-2</c:v>
                </c:pt>
                <c:pt idx="96">
                  <c:v>1.8522531094211297E-2</c:v>
                </c:pt>
                <c:pt idx="97">
                  <c:v>1.8522531094211297E-2</c:v>
                </c:pt>
                <c:pt idx="98">
                  <c:v>1.8522531094211297E-2</c:v>
                </c:pt>
                <c:pt idx="99">
                  <c:v>1.8522531094211297E-2</c:v>
                </c:pt>
                <c:pt idx="100">
                  <c:v>1.8522531094211297E-2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6-494A-9043-745F6382EBC0}"/>
            </c:ext>
          </c:extLst>
        </c:ser>
        <c:ser>
          <c:idx val="2"/>
          <c:order val="2"/>
          <c:tx>
            <c:strRef>
              <c:f>NPpremie_inkomen!$AM$8:$AM$9</c:f>
              <c:strCache>
                <c:ptCount val="2"/>
                <c:pt idx="0">
                  <c:v>MvT</c:v>
                </c:pt>
                <c:pt idx="1">
                  <c:v>x0, risico vanaf AOW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NPpremie_inkomen!$AM$10:$AM$110</c:f>
              <c:numCache>
                <c:formatCode>0.00%</c:formatCode>
                <c:ptCount val="101"/>
                <c:pt idx="0">
                  <c:v>3.6498975103065621E-2</c:v>
                </c:pt>
                <c:pt idx="1">
                  <c:v>3.6498975103065621E-2</c:v>
                </c:pt>
                <c:pt idx="2">
                  <c:v>3.6498975103065621E-2</c:v>
                </c:pt>
                <c:pt idx="3">
                  <c:v>3.6498975103065621E-2</c:v>
                </c:pt>
                <c:pt idx="4">
                  <c:v>3.6498975103065621E-2</c:v>
                </c:pt>
                <c:pt idx="5">
                  <c:v>3.6498975103065621E-2</c:v>
                </c:pt>
                <c:pt idx="6">
                  <c:v>3.6498975103065621E-2</c:v>
                </c:pt>
                <c:pt idx="7">
                  <c:v>3.6498975103065621E-2</c:v>
                </c:pt>
                <c:pt idx="8">
                  <c:v>3.6498975103065621E-2</c:v>
                </c:pt>
                <c:pt idx="9">
                  <c:v>3.6498975103065621E-2</c:v>
                </c:pt>
                <c:pt idx="10">
                  <c:v>3.6498975103065621E-2</c:v>
                </c:pt>
                <c:pt idx="11">
                  <c:v>3.6498975103065621E-2</c:v>
                </c:pt>
                <c:pt idx="12">
                  <c:v>3.6498975103065621E-2</c:v>
                </c:pt>
                <c:pt idx="13">
                  <c:v>3.6498975103065621E-2</c:v>
                </c:pt>
                <c:pt idx="14">
                  <c:v>3.6498975103065621E-2</c:v>
                </c:pt>
                <c:pt idx="15">
                  <c:v>3.6498975103065621E-2</c:v>
                </c:pt>
                <c:pt idx="16">
                  <c:v>3.6498975103065621E-2</c:v>
                </c:pt>
                <c:pt idx="17">
                  <c:v>3.6498975103065621E-2</c:v>
                </c:pt>
                <c:pt idx="18">
                  <c:v>3.6498975103065621E-2</c:v>
                </c:pt>
                <c:pt idx="19">
                  <c:v>3.6498975103065621E-2</c:v>
                </c:pt>
                <c:pt idx="20">
                  <c:v>3.6498975103065621E-2</c:v>
                </c:pt>
                <c:pt idx="21">
                  <c:v>3.6498975103065621E-2</c:v>
                </c:pt>
                <c:pt idx="22">
                  <c:v>3.6498975103065621E-2</c:v>
                </c:pt>
                <c:pt idx="23">
                  <c:v>3.6498975103065621E-2</c:v>
                </c:pt>
                <c:pt idx="24">
                  <c:v>3.6498975103065621E-2</c:v>
                </c:pt>
                <c:pt idx="25">
                  <c:v>3.6498975103065621E-2</c:v>
                </c:pt>
                <c:pt idx="26">
                  <c:v>3.6498975103065621E-2</c:v>
                </c:pt>
                <c:pt idx="27">
                  <c:v>3.6498975103065621E-2</c:v>
                </c:pt>
                <c:pt idx="28">
                  <c:v>3.6498975103065621E-2</c:v>
                </c:pt>
                <c:pt idx="29">
                  <c:v>3.6498975103065621E-2</c:v>
                </c:pt>
                <c:pt idx="30">
                  <c:v>3.6498975103065621E-2</c:v>
                </c:pt>
                <c:pt idx="31">
                  <c:v>3.6498975103065621E-2</c:v>
                </c:pt>
                <c:pt idx="32">
                  <c:v>3.6498975103065621E-2</c:v>
                </c:pt>
                <c:pt idx="33">
                  <c:v>3.6498975103065621E-2</c:v>
                </c:pt>
                <c:pt idx="34">
                  <c:v>3.6498975103065621E-2</c:v>
                </c:pt>
                <c:pt idx="35">
                  <c:v>3.6498975103065621E-2</c:v>
                </c:pt>
                <c:pt idx="36">
                  <c:v>3.6498975103065621E-2</c:v>
                </c:pt>
                <c:pt idx="37">
                  <c:v>3.6498975103065621E-2</c:v>
                </c:pt>
                <c:pt idx="38">
                  <c:v>3.6498975103065621E-2</c:v>
                </c:pt>
                <c:pt idx="39">
                  <c:v>3.6498975103065621E-2</c:v>
                </c:pt>
                <c:pt idx="40">
                  <c:v>3.6498975103065621E-2</c:v>
                </c:pt>
                <c:pt idx="41">
                  <c:v>3.6498975103065621E-2</c:v>
                </c:pt>
                <c:pt idx="42">
                  <c:v>3.6498975103065621E-2</c:v>
                </c:pt>
                <c:pt idx="43">
                  <c:v>3.6498975103065621E-2</c:v>
                </c:pt>
                <c:pt idx="44">
                  <c:v>3.6498975103065621E-2</c:v>
                </c:pt>
                <c:pt idx="45">
                  <c:v>3.6498975103065621E-2</c:v>
                </c:pt>
                <c:pt idx="46">
                  <c:v>3.6498975103065621E-2</c:v>
                </c:pt>
                <c:pt idx="47">
                  <c:v>3.6498975103065621E-2</c:v>
                </c:pt>
                <c:pt idx="48">
                  <c:v>3.6498975103065621E-2</c:v>
                </c:pt>
                <c:pt idx="49">
                  <c:v>3.6498975103065621E-2</c:v>
                </c:pt>
                <c:pt idx="50">
                  <c:v>3.6498975103065621E-2</c:v>
                </c:pt>
                <c:pt idx="51">
                  <c:v>3.6498975103065621E-2</c:v>
                </c:pt>
                <c:pt idx="52">
                  <c:v>3.6498975103065621E-2</c:v>
                </c:pt>
                <c:pt idx="53">
                  <c:v>3.6498975103065621E-2</c:v>
                </c:pt>
                <c:pt idx="54">
                  <c:v>3.6498975103065621E-2</c:v>
                </c:pt>
                <c:pt idx="55">
                  <c:v>3.6498975103065621E-2</c:v>
                </c:pt>
                <c:pt idx="56">
                  <c:v>3.6498975103065621E-2</c:v>
                </c:pt>
                <c:pt idx="57">
                  <c:v>3.6498975103065621E-2</c:v>
                </c:pt>
                <c:pt idx="58">
                  <c:v>3.6498975103065621E-2</c:v>
                </c:pt>
                <c:pt idx="59">
                  <c:v>3.6498975103065621E-2</c:v>
                </c:pt>
                <c:pt idx="60">
                  <c:v>3.6498975103065621E-2</c:v>
                </c:pt>
                <c:pt idx="61">
                  <c:v>3.6498975103065621E-2</c:v>
                </c:pt>
                <c:pt idx="62">
                  <c:v>3.6498975103065621E-2</c:v>
                </c:pt>
                <c:pt idx="63">
                  <c:v>3.6498975103065621E-2</c:v>
                </c:pt>
                <c:pt idx="64">
                  <c:v>3.6498975103065621E-2</c:v>
                </c:pt>
                <c:pt idx="65">
                  <c:v>3.6498975103065621E-2</c:v>
                </c:pt>
                <c:pt idx="66">
                  <c:v>3.6498975103065621E-2</c:v>
                </c:pt>
                <c:pt idx="67">
                  <c:v>3.6498975103065621E-2</c:v>
                </c:pt>
                <c:pt idx="68">
                  <c:v>3.6498975103065621E-2</c:v>
                </c:pt>
                <c:pt idx="69">
                  <c:v>3.6498975103065621E-2</c:v>
                </c:pt>
                <c:pt idx="70">
                  <c:v>3.6498975103065621E-2</c:v>
                </c:pt>
                <c:pt idx="71">
                  <c:v>3.6498975103065621E-2</c:v>
                </c:pt>
                <c:pt idx="72">
                  <c:v>3.6498975103065621E-2</c:v>
                </c:pt>
                <c:pt idx="73">
                  <c:v>3.6498975103065621E-2</c:v>
                </c:pt>
                <c:pt idx="74">
                  <c:v>3.6498975103065621E-2</c:v>
                </c:pt>
                <c:pt idx="75">
                  <c:v>3.6498975103065621E-2</c:v>
                </c:pt>
                <c:pt idx="76">
                  <c:v>3.6498975103065621E-2</c:v>
                </c:pt>
                <c:pt idx="77">
                  <c:v>3.6498975103065621E-2</c:v>
                </c:pt>
                <c:pt idx="78">
                  <c:v>3.6498975103065621E-2</c:v>
                </c:pt>
                <c:pt idx="79">
                  <c:v>3.6498975103065621E-2</c:v>
                </c:pt>
                <c:pt idx="80">
                  <c:v>3.6498975103065621E-2</c:v>
                </c:pt>
                <c:pt idx="81">
                  <c:v>3.6498975103065621E-2</c:v>
                </c:pt>
                <c:pt idx="82">
                  <c:v>3.6498975103065621E-2</c:v>
                </c:pt>
                <c:pt idx="83">
                  <c:v>3.6498975103065621E-2</c:v>
                </c:pt>
                <c:pt idx="84">
                  <c:v>3.6498975103065621E-2</c:v>
                </c:pt>
                <c:pt idx="85">
                  <c:v>3.6498975103065621E-2</c:v>
                </c:pt>
                <c:pt idx="86">
                  <c:v>3.6498975103065621E-2</c:v>
                </c:pt>
                <c:pt idx="87">
                  <c:v>3.6498975103065621E-2</c:v>
                </c:pt>
                <c:pt idx="88">
                  <c:v>3.6498975103065621E-2</c:v>
                </c:pt>
                <c:pt idx="89">
                  <c:v>3.6498975103065621E-2</c:v>
                </c:pt>
                <c:pt idx="90">
                  <c:v>3.6498975103065621E-2</c:v>
                </c:pt>
                <c:pt idx="91">
                  <c:v>3.6498975103065621E-2</c:v>
                </c:pt>
                <c:pt idx="92">
                  <c:v>3.6498975103065621E-2</c:v>
                </c:pt>
                <c:pt idx="93">
                  <c:v>3.6498975103065621E-2</c:v>
                </c:pt>
                <c:pt idx="94">
                  <c:v>3.6498975103065621E-2</c:v>
                </c:pt>
                <c:pt idx="95">
                  <c:v>3.6498975103065621E-2</c:v>
                </c:pt>
                <c:pt idx="96">
                  <c:v>3.6498975103065621E-2</c:v>
                </c:pt>
                <c:pt idx="97">
                  <c:v>3.6498975103065621E-2</c:v>
                </c:pt>
                <c:pt idx="98">
                  <c:v>3.6498975103065621E-2</c:v>
                </c:pt>
                <c:pt idx="99">
                  <c:v>3.6498975103065621E-2</c:v>
                </c:pt>
                <c:pt idx="100">
                  <c:v>3.6498975103065621E-2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D6-494A-9043-745F6382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NPpremie_inkomen!$Z$9</c:f>
          <c:strCache>
            <c:ptCount val="1"/>
            <c:pt idx="0">
              <c:v>MvT met overbrugging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NPpremie_inkomen!$AK$8:$AK$9</c:f>
              <c:strCache>
                <c:ptCount val="2"/>
                <c:pt idx="0">
                  <c:v>MvT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NPpremie_inkomen!$AK$10:$AK$110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1.4871483564348254E-3</c:v>
                </c:pt>
                <c:pt idx="17">
                  <c:v>2.7993380827008481E-3</c:v>
                </c:pt>
                <c:pt idx="18">
                  <c:v>3.9657289504928684E-3</c:v>
                </c:pt>
                <c:pt idx="19">
                  <c:v>5.0093418322015174E-3</c:v>
                </c:pt>
                <c:pt idx="20">
                  <c:v>5.9485934257393017E-3</c:v>
                </c:pt>
                <c:pt idx="21">
                  <c:v>6.798392486559203E-3</c:v>
                </c:pt>
                <c:pt idx="22">
                  <c:v>7.5709370873045662E-3</c:v>
                </c:pt>
                <c:pt idx="23">
                  <c:v>8.2763038966807683E-3</c:v>
                </c:pt>
                <c:pt idx="24">
                  <c:v>8.9228901386089517E-3</c:v>
                </c:pt>
                <c:pt idx="25">
                  <c:v>9.5177494811828824E-3</c:v>
                </c:pt>
                <c:pt idx="26">
                  <c:v>1.0066850412789588E-2</c:v>
                </c:pt>
                <c:pt idx="27">
                  <c:v>1.0575277201314315E-2</c:v>
                </c:pt>
                <c:pt idx="28">
                  <c:v>1.1047387790658702E-2</c:v>
                </c:pt>
                <c:pt idx="29">
                  <c:v>1.1486939029013824E-2</c:v>
                </c:pt>
                <c:pt idx="30">
                  <c:v>1.1897186851478603E-2</c:v>
                </c:pt>
                <c:pt idx="31">
                  <c:v>1.2280967072494042E-2</c:v>
                </c:pt>
                <c:pt idx="32">
                  <c:v>1.2640761029696017E-2</c:v>
                </c:pt>
                <c:pt idx="33">
                  <c:v>1.2978749292522112E-2</c:v>
                </c:pt>
                <c:pt idx="34">
                  <c:v>1.3296855892829028E-2</c:v>
                </c:pt>
                <c:pt idx="35">
                  <c:v>1.3596784973118402E-2</c:v>
                </c:pt>
                <c:pt idx="36">
                  <c:v>1.3880051326725037E-2</c:v>
                </c:pt>
                <c:pt idx="37">
                  <c:v>1.4148005985542124E-2</c:v>
                </c:pt>
                <c:pt idx="38">
                  <c:v>1.4401857767579363E-2</c:v>
                </c:pt>
                <c:pt idx="39">
                  <c:v>1.4642691509512128E-2</c:v>
                </c:pt>
                <c:pt idx="40">
                  <c:v>1.4871483564348253E-2</c:v>
                </c:pt>
                <c:pt idx="41">
                  <c:v>1.5089115031143595E-2</c:v>
                </c:pt>
                <c:pt idx="42">
                  <c:v>1.5296383094758205E-2</c:v>
                </c:pt>
                <c:pt idx="43">
                  <c:v>1.5494010783320973E-2</c:v>
                </c:pt>
                <c:pt idx="44">
                  <c:v>1.5682655395130887E-2</c:v>
                </c:pt>
                <c:pt idx="45">
                  <c:v>1.586291580197147E-2</c:v>
                </c:pt>
                <c:pt idx="46">
                  <c:v>1.6035338799818988E-2</c:v>
                </c:pt>
                <c:pt idx="47">
                  <c:v>1.6200424648821928E-2</c:v>
                </c:pt>
                <c:pt idx="48">
                  <c:v>1.635863192078308E-2</c:v>
                </c:pt>
                <c:pt idx="49">
                  <c:v>1.6510381753072349E-2</c:v>
                </c:pt>
                <c:pt idx="50">
                  <c:v>1.6656061592070046E-2</c:v>
                </c:pt>
                <c:pt idx="51">
                  <c:v>1.6796028496205085E-2</c:v>
                </c:pt>
                <c:pt idx="52">
                  <c:v>1.6930612057873398E-2</c:v>
                </c:pt>
                <c:pt idx="53">
                  <c:v>1.7060116994573091E-2</c:v>
                </c:pt>
                <c:pt idx="54">
                  <c:v>1.718482545213576E-2</c:v>
                </c:pt>
                <c:pt idx="55">
                  <c:v>1.7304999056696149E-2</c:v>
                </c:pt>
                <c:pt idx="56">
                  <c:v>1.7420880746807955E-2</c:v>
                </c:pt>
                <c:pt idx="57">
                  <c:v>1.7532696412705311E-2</c:v>
                </c:pt>
                <c:pt idx="58">
                  <c:v>1.7640656365985514E-2</c:v>
                </c:pt>
                <c:pt idx="59">
                  <c:v>1.7744956659832493E-2</c:v>
                </c:pt>
                <c:pt idx="60">
                  <c:v>1.7845780277217903E-2</c:v>
                </c:pt>
                <c:pt idx="61">
                  <c:v>1.7943298202230028E-2</c:v>
                </c:pt>
                <c:pt idx="62">
                  <c:v>1.8037670387725625E-2</c:v>
                </c:pt>
                <c:pt idx="63">
                  <c:v>1.8129046630824541E-2</c:v>
                </c:pt>
                <c:pt idx="64">
                  <c:v>1.8217567366326612E-2</c:v>
                </c:pt>
                <c:pt idx="65">
                  <c:v>1.8303364386890158E-2</c:v>
                </c:pt>
                <c:pt idx="66">
                  <c:v>1.8386561497739661E-2</c:v>
                </c:pt>
                <c:pt idx="67">
                  <c:v>1.8467275112742907E-2</c:v>
                </c:pt>
                <c:pt idx="68">
                  <c:v>1.8545614797893118E-2</c:v>
                </c:pt>
                <c:pt idx="69">
                  <c:v>1.8621683767531726E-2</c:v>
                </c:pt>
                <c:pt idx="70">
                  <c:v>1.8695579338037803E-2</c:v>
                </c:pt>
                <c:pt idx="71">
                  <c:v>1.8767393343177514E-2</c:v>
                </c:pt>
                <c:pt idx="72">
                  <c:v>1.883721251484112E-2</c:v>
                </c:pt>
                <c:pt idx="73">
                  <c:v>1.890511883248655E-2</c:v>
                </c:pt>
                <c:pt idx="74">
                  <c:v>1.8971189844249666E-2</c:v>
                </c:pt>
                <c:pt idx="75">
                  <c:v>1.9035498962365765E-2</c:v>
                </c:pt>
                <c:pt idx="76">
                  <c:v>1.9098115735268286E-2</c:v>
                </c:pt>
                <c:pt idx="77">
                  <c:v>1.9159106098485024E-2</c:v>
                </c:pt>
                <c:pt idx="78">
                  <c:v>1.9218532606234667E-2</c:v>
                </c:pt>
                <c:pt idx="79">
                  <c:v>1.9276454645433688E-2</c:v>
                </c:pt>
                <c:pt idx="80">
                  <c:v>1.933292863365273E-2</c:v>
                </c:pt>
                <c:pt idx="81">
                  <c:v>1.9388008202409577E-2</c:v>
                </c:pt>
                <c:pt idx="82">
                  <c:v>1.9441744367050401E-2</c:v>
                </c:pt>
                <c:pt idx="83">
                  <c:v>1.9494185684350483E-2</c:v>
                </c:pt>
                <c:pt idx="84">
                  <c:v>1.9545378398857706E-2</c:v>
                </c:pt>
                <c:pt idx="85">
                  <c:v>1.9595366578905933E-2</c:v>
                </c:pt>
                <c:pt idx="86">
                  <c:v>1.964419224313909E-2</c:v>
                </c:pt>
                <c:pt idx="87">
                  <c:v>1.969189547830941E-2</c:v>
                </c:pt>
                <c:pt idx="88">
                  <c:v>1.9738514549044048E-2</c:v>
                </c:pt>
                <c:pt idx="89">
                  <c:v>1.9784086000211611E-2</c:v>
                </c:pt>
                <c:pt idx="90">
                  <c:v>1.9828644752464337E-2</c:v>
                </c:pt>
                <c:pt idx="91">
                  <c:v>1.9872224191480745E-2</c:v>
                </c:pt>
                <c:pt idx="92">
                  <c:v>1.9914856251388096E-2</c:v>
                </c:pt>
                <c:pt idx="93">
                  <c:v>1.9956571492802819E-2</c:v>
                </c:pt>
                <c:pt idx="94">
                  <c:v>1.9997399175889566E-2</c:v>
                </c:pt>
                <c:pt idx="95">
                  <c:v>2.003736732880607E-2</c:v>
                </c:pt>
                <c:pt idx="96">
                  <c:v>2.0076502811870144E-2</c:v>
                </c:pt>
                <c:pt idx="97">
                  <c:v>2.0114831377757637E-2</c:v>
                </c:pt>
                <c:pt idx="98">
                  <c:v>2.015237772801478E-2</c:v>
                </c:pt>
                <c:pt idx="99">
                  <c:v>2.0189165566145507E-2</c:v>
                </c:pt>
                <c:pt idx="100">
                  <c:v>2.0225217647513626E-2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B-4A0B-B54E-5D43ECFC12A0}"/>
            </c:ext>
          </c:extLst>
        </c:ser>
        <c:ser>
          <c:idx val="0"/>
          <c:order val="1"/>
          <c:tx>
            <c:strRef>
              <c:f>NPpremie_inkomen!$AL$8:$AL$9</c:f>
              <c:strCache>
                <c:ptCount val="2"/>
                <c:pt idx="0">
                  <c:v>MvT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NPpremie_inkomen!$AL$10:$AL$110</c:f>
              <c:numCache>
                <c:formatCode>0.00%</c:formatCode>
                <c:ptCount val="101"/>
                <c:pt idx="0">
                  <c:v>1.8522531094211297E-2</c:v>
                </c:pt>
                <c:pt idx="1">
                  <c:v>1.8522531094211297E-2</c:v>
                </c:pt>
                <c:pt idx="2">
                  <c:v>1.8522531094211297E-2</c:v>
                </c:pt>
                <c:pt idx="3">
                  <c:v>1.8522531094211297E-2</c:v>
                </c:pt>
                <c:pt idx="4">
                  <c:v>1.8522531094211297E-2</c:v>
                </c:pt>
                <c:pt idx="5">
                  <c:v>1.8522531094211297E-2</c:v>
                </c:pt>
                <c:pt idx="6">
                  <c:v>1.8522531094211297E-2</c:v>
                </c:pt>
                <c:pt idx="7">
                  <c:v>1.8522531094211297E-2</c:v>
                </c:pt>
                <c:pt idx="8">
                  <c:v>1.8522531094211297E-2</c:v>
                </c:pt>
                <c:pt idx="9">
                  <c:v>1.8522531094211297E-2</c:v>
                </c:pt>
                <c:pt idx="10">
                  <c:v>1.8522531094211297E-2</c:v>
                </c:pt>
                <c:pt idx="11">
                  <c:v>1.8522531094211297E-2</c:v>
                </c:pt>
                <c:pt idx="12">
                  <c:v>1.8522531094211297E-2</c:v>
                </c:pt>
                <c:pt idx="13">
                  <c:v>1.8522531094211297E-2</c:v>
                </c:pt>
                <c:pt idx="14">
                  <c:v>1.8522531094211297E-2</c:v>
                </c:pt>
                <c:pt idx="15">
                  <c:v>1.8522531094211297E-2</c:v>
                </c:pt>
                <c:pt idx="16">
                  <c:v>1.8522531094211297E-2</c:v>
                </c:pt>
                <c:pt idx="17">
                  <c:v>1.8522531094211297E-2</c:v>
                </c:pt>
                <c:pt idx="18">
                  <c:v>1.8522531094211297E-2</c:v>
                </c:pt>
                <c:pt idx="19">
                  <c:v>1.8522531094211297E-2</c:v>
                </c:pt>
                <c:pt idx="20">
                  <c:v>1.8522531094211297E-2</c:v>
                </c:pt>
                <c:pt idx="21">
                  <c:v>1.8522531094211297E-2</c:v>
                </c:pt>
                <c:pt idx="22">
                  <c:v>1.8522531094211297E-2</c:v>
                </c:pt>
                <c:pt idx="23">
                  <c:v>1.8522531094211297E-2</c:v>
                </c:pt>
                <c:pt idx="24">
                  <c:v>1.8522531094211297E-2</c:v>
                </c:pt>
                <c:pt idx="25">
                  <c:v>1.8522531094211297E-2</c:v>
                </c:pt>
                <c:pt idx="26">
                  <c:v>1.8522531094211297E-2</c:v>
                </c:pt>
                <c:pt idx="27">
                  <c:v>1.8522531094211297E-2</c:v>
                </c:pt>
                <c:pt idx="28">
                  <c:v>1.8522531094211297E-2</c:v>
                </c:pt>
                <c:pt idx="29">
                  <c:v>1.8522531094211297E-2</c:v>
                </c:pt>
                <c:pt idx="30">
                  <c:v>1.8522531094211297E-2</c:v>
                </c:pt>
                <c:pt idx="31">
                  <c:v>1.8522531094211297E-2</c:v>
                </c:pt>
                <c:pt idx="32">
                  <c:v>1.8522531094211297E-2</c:v>
                </c:pt>
                <c:pt idx="33">
                  <c:v>1.8522531094211297E-2</c:v>
                </c:pt>
                <c:pt idx="34">
                  <c:v>1.8522531094211297E-2</c:v>
                </c:pt>
                <c:pt idx="35">
                  <c:v>1.8522531094211297E-2</c:v>
                </c:pt>
                <c:pt idx="36">
                  <c:v>1.8522531094211297E-2</c:v>
                </c:pt>
                <c:pt idx="37">
                  <c:v>1.8522531094211297E-2</c:v>
                </c:pt>
                <c:pt idx="38">
                  <c:v>1.8522531094211297E-2</c:v>
                </c:pt>
                <c:pt idx="39">
                  <c:v>1.8522531094211297E-2</c:v>
                </c:pt>
                <c:pt idx="40">
                  <c:v>1.8522531094211297E-2</c:v>
                </c:pt>
                <c:pt idx="41">
                  <c:v>1.8522531094211297E-2</c:v>
                </c:pt>
                <c:pt idx="42">
                  <c:v>1.8522531094211297E-2</c:v>
                </c:pt>
                <c:pt idx="43">
                  <c:v>1.8522531094211297E-2</c:v>
                </c:pt>
                <c:pt idx="44">
                  <c:v>1.8522531094211297E-2</c:v>
                </c:pt>
                <c:pt idx="45">
                  <c:v>1.8522531094211297E-2</c:v>
                </c:pt>
                <c:pt idx="46">
                  <c:v>1.8522531094211297E-2</c:v>
                </c:pt>
                <c:pt idx="47">
                  <c:v>1.8522531094211297E-2</c:v>
                </c:pt>
                <c:pt idx="48">
                  <c:v>1.8522531094211297E-2</c:v>
                </c:pt>
                <c:pt idx="49">
                  <c:v>1.8522531094211297E-2</c:v>
                </c:pt>
                <c:pt idx="50">
                  <c:v>1.8522531094211297E-2</c:v>
                </c:pt>
                <c:pt idx="51">
                  <c:v>1.8522531094211297E-2</c:v>
                </c:pt>
                <c:pt idx="52">
                  <c:v>1.8522531094211297E-2</c:v>
                </c:pt>
                <c:pt idx="53">
                  <c:v>1.8522531094211297E-2</c:v>
                </c:pt>
                <c:pt idx="54">
                  <c:v>1.8522531094211297E-2</c:v>
                </c:pt>
                <c:pt idx="55">
                  <c:v>1.8522531094211297E-2</c:v>
                </c:pt>
                <c:pt idx="56">
                  <c:v>1.8522531094211297E-2</c:v>
                </c:pt>
                <c:pt idx="57">
                  <c:v>1.8522531094211297E-2</c:v>
                </c:pt>
                <c:pt idx="58">
                  <c:v>1.8522531094211297E-2</c:v>
                </c:pt>
                <c:pt idx="59">
                  <c:v>1.8522531094211297E-2</c:v>
                </c:pt>
                <c:pt idx="60">
                  <c:v>1.8522531094211297E-2</c:v>
                </c:pt>
                <c:pt idx="61">
                  <c:v>1.8522531094211297E-2</c:v>
                </c:pt>
                <c:pt idx="62">
                  <c:v>1.8522531094211297E-2</c:v>
                </c:pt>
                <c:pt idx="63">
                  <c:v>1.8522531094211297E-2</c:v>
                </c:pt>
                <c:pt idx="64">
                  <c:v>1.8522531094211297E-2</c:v>
                </c:pt>
                <c:pt idx="65">
                  <c:v>1.8522531094211297E-2</c:v>
                </c:pt>
                <c:pt idx="66">
                  <c:v>1.8522531094211297E-2</c:v>
                </c:pt>
                <c:pt idx="67">
                  <c:v>1.8522531094211297E-2</c:v>
                </c:pt>
                <c:pt idx="68">
                  <c:v>1.8522531094211297E-2</c:v>
                </c:pt>
                <c:pt idx="69">
                  <c:v>1.8522531094211297E-2</c:v>
                </c:pt>
                <c:pt idx="70">
                  <c:v>1.8522531094211297E-2</c:v>
                </c:pt>
                <c:pt idx="71">
                  <c:v>1.8522531094211297E-2</c:v>
                </c:pt>
                <c:pt idx="72">
                  <c:v>1.8522531094211297E-2</c:v>
                </c:pt>
                <c:pt idx="73">
                  <c:v>1.8522531094211297E-2</c:v>
                </c:pt>
                <c:pt idx="74">
                  <c:v>1.8522531094211297E-2</c:v>
                </c:pt>
                <c:pt idx="75">
                  <c:v>1.8522531094211297E-2</c:v>
                </c:pt>
                <c:pt idx="76">
                  <c:v>1.8522531094211297E-2</c:v>
                </c:pt>
                <c:pt idx="77">
                  <c:v>1.8522531094211297E-2</c:v>
                </c:pt>
                <c:pt idx="78">
                  <c:v>1.8522531094211297E-2</c:v>
                </c:pt>
                <c:pt idx="79">
                  <c:v>1.8522531094211297E-2</c:v>
                </c:pt>
                <c:pt idx="80">
                  <c:v>1.8522531094211297E-2</c:v>
                </c:pt>
                <c:pt idx="81">
                  <c:v>1.8522531094211297E-2</c:v>
                </c:pt>
                <c:pt idx="82">
                  <c:v>1.8522531094211297E-2</c:v>
                </c:pt>
                <c:pt idx="83">
                  <c:v>1.8522531094211297E-2</c:v>
                </c:pt>
                <c:pt idx="84">
                  <c:v>1.8522531094211297E-2</c:v>
                </c:pt>
                <c:pt idx="85">
                  <c:v>1.8522531094211297E-2</c:v>
                </c:pt>
                <c:pt idx="86">
                  <c:v>1.8522531094211297E-2</c:v>
                </c:pt>
                <c:pt idx="87">
                  <c:v>1.8522531094211297E-2</c:v>
                </c:pt>
                <c:pt idx="88">
                  <c:v>1.8522531094211297E-2</c:v>
                </c:pt>
                <c:pt idx="89">
                  <c:v>1.8522531094211297E-2</c:v>
                </c:pt>
                <c:pt idx="90">
                  <c:v>1.8522531094211297E-2</c:v>
                </c:pt>
                <c:pt idx="91">
                  <c:v>1.8522531094211297E-2</c:v>
                </c:pt>
                <c:pt idx="92">
                  <c:v>1.8522531094211297E-2</c:v>
                </c:pt>
                <c:pt idx="93">
                  <c:v>1.8522531094211297E-2</c:v>
                </c:pt>
                <c:pt idx="94">
                  <c:v>1.8522531094211297E-2</c:v>
                </c:pt>
                <c:pt idx="95">
                  <c:v>1.8522531094211297E-2</c:v>
                </c:pt>
                <c:pt idx="96">
                  <c:v>1.8522531094211297E-2</c:v>
                </c:pt>
                <c:pt idx="97">
                  <c:v>1.8522531094211297E-2</c:v>
                </c:pt>
                <c:pt idx="98">
                  <c:v>1.8522531094211297E-2</c:v>
                </c:pt>
                <c:pt idx="99">
                  <c:v>1.8522531094211297E-2</c:v>
                </c:pt>
                <c:pt idx="100">
                  <c:v>1.8522531094211297E-2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B-4A0B-B54E-5D43ECFC12A0}"/>
            </c:ext>
          </c:extLst>
        </c:ser>
        <c:ser>
          <c:idx val="2"/>
          <c:order val="2"/>
          <c:tx>
            <c:strRef>
              <c:f>NPpremie_inkomen!$AO$8:$AO$9</c:f>
              <c:strCache>
                <c:ptCount val="2"/>
                <c:pt idx="0">
                  <c:v>MvT</c:v>
                </c:pt>
                <c:pt idx="1">
                  <c:v>x1, risico vanaf AOW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NPpremie_inkomen!$AO$10:$AO$110</c:f>
              <c:numCache>
                <c:formatCode>0.00%</c:formatCode>
                <c:ptCount val="101"/>
                <c:pt idx="0">
                  <c:v>2.5549282572145934E-2</c:v>
                </c:pt>
                <c:pt idx="1">
                  <c:v>2.5549282572145934E-2</c:v>
                </c:pt>
                <c:pt idx="2">
                  <c:v>2.5549282572145934E-2</c:v>
                </c:pt>
                <c:pt idx="3">
                  <c:v>2.5549282572145934E-2</c:v>
                </c:pt>
                <c:pt idx="4">
                  <c:v>2.5549282572145934E-2</c:v>
                </c:pt>
                <c:pt idx="5">
                  <c:v>2.5549282572145934E-2</c:v>
                </c:pt>
                <c:pt idx="6">
                  <c:v>2.5549282572145934E-2</c:v>
                </c:pt>
                <c:pt idx="7">
                  <c:v>2.5549282572145934E-2</c:v>
                </c:pt>
                <c:pt idx="8">
                  <c:v>2.5549282572145934E-2</c:v>
                </c:pt>
                <c:pt idx="9">
                  <c:v>2.5549282572145934E-2</c:v>
                </c:pt>
                <c:pt idx="10">
                  <c:v>2.5549282572145934E-2</c:v>
                </c:pt>
                <c:pt idx="11">
                  <c:v>2.5549282572145934E-2</c:v>
                </c:pt>
                <c:pt idx="12">
                  <c:v>2.5549282572145934E-2</c:v>
                </c:pt>
                <c:pt idx="13">
                  <c:v>2.5549282572145934E-2</c:v>
                </c:pt>
                <c:pt idx="14">
                  <c:v>2.5549282572145934E-2</c:v>
                </c:pt>
                <c:pt idx="15">
                  <c:v>2.5549282572145934E-2</c:v>
                </c:pt>
                <c:pt idx="16">
                  <c:v>2.5549282572145934E-2</c:v>
                </c:pt>
                <c:pt idx="17">
                  <c:v>2.5549282572145934E-2</c:v>
                </c:pt>
                <c:pt idx="18">
                  <c:v>2.5549282572145934E-2</c:v>
                </c:pt>
                <c:pt idx="19">
                  <c:v>2.5549282572145934E-2</c:v>
                </c:pt>
                <c:pt idx="20">
                  <c:v>2.5549282572145934E-2</c:v>
                </c:pt>
                <c:pt idx="21">
                  <c:v>2.5549282572145934E-2</c:v>
                </c:pt>
                <c:pt idx="22">
                  <c:v>2.5549282572145934E-2</c:v>
                </c:pt>
                <c:pt idx="23">
                  <c:v>2.5549282572145934E-2</c:v>
                </c:pt>
                <c:pt idx="24">
                  <c:v>2.5549282572145934E-2</c:v>
                </c:pt>
                <c:pt idx="25">
                  <c:v>2.5549282572145934E-2</c:v>
                </c:pt>
                <c:pt idx="26">
                  <c:v>2.5549282572145934E-2</c:v>
                </c:pt>
                <c:pt idx="27">
                  <c:v>2.5549282572145934E-2</c:v>
                </c:pt>
                <c:pt idx="28">
                  <c:v>2.5549282572145934E-2</c:v>
                </c:pt>
                <c:pt idx="29">
                  <c:v>2.5549282572145934E-2</c:v>
                </c:pt>
                <c:pt idx="30">
                  <c:v>2.5549282572145934E-2</c:v>
                </c:pt>
                <c:pt idx="31">
                  <c:v>2.5549282572145934E-2</c:v>
                </c:pt>
                <c:pt idx="32">
                  <c:v>2.5549282572145934E-2</c:v>
                </c:pt>
                <c:pt idx="33">
                  <c:v>2.5549282572145934E-2</c:v>
                </c:pt>
                <c:pt idx="34">
                  <c:v>2.5549282572145934E-2</c:v>
                </c:pt>
                <c:pt idx="35">
                  <c:v>2.5549282572145934E-2</c:v>
                </c:pt>
                <c:pt idx="36">
                  <c:v>2.5549282572145934E-2</c:v>
                </c:pt>
                <c:pt idx="37">
                  <c:v>2.5549282572145934E-2</c:v>
                </c:pt>
                <c:pt idx="38">
                  <c:v>2.5549282572145934E-2</c:v>
                </c:pt>
                <c:pt idx="39">
                  <c:v>2.5549282572145934E-2</c:v>
                </c:pt>
                <c:pt idx="40">
                  <c:v>2.5549282572145934E-2</c:v>
                </c:pt>
                <c:pt idx="41">
                  <c:v>2.5549282572145934E-2</c:v>
                </c:pt>
                <c:pt idx="42">
                  <c:v>2.5549282572145934E-2</c:v>
                </c:pt>
                <c:pt idx="43">
                  <c:v>2.5549282572145934E-2</c:v>
                </c:pt>
                <c:pt idx="44">
                  <c:v>2.5549282572145934E-2</c:v>
                </c:pt>
                <c:pt idx="45">
                  <c:v>2.5549282572145934E-2</c:v>
                </c:pt>
                <c:pt idx="46">
                  <c:v>2.5549282572145934E-2</c:v>
                </c:pt>
                <c:pt idx="47">
                  <c:v>2.5549282572145934E-2</c:v>
                </c:pt>
                <c:pt idx="48">
                  <c:v>2.5549282572145934E-2</c:v>
                </c:pt>
                <c:pt idx="49">
                  <c:v>2.5549282572145934E-2</c:v>
                </c:pt>
                <c:pt idx="50">
                  <c:v>2.5549282572145934E-2</c:v>
                </c:pt>
                <c:pt idx="51">
                  <c:v>2.5549282572145934E-2</c:v>
                </c:pt>
                <c:pt idx="52">
                  <c:v>2.5549282572145934E-2</c:v>
                </c:pt>
                <c:pt idx="53">
                  <c:v>2.5549282572145934E-2</c:v>
                </c:pt>
                <c:pt idx="54">
                  <c:v>2.5549282572145934E-2</c:v>
                </c:pt>
                <c:pt idx="55">
                  <c:v>2.5549282572145934E-2</c:v>
                </c:pt>
                <c:pt idx="56">
                  <c:v>2.5549282572145934E-2</c:v>
                </c:pt>
                <c:pt idx="57">
                  <c:v>2.5549282572145934E-2</c:v>
                </c:pt>
                <c:pt idx="58">
                  <c:v>2.5549282572145934E-2</c:v>
                </c:pt>
                <c:pt idx="59">
                  <c:v>2.5549282572145934E-2</c:v>
                </c:pt>
                <c:pt idx="60">
                  <c:v>2.5549282572145934E-2</c:v>
                </c:pt>
                <c:pt idx="61">
                  <c:v>2.5549282572145934E-2</c:v>
                </c:pt>
                <c:pt idx="62">
                  <c:v>2.5549282572145934E-2</c:v>
                </c:pt>
                <c:pt idx="63">
                  <c:v>2.5549282572145934E-2</c:v>
                </c:pt>
                <c:pt idx="64">
                  <c:v>2.5549282572145934E-2</c:v>
                </c:pt>
                <c:pt idx="65">
                  <c:v>2.5549282572145934E-2</c:v>
                </c:pt>
                <c:pt idx="66">
                  <c:v>2.5549282572145934E-2</c:v>
                </c:pt>
                <c:pt idx="67">
                  <c:v>2.5549282572145934E-2</c:v>
                </c:pt>
                <c:pt idx="68">
                  <c:v>2.5549282572145934E-2</c:v>
                </c:pt>
                <c:pt idx="69">
                  <c:v>2.5549282572145934E-2</c:v>
                </c:pt>
                <c:pt idx="70">
                  <c:v>2.5549282572145934E-2</c:v>
                </c:pt>
                <c:pt idx="71">
                  <c:v>2.5549282572145934E-2</c:v>
                </c:pt>
                <c:pt idx="72">
                  <c:v>2.5549282572145934E-2</c:v>
                </c:pt>
                <c:pt idx="73">
                  <c:v>2.5549282572145934E-2</c:v>
                </c:pt>
                <c:pt idx="74">
                  <c:v>2.5549282572145934E-2</c:v>
                </c:pt>
                <c:pt idx="75">
                  <c:v>2.5549282572145934E-2</c:v>
                </c:pt>
                <c:pt idx="76">
                  <c:v>2.5549282572145934E-2</c:v>
                </c:pt>
                <c:pt idx="77">
                  <c:v>2.5549282572145934E-2</c:v>
                </c:pt>
                <c:pt idx="78">
                  <c:v>2.5549282572145934E-2</c:v>
                </c:pt>
                <c:pt idx="79">
                  <c:v>2.5549282572145934E-2</c:v>
                </c:pt>
                <c:pt idx="80">
                  <c:v>2.5549282572145934E-2</c:v>
                </c:pt>
                <c:pt idx="81">
                  <c:v>2.5549282572145934E-2</c:v>
                </c:pt>
                <c:pt idx="82">
                  <c:v>2.5549282572145934E-2</c:v>
                </c:pt>
                <c:pt idx="83">
                  <c:v>2.5549282572145934E-2</c:v>
                </c:pt>
                <c:pt idx="84">
                  <c:v>2.5549282572145934E-2</c:v>
                </c:pt>
                <c:pt idx="85">
                  <c:v>2.5549282572145934E-2</c:v>
                </c:pt>
                <c:pt idx="86">
                  <c:v>2.5549282572145934E-2</c:v>
                </c:pt>
                <c:pt idx="87">
                  <c:v>2.5549282572145934E-2</c:v>
                </c:pt>
                <c:pt idx="88">
                  <c:v>2.5549282572145934E-2</c:v>
                </c:pt>
                <c:pt idx="89">
                  <c:v>2.5549282572145934E-2</c:v>
                </c:pt>
                <c:pt idx="90">
                  <c:v>2.5549282572145934E-2</c:v>
                </c:pt>
                <c:pt idx="91">
                  <c:v>2.5549282572145934E-2</c:v>
                </c:pt>
                <c:pt idx="92">
                  <c:v>2.5549282572145934E-2</c:v>
                </c:pt>
                <c:pt idx="93">
                  <c:v>2.5549282572145934E-2</c:v>
                </c:pt>
                <c:pt idx="94">
                  <c:v>2.5549282572145934E-2</c:v>
                </c:pt>
                <c:pt idx="95">
                  <c:v>2.5549282572145934E-2</c:v>
                </c:pt>
                <c:pt idx="96">
                  <c:v>2.5549282572145934E-2</c:v>
                </c:pt>
                <c:pt idx="97">
                  <c:v>2.5549282572145934E-2</c:v>
                </c:pt>
                <c:pt idx="98">
                  <c:v>2.5549282572145934E-2</c:v>
                </c:pt>
                <c:pt idx="99">
                  <c:v>2.5549282572145934E-2</c:v>
                </c:pt>
                <c:pt idx="100">
                  <c:v>2.5549282572145934E-2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EB-4A0B-B54E-5D43ECFC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NPpremie_inkomen!$AA$9</c:f>
          <c:strCache>
            <c:ptCount val="1"/>
            <c:pt idx="0">
              <c:v>Uitkeringsknip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NPpremie_inkomen!$AP$8:$AP$9</c:f>
              <c:strCache>
                <c:ptCount val="2"/>
                <c:pt idx="0">
                  <c:v>Uitkeringsknip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NPpremie_inkomen!$AP$10:$AP$110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2.1373131512684991E-3</c:v>
                </c:pt>
                <c:pt idx="17">
                  <c:v>4.0231776965054099E-3</c:v>
                </c:pt>
                <c:pt idx="18">
                  <c:v>5.6995017367159973E-3</c:v>
                </c:pt>
                <c:pt idx="19">
                  <c:v>7.1993706147991552E-3</c:v>
                </c:pt>
                <c:pt idx="20">
                  <c:v>8.5492526050739964E-3</c:v>
                </c:pt>
                <c:pt idx="21">
                  <c:v>9.7705744057988517E-3</c:v>
                </c:pt>
                <c:pt idx="22">
                  <c:v>1.0880866951912359E-2</c:v>
                </c:pt>
                <c:pt idx="23">
                  <c:v>1.1894612320102952E-2</c:v>
                </c:pt>
                <c:pt idx="24">
                  <c:v>1.2823878907610995E-2</c:v>
                </c:pt>
                <c:pt idx="25">
                  <c:v>1.3678804168118395E-2</c:v>
                </c:pt>
                <c:pt idx="26">
                  <c:v>1.4467965947048302E-2</c:v>
                </c:pt>
                <c:pt idx="27">
                  <c:v>1.5198671297909326E-2</c:v>
                </c:pt>
                <c:pt idx="28">
                  <c:v>1.5877183409423134E-2</c:v>
                </c:pt>
                <c:pt idx="29">
                  <c:v>1.6508901582211855E-2</c:v>
                </c:pt>
                <c:pt idx="30">
                  <c:v>1.7098505210147993E-2</c:v>
                </c:pt>
                <c:pt idx="31">
                  <c:v>1.7650069894346317E-2</c:v>
                </c:pt>
                <c:pt idx="32">
                  <c:v>1.8167161785782242E-2</c:v>
                </c:pt>
                <c:pt idx="33">
                  <c:v>1.8652914774706902E-2</c:v>
                </c:pt>
                <c:pt idx="34">
                  <c:v>1.9110094058400699E-2</c:v>
                </c:pt>
                <c:pt idx="35">
                  <c:v>1.9541148811597707E-2</c:v>
                </c:pt>
                <c:pt idx="36">
                  <c:v>1.9948256078505991E-2</c:v>
                </c:pt>
                <c:pt idx="37">
                  <c:v>2.0333357547203019E-2</c:v>
                </c:pt>
                <c:pt idx="38">
                  <c:v>2.0698190517547572E-2</c:v>
                </c:pt>
                <c:pt idx="39">
                  <c:v>2.104431410479753E-2</c:v>
                </c:pt>
                <c:pt idx="40">
                  <c:v>2.1373131512684988E-2</c:v>
                </c:pt>
                <c:pt idx="41">
                  <c:v>2.1685909047016966E-2</c:v>
                </c:pt>
                <c:pt idx="42">
                  <c:v>2.1983792413047418E-2</c:v>
                </c:pt>
                <c:pt idx="43">
                  <c:v>2.2267820738797385E-2</c:v>
                </c:pt>
                <c:pt idx="44">
                  <c:v>2.2538938686104171E-2</c:v>
                </c:pt>
                <c:pt idx="45">
                  <c:v>2.2798006946863989E-2</c:v>
                </c:pt>
                <c:pt idx="46">
                  <c:v>2.3045811370199468E-2</c:v>
                </c:pt>
                <c:pt idx="47">
                  <c:v>2.328307092445684E-2</c:v>
                </c:pt>
                <c:pt idx="48">
                  <c:v>2.3510444663953491E-2</c:v>
                </c:pt>
                <c:pt idx="49">
                  <c:v>2.3728537842654357E-2</c:v>
                </c:pt>
                <c:pt idx="50">
                  <c:v>2.3937907294207191E-2</c:v>
                </c:pt>
                <c:pt idx="51">
                  <c:v>2.413906617903246E-2</c:v>
                </c:pt>
                <c:pt idx="52">
                  <c:v>2.4332488183672143E-2</c:v>
                </c:pt>
                <c:pt idx="53">
                  <c:v>2.4518611244740519E-2</c:v>
                </c:pt>
                <c:pt idx="54">
                  <c:v>2.4697840859102656E-2</c:v>
                </c:pt>
                <c:pt idx="55">
                  <c:v>2.4870553032942534E-2</c:v>
                </c:pt>
                <c:pt idx="56">
                  <c:v>2.5037096914859561E-2</c:v>
                </c:pt>
                <c:pt idx="57">
                  <c:v>2.5197797151797045E-2</c:v>
                </c:pt>
                <c:pt idx="58">
                  <c:v>2.535295600125392E-2</c:v>
                </c:pt>
                <c:pt idx="59">
                  <c:v>2.5502855228695314E-2</c:v>
                </c:pt>
                <c:pt idx="60">
                  <c:v>2.5647757815221991E-2</c:v>
                </c:pt>
                <c:pt idx="61">
                  <c:v>2.5787909497272384E-2</c:v>
                </c:pt>
                <c:pt idx="62">
                  <c:v>2.5923540157321151E-2</c:v>
                </c:pt>
                <c:pt idx="63">
                  <c:v>2.6054865082130271E-2</c:v>
                </c:pt>
                <c:pt idx="64">
                  <c:v>2.6182086103039112E-2</c:v>
                </c:pt>
                <c:pt idx="65">
                  <c:v>2.6305392630996911E-2</c:v>
                </c:pt>
                <c:pt idx="66">
                  <c:v>2.642496259750144E-2</c:v>
                </c:pt>
                <c:pt idx="67">
                  <c:v>2.6540963311274497E-2</c:v>
                </c:pt>
                <c:pt idx="68">
                  <c:v>2.665355223934834E-2</c:v>
                </c:pt>
                <c:pt idx="69">
                  <c:v>2.6762877720231639E-2</c:v>
                </c:pt>
                <c:pt idx="70">
                  <c:v>2.6869079615946846E-2</c:v>
                </c:pt>
                <c:pt idx="71">
                  <c:v>2.6972289908965847E-2</c:v>
                </c:pt>
                <c:pt idx="72">
                  <c:v>2.7072633249400988E-2</c:v>
                </c:pt>
                <c:pt idx="73">
                  <c:v>2.7170227457221467E-2</c:v>
                </c:pt>
                <c:pt idx="74">
                  <c:v>2.72651839837495E-2</c:v>
                </c:pt>
                <c:pt idx="75">
                  <c:v>2.7357608336236787E-2</c:v>
                </c:pt>
                <c:pt idx="76">
                  <c:v>2.7447600468921779E-2</c:v>
                </c:pt>
                <c:pt idx="77">
                  <c:v>2.7535255143614948E-2</c:v>
                </c:pt>
                <c:pt idx="78">
                  <c:v>2.7620662262546756E-2</c:v>
                </c:pt>
                <c:pt idx="79">
                  <c:v>2.7703907175935988E-2</c:v>
                </c:pt>
                <c:pt idx="80">
                  <c:v>2.7785070966490487E-2</c:v>
                </c:pt>
                <c:pt idx="81">
                  <c:v>2.7864230712833764E-2</c:v>
                </c:pt>
                <c:pt idx="82">
                  <c:v>2.7941459733656478E-2</c:v>
                </c:pt>
                <c:pt idx="83">
                  <c:v>2.8016827814218399E-2</c:v>
                </c:pt>
                <c:pt idx="84">
                  <c:v>2.8090401416671702E-2</c:v>
                </c:pt>
                <c:pt idx="85">
                  <c:v>2.8162243875537871E-2</c:v>
                </c:pt>
                <c:pt idx="86">
                  <c:v>2.8232415579546685E-2</c:v>
                </c:pt>
                <c:pt idx="87">
                  <c:v>2.8300974140934611E-2</c:v>
                </c:pt>
                <c:pt idx="88">
                  <c:v>2.836797455320008E-2</c:v>
                </c:pt>
                <c:pt idx="89">
                  <c:v>2.8433469338223629E-2</c:v>
                </c:pt>
                <c:pt idx="90">
                  <c:v>2.8497508683579989E-2</c:v>
                </c:pt>
                <c:pt idx="91">
                  <c:v>2.8560140570796647E-2</c:v>
                </c:pt>
                <c:pt idx="92">
                  <c:v>2.8621410895247727E-2</c:v>
                </c:pt>
                <c:pt idx="93">
                  <c:v>2.8681363578312764E-2</c:v>
                </c:pt>
                <c:pt idx="94">
                  <c:v>2.8740040672376413E-2</c:v>
                </c:pt>
                <c:pt idx="95">
                  <c:v>2.8797482459196621E-2</c:v>
                </c:pt>
                <c:pt idx="96">
                  <c:v>2.885372754212474E-2</c:v>
                </c:pt>
                <c:pt idx="97">
                  <c:v>2.8908812932621351E-2</c:v>
                </c:pt>
                <c:pt idx="98">
                  <c:v>2.8962774131475171E-2</c:v>
                </c:pt>
                <c:pt idx="99">
                  <c:v>2.9015645205099624E-2</c:v>
                </c:pt>
                <c:pt idx="100">
                  <c:v>2.906745885725159E-2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C-4CC8-B222-41EB113D59F0}"/>
            </c:ext>
          </c:extLst>
        </c:ser>
        <c:ser>
          <c:idx val="0"/>
          <c:order val="1"/>
          <c:tx>
            <c:strRef>
              <c:f>NPpremie_inkomen!$AQ$8:$AQ$9</c:f>
              <c:strCache>
                <c:ptCount val="2"/>
                <c:pt idx="0">
                  <c:v>Uitkeringsknip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NPpremie_inkomen!$AQ$10:$AQ$110</c:f>
              <c:numCache>
                <c:formatCode>0.00%</c:formatCode>
                <c:ptCount val="101"/>
                <c:pt idx="0">
                  <c:v>1.8522531094211297E-2</c:v>
                </c:pt>
                <c:pt idx="1">
                  <c:v>1.8522531094211297E-2</c:v>
                </c:pt>
                <c:pt idx="2">
                  <c:v>1.8522531094211297E-2</c:v>
                </c:pt>
                <c:pt idx="3">
                  <c:v>1.8522531094211297E-2</c:v>
                </c:pt>
                <c:pt idx="4">
                  <c:v>1.8522531094211297E-2</c:v>
                </c:pt>
                <c:pt idx="5">
                  <c:v>1.8522531094211297E-2</c:v>
                </c:pt>
                <c:pt idx="6">
                  <c:v>1.8522531094211297E-2</c:v>
                </c:pt>
                <c:pt idx="7">
                  <c:v>1.8522531094211297E-2</c:v>
                </c:pt>
                <c:pt idx="8">
                  <c:v>1.8522531094211297E-2</c:v>
                </c:pt>
                <c:pt idx="9">
                  <c:v>1.8522531094211297E-2</c:v>
                </c:pt>
                <c:pt idx="10">
                  <c:v>1.8522531094211297E-2</c:v>
                </c:pt>
                <c:pt idx="11">
                  <c:v>1.8522531094211297E-2</c:v>
                </c:pt>
                <c:pt idx="12">
                  <c:v>1.8522531094211297E-2</c:v>
                </c:pt>
                <c:pt idx="13">
                  <c:v>1.8522531094211297E-2</c:v>
                </c:pt>
                <c:pt idx="14">
                  <c:v>1.8522531094211297E-2</c:v>
                </c:pt>
                <c:pt idx="15">
                  <c:v>1.8522531094211297E-2</c:v>
                </c:pt>
                <c:pt idx="16">
                  <c:v>1.8522531094211297E-2</c:v>
                </c:pt>
                <c:pt idx="17">
                  <c:v>1.8522531094211297E-2</c:v>
                </c:pt>
                <c:pt idx="18">
                  <c:v>1.8522531094211297E-2</c:v>
                </c:pt>
                <c:pt idx="19">
                  <c:v>1.8522531094211297E-2</c:v>
                </c:pt>
                <c:pt idx="20">
                  <c:v>1.8522531094211297E-2</c:v>
                </c:pt>
                <c:pt idx="21">
                  <c:v>1.8522531094211297E-2</c:v>
                </c:pt>
                <c:pt idx="22">
                  <c:v>1.8522531094211297E-2</c:v>
                </c:pt>
                <c:pt idx="23">
                  <c:v>1.8522531094211297E-2</c:v>
                </c:pt>
                <c:pt idx="24">
                  <c:v>1.8522531094211297E-2</c:v>
                </c:pt>
                <c:pt idx="25">
                  <c:v>1.8522531094211297E-2</c:v>
                </c:pt>
                <c:pt idx="26">
                  <c:v>1.8522531094211297E-2</c:v>
                </c:pt>
                <c:pt idx="27">
                  <c:v>1.8522531094211297E-2</c:v>
                </c:pt>
                <c:pt idx="28">
                  <c:v>1.8522531094211297E-2</c:v>
                </c:pt>
                <c:pt idx="29">
                  <c:v>1.8522531094211297E-2</c:v>
                </c:pt>
                <c:pt idx="30">
                  <c:v>1.8522531094211297E-2</c:v>
                </c:pt>
                <c:pt idx="31">
                  <c:v>1.8522531094211297E-2</c:v>
                </c:pt>
                <c:pt idx="32">
                  <c:v>1.8522531094211297E-2</c:v>
                </c:pt>
                <c:pt idx="33">
                  <c:v>1.8522531094211297E-2</c:v>
                </c:pt>
                <c:pt idx="34">
                  <c:v>1.8522531094211297E-2</c:v>
                </c:pt>
                <c:pt idx="35">
                  <c:v>1.8522531094211297E-2</c:v>
                </c:pt>
                <c:pt idx="36">
                  <c:v>1.8522531094211297E-2</c:v>
                </c:pt>
                <c:pt idx="37">
                  <c:v>1.8522531094211297E-2</c:v>
                </c:pt>
                <c:pt idx="38">
                  <c:v>1.8522531094211297E-2</c:v>
                </c:pt>
                <c:pt idx="39">
                  <c:v>1.8522531094211297E-2</c:v>
                </c:pt>
                <c:pt idx="40">
                  <c:v>1.8522531094211297E-2</c:v>
                </c:pt>
                <c:pt idx="41">
                  <c:v>1.8522531094211297E-2</c:v>
                </c:pt>
                <c:pt idx="42">
                  <c:v>1.8522531094211297E-2</c:v>
                </c:pt>
                <c:pt idx="43">
                  <c:v>1.8522531094211297E-2</c:v>
                </c:pt>
                <c:pt idx="44">
                  <c:v>1.8522531094211297E-2</c:v>
                </c:pt>
                <c:pt idx="45">
                  <c:v>1.8522531094211297E-2</c:v>
                </c:pt>
                <c:pt idx="46">
                  <c:v>1.8522531094211297E-2</c:v>
                </c:pt>
                <c:pt idx="47">
                  <c:v>1.8522531094211297E-2</c:v>
                </c:pt>
                <c:pt idx="48">
                  <c:v>1.8522531094211297E-2</c:v>
                </c:pt>
                <c:pt idx="49">
                  <c:v>1.8522531094211297E-2</c:v>
                </c:pt>
                <c:pt idx="50">
                  <c:v>1.8522531094211297E-2</c:v>
                </c:pt>
                <c:pt idx="51">
                  <c:v>1.8522531094211297E-2</c:v>
                </c:pt>
                <c:pt idx="52">
                  <c:v>1.8522531094211297E-2</c:v>
                </c:pt>
                <c:pt idx="53">
                  <c:v>1.8522531094211297E-2</c:v>
                </c:pt>
                <c:pt idx="54">
                  <c:v>1.8522531094211297E-2</c:v>
                </c:pt>
                <c:pt idx="55">
                  <c:v>1.8522531094211297E-2</c:v>
                </c:pt>
                <c:pt idx="56">
                  <c:v>1.8522531094211297E-2</c:v>
                </c:pt>
                <c:pt idx="57">
                  <c:v>1.8522531094211297E-2</c:v>
                </c:pt>
                <c:pt idx="58">
                  <c:v>1.8522531094211297E-2</c:v>
                </c:pt>
                <c:pt idx="59">
                  <c:v>1.8522531094211297E-2</c:v>
                </c:pt>
                <c:pt idx="60">
                  <c:v>1.8522531094211297E-2</c:v>
                </c:pt>
                <c:pt idx="61">
                  <c:v>1.8522531094211297E-2</c:v>
                </c:pt>
                <c:pt idx="62">
                  <c:v>1.8522531094211297E-2</c:v>
                </c:pt>
                <c:pt idx="63">
                  <c:v>1.8522531094211297E-2</c:v>
                </c:pt>
                <c:pt idx="64">
                  <c:v>1.8522531094211297E-2</c:v>
                </c:pt>
                <c:pt idx="65">
                  <c:v>1.8522531094211297E-2</c:v>
                </c:pt>
                <c:pt idx="66">
                  <c:v>1.8522531094211297E-2</c:v>
                </c:pt>
                <c:pt idx="67">
                  <c:v>1.8522531094211297E-2</c:v>
                </c:pt>
                <c:pt idx="68">
                  <c:v>1.8522531094211297E-2</c:v>
                </c:pt>
                <c:pt idx="69">
                  <c:v>1.8522531094211297E-2</c:v>
                </c:pt>
                <c:pt idx="70">
                  <c:v>1.8522531094211297E-2</c:v>
                </c:pt>
                <c:pt idx="71">
                  <c:v>1.8522531094211297E-2</c:v>
                </c:pt>
                <c:pt idx="72">
                  <c:v>1.8522531094211297E-2</c:v>
                </c:pt>
                <c:pt idx="73">
                  <c:v>1.8522531094211297E-2</c:v>
                </c:pt>
                <c:pt idx="74">
                  <c:v>1.8522531094211297E-2</c:v>
                </c:pt>
                <c:pt idx="75">
                  <c:v>1.8522531094211297E-2</c:v>
                </c:pt>
                <c:pt idx="76">
                  <c:v>1.8522531094211297E-2</c:v>
                </c:pt>
                <c:pt idx="77">
                  <c:v>1.8522531094211297E-2</c:v>
                </c:pt>
                <c:pt idx="78">
                  <c:v>1.8522531094211297E-2</c:v>
                </c:pt>
                <c:pt idx="79">
                  <c:v>1.8522531094211297E-2</c:v>
                </c:pt>
                <c:pt idx="80">
                  <c:v>1.8522531094211297E-2</c:v>
                </c:pt>
                <c:pt idx="81">
                  <c:v>1.8522531094211297E-2</c:v>
                </c:pt>
                <c:pt idx="82">
                  <c:v>1.8522531094211297E-2</c:v>
                </c:pt>
                <c:pt idx="83">
                  <c:v>1.8522531094211297E-2</c:v>
                </c:pt>
                <c:pt idx="84">
                  <c:v>1.8522531094211297E-2</c:v>
                </c:pt>
                <c:pt idx="85">
                  <c:v>1.8522531094211297E-2</c:v>
                </c:pt>
                <c:pt idx="86">
                  <c:v>1.8522531094211297E-2</c:v>
                </c:pt>
                <c:pt idx="87">
                  <c:v>1.8522531094211297E-2</c:v>
                </c:pt>
                <c:pt idx="88">
                  <c:v>1.8522531094211297E-2</c:v>
                </c:pt>
                <c:pt idx="89">
                  <c:v>1.8522531094211297E-2</c:v>
                </c:pt>
                <c:pt idx="90">
                  <c:v>1.8522531094211297E-2</c:v>
                </c:pt>
                <c:pt idx="91">
                  <c:v>1.8522531094211297E-2</c:v>
                </c:pt>
                <c:pt idx="92">
                  <c:v>1.8522531094211297E-2</c:v>
                </c:pt>
                <c:pt idx="93">
                  <c:v>1.8522531094211297E-2</c:v>
                </c:pt>
                <c:pt idx="94">
                  <c:v>1.8522531094211297E-2</c:v>
                </c:pt>
                <c:pt idx="95">
                  <c:v>1.8522531094211297E-2</c:v>
                </c:pt>
                <c:pt idx="96">
                  <c:v>1.8522531094211297E-2</c:v>
                </c:pt>
                <c:pt idx="97">
                  <c:v>1.8522531094211297E-2</c:v>
                </c:pt>
                <c:pt idx="98">
                  <c:v>1.8522531094211297E-2</c:v>
                </c:pt>
                <c:pt idx="99">
                  <c:v>1.8522531094211297E-2</c:v>
                </c:pt>
                <c:pt idx="100">
                  <c:v>1.8522531094211297E-2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C-4CC8-B222-41EB113D59F0}"/>
            </c:ext>
          </c:extLst>
        </c:ser>
        <c:ser>
          <c:idx val="2"/>
          <c:order val="2"/>
          <c:tx>
            <c:strRef>
              <c:f>NPpremie_inkomen!$AR$8:$AR$9</c:f>
              <c:strCache>
                <c:ptCount val="2"/>
                <c:pt idx="0">
                  <c:v>Uitkeringsknip</c:v>
                </c:pt>
                <c:pt idx="1">
                  <c:v>bereikbaar na AOW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NPpremie_inkomen!$AR$10:$AR$110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3.1050867578854419E-4</c:v>
                </c:pt>
                <c:pt idx="17">
                  <c:v>5.8448691913137729E-4</c:v>
                </c:pt>
                <c:pt idx="18">
                  <c:v>8.2802313543611783E-4</c:v>
                </c:pt>
                <c:pt idx="19">
                  <c:v>1.0459239605508856E-3</c:v>
                </c:pt>
                <c:pt idx="20">
                  <c:v>1.2420347031541767E-3</c:v>
                </c:pt>
                <c:pt idx="21">
                  <c:v>1.419468232176202E-3</c:v>
                </c:pt>
                <c:pt idx="22">
                  <c:v>1.5807714403780432E-3</c:v>
                </c:pt>
                <c:pt idx="23">
                  <c:v>1.7280482826492894E-3</c:v>
                </c:pt>
                <c:pt idx="24">
                  <c:v>1.8630520547312651E-3</c:v>
                </c:pt>
                <c:pt idx="25">
                  <c:v>1.9872555250466826E-3</c:v>
                </c:pt>
                <c:pt idx="26">
                  <c:v>2.1019048822609144E-3</c:v>
                </c:pt>
                <c:pt idx="27">
                  <c:v>2.2080616944963141E-3</c:v>
                </c:pt>
                <c:pt idx="28">
                  <c:v>2.3066358772863282E-3</c:v>
                </c:pt>
                <c:pt idx="29">
                  <c:v>2.3984118405735826E-3</c:v>
                </c:pt>
                <c:pt idx="30">
                  <c:v>2.4840694063083535E-3</c:v>
                </c:pt>
                <c:pt idx="31">
                  <c:v>2.5642006774795906E-3</c:v>
                </c:pt>
                <c:pt idx="32">
                  <c:v>2.6393237442026256E-3</c:v>
                </c:pt>
                <c:pt idx="33">
                  <c:v>2.7098938977909311E-3</c:v>
                </c:pt>
                <c:pt idx="34">
                  <c:v>2.7763128658740421E-3</c:v>
                </c:pt>
                <c:pt idx="35">
                  <c:v>2.838936464352404E-3</c:v>
                </c:pt>
                <c:pt idx="36">
                  <c:v>2.8980809740264124E-3</c:v>
                </c:pt>
                <c:pt idx="37">
                  <c:v>2.9540284831775015E-3</c:v>
                </c:pt>
                <c:pt idx="38">
                  <c:v>3.0070313865837965E-3</c:v>
                </c:pt>
                <c:pt idx="39">
                  <c:v>3.0573161923795121E-3</c:v>
                </c:pt>
                <c:pt idx="40">
                  <c:v>3.1050867578854419E-3</c:v>
                </c:pt>
                <c:pt idx="41">
                  <c:v>3.1505270519032774E-3</c:v>
                </c:pt>
                <c:pt idx="42">
                  <c:v>3.1938035223964545E-3</c:v>
                </c:pt>
                <c:pt idx="43">
                  <c:v>3.2350671337969257E-3</c:v>
                </c:pt>
                <c:pt idx="44">
                  <c:v>3.274455126497375E-3</c:v>
                </c:pt>
                <c:pt idx="45">
                  <c:v>3.3120925417444713E-3</c:v>
                </c:pt>
                <c:pt idx="46">
                  <c:v>3.3480935476329983E-3</c:v>
                </c:pt>
                <c:pt idx="47">
                  <c:v>3.3825625958241409E-3</c:v>
                </c:pt>
                <c:pt idx="48">
                  <c:v>3.415595433673986E-3</c:v>
                </c:pt>
                <c:pt idx="49">
                  <c:v>3.4472799924279191E-3</c:v>
                </c:pt>
                <c:pt idx="50">
                  <c:v>3.4776971688316948E-3</c:v>
                </c:pt>
                <c:pt idx="51">
                  <c:v>3.5069215147882637E-3</c:v>
                </c:pt>
                <c:pt idx="52">
                  <c:v>3.5350218474388107E-3</c:v>
                </c:pt>
                <c:pt idx="53">
                  <c:v>3.5620617901780164E-3</c:v>
                </c:pt>
                <c:pt idx="54">
                  <c:v>3.5881002535565107E-3</c:v>
                </c:pt>
                <c:pt idx="55">
                  <c:v>3.6131918637212416E-3</c:v>
                </c:pt>
                <c:pt idx="56">
                  <c:v>3.6373873449515176E-3</c:v>
                </c:pt>
                <c:pt idx="57">
                  <c:v>3.6607338619280999E-3</c:v>
                </c:pt>
                <c:pt idx="58">
                  <c:v>3.6832753265951448E-3</c:v>
                </c:pt>
                <c:pt idx="59">
                  <c:v>3.7050526738158494E-3</c:v>
                </c:pt>
                <c:pt idx="60">
                  <c:v>3.7261041094625302E-3</c:v>
                </c:pt>
                <c:pt idx="61">
                  <c:v>3.7464653341044022E-3</c:v>
                </c:pt>
                <c:pt idx="62">
                  <c:v>3.7661697450481488E-3</c:v>
                </c:pt>
                <c:pt idx="63">
                  <c:v>3.7852486191365387E-3</c:v>
                </c:pt>
                <c:pt idx="64">
                  <c:v>3.8037312784096663E-3</c:v>
                </c:pt>
                <c:pt idx="65">
                  <c:v>3.8216452404743898E-3</c:v>
                </c:pt>
                <c:pt idx="66">
                  <c:v>3.8390163552038188E-3</c:v>
                </c:pt>
                <c:pt idx="67">
                  <c:v>3.8558689291950561E-3</c:v>
                </c:pt>
                <c:pt idx="68">
                  <c:v>3.8722258392453746E-3</c:v>
                </c:pt>
                <c:pt idx="69">
                  <c:v>3.8881086359609011E-3</c:v>
                </c:pt>
                <c:pt idx="70">
                  <c:v>3.9035376384845555E-3</c:v>
                </c:pt>
                <c:pt idx="71">
                  <c:v>3.9185320212188112E-3</c:v>
                </c:pt>
                <c:pt idx="72">
                  <c:v>3.9331098933215597E-3</c:v>
                </c:pt>
                <c:pt idx="73">
                  <c:v>3.9472883716680689E-3</c:v>
                </c:pt>
                <c:pt idx="74">
                  <c:v>3.9610836478971038E-3</c:v>
                </c:pt>
                <c:pt idx="75">
                  <c:v>3.9745110500933652E-3</c:v>
                </c:pt>
                <c:pt idx="76">
                  <c:v>3.9875850996002517E-3</c:v>
                </c:pt>
                <c:pt idx="77">
                  <c:v>4.0003195634056602E-3</c:v>
                </c:pt>
                <c:pt idx="78">
                  <c:v>4.0127275024981097E-3</c:v>
                </c:pt>
                <c:pt idx="79">
                  <c:v>4.024821316550244E-3</c:v>
                </c:pt>
                <c:pt idx="80">
                  <c:v>4.0366127852510744E-3</c:v>
                </c:pt>
                <c:pt idx="81">
                  <c:v>4.0481131065765764E-3</c:v>
                </c:pt>
                <c:pt idx="82">
                  <c:v>4.059332932259992E-3</c:v>
                </c:pt>
                <c:pt idx="83">
                  <c:v>4.0702824006980248E-3</c:v>
                </c:pt>
                <c:pt idx="84">
                  <c:v>4.0809711675065807E-3</c:v>
                </c:pt>
                <c:pt idx="85">
                  <c:v>4.091408433919641E-3</c:v>
                </c:pt>
                <c:pt idx="86">
                  <c:v>4.1016029732068165E-3</c:v>
                </c:pt>
                <c:pt idx="87">
                  <c:v>4.1115631552689985E-3</c:v>
                </c:pt>
                <c:pt idx="88">
                  <c:v>4.1212969695570414E-3</c:v>
                </c:pt>
                <c:pt idx="89">
                  <c:v>4.1308120464453521E-3</c:v>
                </c:pt>
                <c:pt idx="90">
                  <c:v>4.1401156771805891E-3</c:v>
                </c:pt>
                <c:pt idx="91">
                  <c:v>4.1492148325150517E-3</c:v>
                </c:pt>
                <c:pt idx="92">
                  <c:v>4.1581161801248524E-3</c:v>
                </c:pt>
                <c:pt idx="93">
                  <c:v>4.1668261009043346E-3</c:v>
                </c:pt>
                <c:pt idx="94">
                  <c:v>4.1753507042204237E-3</c:v>
                </c:pt>
                <c:pt idx="95">
                  <c:v>4.1836958422035424E-3</c:v>
                </c:pt>
                <c:pt idx="96">
                  <c:v>4.1918671231453465E-3</c:v>
                </c:pt>
                <c:pt idx="97">
                  <c:v>4.1998699240677314E-3</c:v>
                </c:pt>
                <c:pt idx="98">
                  <c:v>4.2077094025223128E-3</c:v>
                </c:pt>
                <c:pt idx="99">
                  <c:v>4.2153905076747818E-3</c:v>
                </c:pt>
                <c:pt idx="100">
                  <c:v>4.2229179907242011E-3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C-4CC8-B222-41EB113D5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NPpremie_inkomen!$AB$9</c:f>
          <c:strCache>
            <c:ptCount val="1"/>
            <c:pt idx="0">
              <c:v>Saldomethode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NPpremie_inkomen!$AS$8:$AS$9</c:f>
              <c:strCache>
                <c:ptCount val="2"/>
                <c:pt idx="0">
                  <c:v>Saldomethode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NPpremie_inkomen!$AS$10:$AS$110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2.4474804481910842E-3</c:v>
                </c:pt>
                <c:pt idx="17">
                  <c:v>4.607022020124394E-3</c:v>
                </c:pt>
                <c:pt idx="18">
                  <c:v>6.5266145285095582E-3</c:v>
                </c:pt>
                <c:pt idx="19">
                  <c:v>8.2441446675910208E-3</c:v>
                </c:pt>
                <c:pt idx="20">
                  <c:v>9.7899217927643369E-3</c:v>
                </c:pt>
                <c:pt idx="21">
                  <c:v>1.1188482048873528E-2</c:v>
                </c:pt>
                <c:pt idx="22">
                  <c:v>1.2459900463518248E-2</c:v>
                </c:pt>
                <c:pt idx="23">
                  <c:v>1.3620760755150382E-2</c:v>
                </c:pt>
                <c:pt idx="24">
                  <c:v>1.4684882689146505E-2</c:v>
                </c:pt>
                <c:pt idx="25">
                  <c:v>1.5663874868422939E-2</c:v>
                </c:pt>
                <c:pt idx="26">
                  <c:v>1.6567559956985802E-2</c:v>
                </c:pt>
                <c:pt idx="27">
                  <c:v>1.740430540935882E-2</c:v>
                </c:pt>
                <c:pt idx="28">
                  <c:v>1.8181283329419484E-2</c:v>
                </c:pt>
                <c:pt idx="29">
                  <c:v>1.8904676565338032E-2</c:v>
                </c:pt>
                <c:pt idx="30">
                  <c:v>1.9579843585528674E-2</c:v>
                </c:pt>
                <c:pt idx="31">
                  <c:v>2.0211451443126374E-2</c:v>
                </c:pt>
                <c:pt idx="32">
                  <c:v>2.0803583809624215E-2</c:v>
                </c:pt>
                <c:pt idx="33">
                  <c:v>2.1359829366031279E-2</c:v>
                </c:pt>
                <c:pt idx="34">
                  <c:v>2.1883354595590869E-2</c:v>
                </c:pt>
                <c:pt idx="35">
                  <c:v>2.2376964097747053E-2</c:v>
                </c:pt>
                <c:pt idx="36">
                  <c:v>2.2843150849783455E-2</c:v>
                </c:pt>
                <c:pt idx="37">
                  <c:v>2.328413831792599E-2</c:v>
                </c:pt>
                <c:pt idx="38">
                  <c:v>2.3701915919324183E-2</c:v>
                </c:pt>
                <c:pt idx="39">
                  <c:v>2.4098269028342983E-2</c:v>
                </c:pt>
                <c:pt idx="40">
                  <c:v>2.447480448191084E-2</c:v>
                </c:pt>
                <c:pt idx="41">
                  <c:v>2.4832972352377834E-2</c:v>
                </c:pt>
                <c:pt idx="42">
                  <c:v>2.5174084609965439E-2</c:v>
                </c:pt>
                <c:pt idx="43">
                  <c:v>2.5499331181153623E-2</c:v>
                </c:pt>
                <c:pt idx="44">
                  <c:v>2.5809793817287797E-2</c:v>
                </c:pt>
                <c:pt idx="45">
                  <c:v>2.6106458114038233E-2</c:v>
                </c:pt>
                <c:pt idx="46">
                  <c:v>2.6390223963103865E-2</c:v>
                </c:pt>
                <c:pt idx="47">
                  <c:v>2.6661914669656065E-2</c:v>
                </c:pt>
                <c:pt idx="48">
                  <c:v>2.6922284930101927E-2</c:v>
                </c:pt>
                <c:pt idx="49">
                  <c:v>2.7172027832978566E-2</c:v>
                </c:pt>
                <c:pt idx="50">
                  <c:v>2.7411781019740143E-2</c:v>
                </c:pt>
                <c:pt idx="51">
                  <c:v>2.7642132120746361E-2</c:v>
                </c:pt>
                <c:pt idx="52">
                  <c:v>2.7863623564021573E-2</c:v>
                </c:pt>
                <c:pt idx="53">
                  <c:v>2.8076756839626023E-2</c:v>
                </c:pt>
                <c:pt idx="54">
                  <c:v>2.8281996290208083E-2</c:v>
                </c:pt>
                <c:pt idx="55">
                  <c:v>2.8479772488041705E-2</c:v>
                </c:pt>
                <c:pt idx="56">
                  <c:v>2.8670485250238416E-2</c:v>
                </c:pt>
                <c:pt idx="57">
                  <c:v>2.8854506336568574E-2</c:v>
                </c:pt>
                <c:pt idx="58">
                  <c:v>2.9032181868197691E-2</c:v>
                </c:pt>
                <c:pt idx="59">
                  <c:v>2.9203834500449548E-2</c:v>
                </c:pt>
                <c:pt idx="60">
                  <c:v>2.9369765378293011E-2</c:v>
                </c:pt>
                <c:pt idx="61">
                  <c:v>2.953025589948587E-2</c:v>
                </c:pt>
                <c:pt idx="62">
                  <c:v>2.9685569307091861E-2</c:v>
                </c:pt>
                <c:pt idx="63">
                  <c:v>2.9835952130329406E-2</c:v>
                </c:pt>
                <c:pt idx="64">
                  <c:v>2.9981635490340781E-2</c:v>
                </c:pt>
                <c:pt idx="65">
                  <c:v>3.0122836285428729E-2</c:v>
                </c:pt>
                <c:pt idx="66">
                  <c:v>3.0259758268544313E-2</c:v>
                </c:pt>
                <c:pt idx="67">
                  <c:v>3.0392593028283316E-2</c:v>
                </c:pt>
                <c:pt idx="68">
                  <c:v>3.0521520883324108E-2</c:v>
                </c:pt>
                <c:pt idx="69">
                  <c:v>3.064671169908836E-2</c:v>
                </c:pt>
                <c:pt idx="70">
                  <c:v>3.07683256344022E-2</c:v>
                </c:pt>
                <c:pt idx="71">
                  <c:v>3.0886513825059317E-2</c:v>
                </c:pt>
                <c:pt idx="72">
                  <c:v>3.1001419010420399E-2</c:v>
                </c:pt>
                <c:pt idx="73">
                  <c:v>3.1113176108511317E-2</c:v>
                </c:pt>
                <c:pt idx="74">
                  <c:v>3.1221912744491667E-2</c:v>
                </c:pt>
                <c:pt idx="75">
                  <c:v>3.1327749736845878E-2</c:v>
                </c:pt>
                <c:pt idx="76">
                  <c:v>3.1430801545190762E-2</c:v>
                </c:pt>
                <c:pt idx="77">
                  <c:v>3.1531176683189034E-2</c:v>
                </c:pt>
                <c:pt idx="78">
                  <c:v>3.162897809970016E-2</c:v>
                </c:pt>
                <c:pt idx="79">
                  <c:v>3.1724303530983169E-2</c:v>
                </c:pt>
                <c:pt idx="80">
                  <c:v>3.1817245826484097E-2</c:v>
                </c:pt>
                <c:pt idx="81">
                  <c:v>3.1907893250491169E-2</c:v>
                </c:pt>
                <c:pt idx="82">
                  <c:v>3.1996329761717589E-2</c:v>
                </c:pt>
                <c:pt idx="83">
                  <c:v>3.2082635272673486E-2</c:v>
                </c:pt>
                <c:pt idx="84">
                  <c:v>3.2166885890511393E-2</c:v>
                </c:pt>
                <c:pt idx="85">
                  <c:v>3.2249154140870755E-2</c:v>
                </c:pt>
                <c:pt idx="86">
                  <c:v>3.2329509176105484E-2</c:v>
                </c:pt>
                <c:pt idx="87">
                  <c:v>3.240801696915091E-2</c:v>
                </c:pt>
                <c:pt idx="88">
                  <c:v>3.2484740494172576E-2</c:v>
                </c:pt>
                <c:pt idx="89">
                  <c:v>3.2559739895036445E-2</c:v>
                </c:pt>
                <c:pt idx="90">
                  <c:v>3.2633072642547792E-2</c:v>
                </c:pt>
                <c:pt idx="91">
                  <c:v>3.2704793681322619E-2</c:v>
                </c:pt>
                <c:pt idx="92">
                  <c:v>3.2774955567080606E-2</c:v>
                </c:pt>
                <c:pt idx="93">
                  <c:v>3.2843608595080356E-2</c:v>
                </c:pt>
                <c:pt idx="94">
                  <c:v>3.2910800920356705E-2</c:v>
                </c:pt>
                <c:pt idx="95">
                  <c:v>3.2976578670364083E-2</c:v>
                </c:pt>
                <c:pt idx="96">
                  <c:v>3.3040986050579639E-2</c:v>
                </c:pt>
                <c:pt idx="97">
                  <c:v>3.3104065443574256E-2</c:v>
                </c:pt>
                <c:pt idx="98">
                  <c:v>3.3165857502017955E-2</c:v>
                </c:pt>
                <c:pt idx="99">
                  <c:v>3.3226401236048662E-2</c:v>
                </c:pt>
                <c:pt idx="100">
                  <c:v>3.3285734095398742E-2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D9-9000-2304EF44C762}"/>
            </c:ext>
          </c:extLst>
        </c:ser>
        <c:ser>
          <c:idx val="0"/>
          <c:order val="1"/>
          <c:tx>
            <c:strRef>
              <c:f>NPpremie_inkomen!$AT$8:$AT$9</c:f>
              <c:strCache>
                <c:ptCount val="2"/>
                <c:pt idx="0">
                  <c:v>Saldomethode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NPpremie_inkomen!$AT$10:$AT$110</c:f>
              <c:numCache>
                <c:formatCode>0.00%</c:formatCode>
                <c:ptCount val="101"/>
                <c:pt idx="0">
                  <c:v>7.6041351708539626E-3</c:v>
                </c:pt>
                <c:pt idx="1">
                  <c:v>7.6041351708539626E-3</c:v>
                </c:pt>
                <c:pt idx="2">
                  <c:v>7.6041351708539626E-3</c:v>
                </c:pt>
                <c:pt idx="3">
                  <c:v>7.6041351708539626E-3</c:v>
                </c:pt>
                <c:pt idx="4">
                  <c:v>7.6041351708539626E-3</c:v>
                </c:pt>
                <c:pt idx="5">
                  <c:v>7.6041351708539626E-3</c:v>
                </c:pt>
                <c:pt idx="6">
                  <c:v>7.6041351708539626E-3</c:v>
                </c:pt>
                <c:pt idx="7">
                  <c:v>7.6041351708539626E-3</c:v>
                </c:pt>
                <c:pt idx="8">
                  <c:v>7.6041351708539626E-3</c:v>
                </c:pt>
                <c:pt idx="9">
                  <c:v>7.6041351708539626E-3</c:v>
                </c:pt>
                <c:pt idx="10">
                  <c:v>7.6041351708539626E-3</c:v>
                </c:pt>
                <c:pt idx="11">
                  <c:v>7.6041351708539626E-3</c:v>
                </c:pt>
                <c:pt idx="12">
                  <c:v>7.6041351708539626E-3</c:v>
                </c:pt>
                <c:pt idx="13">
                  <c:v>7.6041351708539626E-3</c:v>
                </c:pt>
                <c:pt idx="14">
                  <c:v>7.6041351708539626E-3</c:v>
                </c:pt>
                <c:pt idx="15">
                  <c:v>7.6041351708539626E-3</c:v>
                </c:pt>
                <c:pt idx="16">
                  <c:v>7.6041351708539626E-3</c:v>
                </c:pt>
                <c:pt idx="17">
                  <c:v>7.6041351708539626E-3</c:v>
                </c:pt>
                <c:pt idx="18">
                  <c:v>7.6041351708539626E-3</c:v>
                </c:pt>
                <c:pt idx="19">
                  <c:v>7.6041351708539626E-3</c:v>
                </c:pt>
                <c:pt idx="20">
                  <c:v>7.6041351708539626E-3</c:v>
                </c:pt>
                <c:pt idx="21">
                  <c:v>7.6041351708539626E-3</c:v>
                </c:pt>
                <c:pt idx="22">
                  <c:v>7.6041351708539626E-3</c:v>
                </c:pt>
                <c:pt idx="23">
                  <c:v>7.6041351708539626E-3</c:v>
                </c:pt>
                <c:pt idx="24">
                  <c:v>7.6041351708539626E-3</c:v>
                </c:pt>
                <c:pt idx="25">
                  <c:v>7.6041351708539626E-3</c:v>
                </c:pt>
                <c:pt idx="26">
                  <c:v>7.6041351708539626E-3</c:v>
                </c:pt>
                <c:pt idx="27">
                  <c:v>7.6041351708539626E-3</c:v>
                </c:pt>
                <c:pt idx="28">
                  <c:v>7.6041351708539626E-3</c:v>
                </c:pt>
                <c:pt idx="29">
                  <c:v>7.6041351708539626E-3</c:v>
                </c:pt>
                <c:pt idx="30">
                  <c:v>7.6041351708539626E-3</c:v>
                </c:pt>
                <c:pt idx="31">
                  <c:v>7.6041351708539626E-3</c:v>
                </c:pt>
                <c:pt idx="32">
                  <c:v>7.6041351708539626E-3</c:v>
                </c:pt>
                <c:pt idx="33">
                  <c:v>7.6041351708539626E-3</c:v>
                </c:pt>
                <c:pt idx="34">
                  <c:v>7.6041351708539626E-3</c:v>
                </c:pt>
                <c:pt idx="35">
                  <c:v>7.6041351708539626E-3</c:v>
                </c:pt>
                <c:pt idx="36">
                  <c:v>7.6041351708539626E-3</c:v>
                </c:pt>
                <c:pt idx="37">
                  <c:v>7.6041351708539626E-3</c:v>
                </c:pt>
                <c:pt idx="38">
                  <c:v>7.6041351708539626E-3</c:v>
                </c:pt>
                <c:pt idx="39">
                  <c:v>7.6041351708539626E-3</c:v>
                </c:pt>
                <c:pt idx="40">
                  <c:v>7.6041351708539626E-3</c:v>
                </c:pt>
                <c:pt idx="41">
                  <c:v>7.6041351708539626E-3</c:v>
                </c:pt>
                <c:pt idx="42">
                  <c:v>7.6041351708539626E-3</c:v>
                </c:pt>
                <c:pt idx="43">
                  <c:v>7.6041351708539626E-3</c:v>
                </c:pt>
                <c:pt idx="44">
                  <c:v>7.6041351708539626E-3</c:v>
                </c:pt>
                <c:pt idx="45">
                  <c:v>7.6041351708539626E-3</c:v>
                </c:pt>
                <c:pt idx="46">
                  <c:v>7.6041351708539626E-3</c:v>
                </c:pt>
                <c:pt idx="47">
                  <c:v>7.6041351708539626E-3</c:v>
                </c:pt>
                <c:pt idx="48">
                  <c:v>7.6041351708539626E-3</c:v>
                </c:pt>
                <c:pt idx="49">
                  <c:v>7.6041351708539626E-3</c:v>
                </c:pt>
                <c:pt idx="50">
                  <c:v>7.6041351708539626E-3</c:v>
                </c:pt>
                <c:pt idx="51">
                  <c:v>7.6041351708539626E-3</c:v>
                </c:pt>
                <c:pt idx="52">
                  <c:v>7.6041351708539626E-3</c:v>
                </c:pt>
                <c:pt idx="53">
                  <c:v>7.6041351708539626E-3</c:v>
                </c:pt>
                <c:pt idx="54">
                  <c:v>7.6041351708539626E-3</c:v>
                </c:pt>
                <c:pt idx="55">
                  <c:v>7.6041351708539626E-3</c:v>
                </c:pt>
                <c:pt idx="56">
                  <c:v>7.6041351708539626E-3</c:v>
                </c:pt>
                <c:pt idx="57">
                  <c:v>7.6041351708539626E-3</c:v>
                </c:pt>
                <c:pt idx="58">
                  <c:v>7.6041351708539626E-3</c:v>
                </c:pt>
                <c:pt idx="59">
                  <c:v>7.6041351708539626E-3</c:v>
                </c:pt>
                <c:pt idx="60">
                  <c:v>7.6041351708539626E-3</c:v>
                </c:pt>
                <c:pt idx="61">
                  <c:v>7.6041351708539626E-3</c:v>
                </c:pt>
                <c:pt idx="62">
                  <c:v>7.6041351708539626E-3</c:v>
                </c:pt>
                <c:pt idx="63">
                  <c:v>7.6041351708539626E-3</c:v>
                </c:pt>
                <c:pt idx="64">
                  <c:v>7.6041351708539626E-3</c:v>
                </c:pt>
                <c:pt idx="65">
                  <c:v>7.6041351708539626E-3</c:v>
                </c:pt>
                <c:pt idx="66">
                  <c:v>7.6041351708539626E-3</c:v>
                </c:pt>
                <c:pt idx="67">
                  <c:v>7.6041351708539626E-3</c:v>
                </c:pt>
                <c:pt idx="68">
                  <c:v>7.6041351708539626E-3</c:v>
                </c:pt>
                <c:pt idx="69">
                  <c:v>7.6041351708539626E-3</c:v>
                </c:pt>
                <c:pt idx="70">
                  <c:v>7.6041351708539626E-3</c:v>
                </c:pt>
                <c:pt idx="71">
                  <c:v>7.6041351708539626E-3</c:v>
                </c:pt>
                <c:pt idx="72">
                  <c:v>7.6041351708539626E-3</c:v>
                </c:pt>
                <c:pt idx="73">
                  <c:v>7.6041351708539626E-3</c:v>
                </c:pt>
                <c:pt idx="74">
                  <c:v>7.6041351708539626E-3</c:v>
                </c:pt>
                <c:pt idx="75">
                  <c:v>7.6041351708539626E-3</c:v>
                </c:pt>
                <c:pt idx="76">
                  <c:v>7.6041351708539626E-3</c:v>
                </c:pt>
                <c:pt idx="77">
                  <c:v>7.6041351708539626E-3</c:v>
                </c:pt>
                <c:pt idx="78">
                  <c:v>7.6041351708539626E-3</c:v>
                </c:pt>
                <c:pt idx="79">
                  <c:v>7.6041351708539626E-3</c:v>
                </c:pt>
                <c:pt idx="80">
                  <c:v>7.6041351708539626E-3</c:v>
                </c:pt>
                <c:pt idx="81">
                  <c:v>7.6041351708539626E-3</c:v>
                </c:pt>
                <c:pt idx="82">
                  <c:v>7.6041351708539626E-3</c:v>
                </c:pt>
                <c:pt idx="83">
                  <c:v>7.6041351708539626E-3</c:v>
                </c:pt>
                <c:pt idx="84">
                  <c:v>7.6041351708539626E-3</c:v>
                </c:pt>
                <c:pt idx="85">
                  <c:v>7.6041351708539626E-3</c:v>
                </c:pt>
                <c:pt idx="86">
                  <c:v>7.6041351708539626E-3</c:v>
                </c:pt>
                <c:pt idx="87">
                  <c:v>7.6041351708539626E-3</c:v>
                </c:pt>
                <c:pt idx="88">
                  <c:v>7.6041351708539626E-3</c:v>
                </c:pt>
                <c:pt idx="89">
                  <c:v>7.6041351708539626E-3</c:v>
                </c:pt>
                <c:pt idx="90">
                  <c:v>7.6041351708539626E-3</c:v>
                </c:pt>
                <c:pt idx="91">
                  <c:v>7.6041351708539626E-3</c:v>
                </c:pt>
                <c:pt idx="92">
                  <c:v>7.6041351708539626E-3</c:v>
                </c:pt>
                <c:pt idx="93">
                  <c:v>7.6041351708539626E-3</c:v>
                </c:pt>
                <c:pt idx="94">
                  <c:v>7.6041351708539626E-3</c:v>
                </c:pt>
                <c:pt idx="95">
                  <c:v>7.6041351708539626E-3</c:v>
                </c:pt>
                <c:pt idx="96">
                  <c:v>7.6041351708539626E-3</c:v>
                </c:pt>
                <c:pt idx="97">
                  <c:v>7.6041351708539626E-3</c:v>
                </c:pt>
                <c:pt idx="98">
                  <c:v>7.6041351708539626E-3</c:v>
                </c:pt>
                <c:pt idx="99">
                  <c:v>7.6041351708539626E-3</c:v>
                </c:pt>
                <c:pt idx="100">
                  <c:v>7.6041351708539626E-3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C-45D9-9000-2304EF44C762}"/>
            </c:ext>
          </c:extLst>
        </c:ser>
        <c:ser>
          <c:idx val="2"/>
          <c:order val="2"/>
          <c:tx>
            <c:strRef>
              <c:f>NPpremie_inkomen!$AU$8:$AU$9</c:f>
              <c:strCache>
                <c:ptCount val="2"/>
                <c:pt idx="0">
                  <c:v>Saldomethode</c:v>
                </c:pt>
                <c:pt idx="1">
                  <c:v>bereikbaar vanaf AOW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NPpremie_inkomen!$A$10:$A$110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NPpremie_inkomen!$AU$10:$AU$110</c:f>
              <c:numCache>
                <c:formatCode>0.00%</c:formatCode>
                <c:ptCount val="1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3.1050867578854419E-4</c:v>
                </c:pt>
                <c:pt idx="17">
                  <c:v>5.8448691913137729E-4</c:v>
                </c:pt>
                <c:pt idx="18">
                  <c:v>8.2802313543611783E-4</c:v>
                </c:pt>
                <c:pt idx="19">
                  <c:v>1.0459239605508856E-3</c:v>
                </c:pt>
                <c:pt idx="20">
                  <c:v>1.2420347031541767E-3</c:v>
                </c:pt>
                <c:pt idx="21">
                  <c:v>1.419468232176202E-3</c:v>
                </c:pt>
                <c:pt idx="22">
                  <c:v>1.5807714403780432E-3</c:v>
                </c:pt>
                <c:pt idx="23">
                  <c:v>1.7280482826492894E-3</c:v>
                </c:pt>
                <c:pt idx="24">
                  <c:v>1.8630520547312651E-3</c:v>
                </c:pt>
                <c:pt idx="25">
                  <c:v>1.9872555250466826E-3</c:v>
                </c:pt>
                <c:pt idx="26">
                  <c:v>2.1019048822609144E-3</c:v>
                </c:pt>
                <c:pt idx="27">
                  <c:v>2.2080616944963141E-3</c:v>
                </c:pt>
                <c:pt idx="28">
                  <c:v>2.3066358772863282E-3</c:v>
                </c:pt>
                <c:pt idx="29">
                  <c:v>2.3984118405735826E-3</c:v>
                </c:pt>
                <c:pt idx="30">
                  <c:v>2.4840694063083535E-3</c:v>
                </c:pt>
                <c:pt idx="31">
                  <c:v>2.5642006774795906E-3</c:v>
                </c:pt>
                <c:pt idx="32">
                  <c:v>2.6393237442026256E-3</c:v>
                </c:pt>
                <c:pt idx="33">
                  <c:v>2.7098938977909311E-3</c:v>
                </c:pt>
                <c:pt idx="34">
                  <c:v>2.7763128658740421E-3</c:v>
                </c:pt>
                <c:pt idx="35">
                  <c:v>2.838936464352404E-3</c:v>
                </c:pt>
                <c:pt idx="36">
                  <c:v>2.8980809740264124E-3</c:v>
                </c:pt>
                <c:pt idx="37">
                  <c:v>2.9540284831775015E-3</c:v>
                </c:pt>
                <c:pt idx="38">
                  <c:v>3.0070313865837965E-3</c:v>
                </c:pt>
                <c:pt idx="39">
                  <c:v>3.0573161923795121E-3</c:v>
                </c:pt>
                <c:pt idx="40">
                  <c:v>3.1050867578854419E-3</c:v>
                </c:pt>
                <c:pt idx="41">
                  <c:v>3.1505270519032774E-3</c:v>
                </c:pt>
                <c:pt idx="42">
                  <c:v>3.1938035223964545E-3</c:v>
                </c:pt>
                <c:pt idx="43">
                  <c:v>3.2350671337969257E-3</c:v>
                </c:pt>
                <c:pt idx="44">
                  <c:v>3.274455126497375E-3</c:v>
                </c:pt>
                <c:pt idx="45">
                  <c:v>3.3120925417444713E-3</c:v>
                </c:pt>
                <c:pt idx="46">
                  <c:v>3.3480935476329983E-3</c:v>
                </c:pt>
                <c:pt idx="47">
                  <c:v>3.3825625958241409E-3</c:v>
                </c:pt>
                <c:pt idx="48">
                  <c:v>3.415595433673986E-3</c:v>
                </c:pt>
                <c:pt idx="49">
                  <c:v>3.4472799924279191E-3</c:v>
                </c:pt>
                <c:pt idx="50">
                  <c:v>3.4776971688316948E-3</c:v>
                </c:pt>
                <c:pt idx="51">
                  <c:v>3.5069215147882637E-3</c:v>
                </c:pt>
                <c:pt idx="52">
                  <c:v>3.5350218474388107E-3</c:v>
                </c:pt>
                <c:pt idx="53">
                  <c:v>3.5620617901780164E-3</c:v>
                </c:pt>
                <c:pt idx="54">
                  <c:v>3.5881002535565107E-3</c:v>
                </c:pt>
                <c:pt idx="55">
                  <c:v>3.6131918637212416E-3</c:v>
                </c:pt>
                <c:pt idx="56">
                  <c:v>3.6373873449515176E-3</c:v>
                </c:pt>
                <c:pt idx="57">
                  <c:v>3.6607338619280999E-3</c:v>
                </c:pt>
                <c:pt idx="58">
                  <c:v>3.6832753265951448E-3</c:v>
                </c:pt>
                <c:pt idx="59">
                  <c:v>3.7050526738158494E-3</c:v>
                </c:pt>
                <c:pt idx="60">
                  <c:v>3.7261041094625302E-3</c:v>
                </c:pt>
                <c:pt idx="61">
                  <c:v>3.7464653341044022E-3</c:v>
                </c:pt>
                <c:pt idx="62">
                  <c:v>3.7661697450481488E-3</c:v>
                </c:pt>
                <c:pt idx="63">
                  <c:v>3.7852486191365387E-3</c:v>
                </c:pt>
                <c:pt idx="64">
                  <c:v>3.8037312784096663E-3</c:v>
                </c:pt>
                <c:pt idx="65">
                  <c:v>3.8216452404743898E-3</c:v>
                </c:pt>
                <c:pt idx="66">
                  <c:v>3.8390163552038188E-3</c:v>
                </c:pt>
                <c:pt idx="67">
                  <c:v>3.8558689291950561E-3</c:v>
                </c:pt>
                <c:pt idx="68">
                  <c:v>3.8722258392453746E-3</c:v>
                </c:pt>
                <c:pt idx="69">
                  <c:v>3.8881086359609011E-3</c:v>
                </c:pt>
                <c:pt idx="70">
                  <c:v>3.9035376384845555E-3</c:v>
                </c:pt>
                <c:pt idx="71">
                  <c:v>3.9185320212188112E-3</c:v>
                </c:pt>
                <c:pt idx="72">
                  <c:v>3.9331098933215597E-3</c:v>
                </c:pt>
                <c:pt idx="73">
                  <c:v>3.9472883716680689E-3</c:v>
                </c:pt>
                <c:pt idx="74">
                  <c:v>3.9610836478971038E-3</c:v>
                </c:pt>
                <c:pt idx="75">
                  <c:v>3.9745110500933652E-3</c:v>
                </c:pt>
                <c:pt idx="76">
                  <c:v>3.9875850996002517E-3</c:v>
                </c:pt>
                <c:pt idx="77">
                  <c:v>4.0003195634056602E-3</c:v>
                </c:pt>
                <c:pt idx="78">
                  <c:v>4.0127275024981097E-3</c:v>
                </c:pt>
                <c:pt idx="79">
                  <c:v>4.024821316550244E-3</c:v>
                </c:pt>
                <c:pt idx="80">
                  <c:v>4.0366127852510744E-3</c:v>
                </c:pt>
                <c:pt idx="81">
                  <c:v>4.0481131065765764E-3</c:v>
                </c:pt>
                <c:pt idx="82">
                  <c:v>4.059332932259992E-3</c:v>
                </c:pt>
                <c:pt idx="83">
                  <c:v>4.0702824006980248E-3</c:v>
                </c:pt>
                <c:pt idx="84">
                  <c:v>4.0809711675065807E-3</c:v>
                </c:pt>
                <c:pt idx="85">
                  <c:v>4.091408433919641E-3</c:v>
                </c:pt>
                <c:pt idx="86">
                  <c:v>4.1016029732068165E-3</c:v>
                </c:pt>
                <c:pt idx="87">
                  <c:v>4.1115631552689985E-3</c:v>
                </c:pt>
                <c:pt idx="88">
                  <c:v>4.1212969695570414E-3</c:v>
                </c:pt>
                <c:pt idx="89">
                  <c:v>4.1308120464453521E-3</c:v>
                </c:pt>
                <c:pt idx="90">
                  <c:v>4.1401156771805891E-3</c:v>
                </c:pt>
                <c:pt idx="91">
                  <c:v>4.1492148325150517E-3</c:v>
                </c:pt>
                <c:pt idx="92">
                  <c:v>4.1581161801248524E-3</c:v>
                </c:pt>
                <c:pt idx="93">
                  <c:v>4.1668261009043346E-3</c:v>
                </c:pt>
                <c:pt idx="94">
                  <c:v>4.1753507042204237E-3</c:v>
                </c:pt>
                <c:pt idx="95">
                  <c:v>4.1836958422035424E-3</c:v>
                </c:pt>
                <c:pt idx="96">
                  <c:v>4.1918671231453465E-3</c:v>
                </c:pt>
                <c:pt idx="97">
                  <c:v>4.1998699240677314E-3</c:v>
                </c:pt>
                <c:pt idx="98">
                  <c:v>4.2077094025223128E-3</c:v>
                </c:pt>
                <c:pt idx="99">
                  <c:v>4.2153905076747818E-3</c:v>
                </c:pt>
                <c:pt idx="100">
                  <c:v>4.2229179907242011E-3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C-45D9-9000-2304EF44C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title>
          <c:tx>
            <c:strRef>
              <c:f>NPpremie_inkomen!$A$9</c:f>
              <c:strCache>
                <c:ptCount val="1"/>
                <c:pt idx="0">
                  <c:v>brutoloon per jaar (incl.bijzondere beloningen, dzd euro)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NPuitkering_leeftijd!$AB$5</c:f>
          <c:strCache>
            <c:ptCount val="1"/>
            <c:pt idx="0">
              <c:v>eerste NP-uitkering na overlijden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NPuitkering_leeftijd!$AB$6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NPuitkering_leeftijd!$AB$7:$AB$57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8-4579-A7E7-BC3E0506E416}"/>
            </c:ext>
          </c:extLst>
        </c:ser>
        <c:ser>
          <c:idx val="1"/>
          <c:order val="1"/>
          <c:tx>
            <c:strRef>
              <c:f>NPuitkering_leeftijd!$AC$6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NPuitkering_leeftijd!$AC$7:$AC$57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8-4579-A7E7-BC3E0506E416}"/>
            </c:ext>
          </c:extLst>
        </c:ser>
        <c:ser>
          <c:idx val="2"/>
          <c:order val="2"/>
          <c:tx>
            <c:strRef>
              <c:f>NPuitkering_leeftijd!$AD$6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NPuitkering_leeftijd!$AD$7:$AD$57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8-4579-A7E7-BC3E0506E416}"/>
            </c:ext>
          </c:extLst>
        </c:ser>
        <c:ser>
          <c:idx val="4"/>
          <c:order val="3"/>
          <c:tx>
            <c:strRef>
              <c:f>NPuitkering_leeftijd!$AF$6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NPuitkering_leeftijd!$AF$7:$AF$57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48-4579-A7E7-BC3E0506E416}"/>
            </c:ext>
          </c:extLst>
        </c:ser>
        <c:ser>
          <c:idx val="5"/>
          <c:order val="4"/>
          <c:tx>
            <c:strRef>
              <c:f>NPuitkering_leeftijd!$AG$6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NPuitkering_leeftijd!$AG$7:$AG$57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6-42AE-BB2A-6A2262C0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partner bij overlijden deelnemer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NPuitkering_leeftijd!$AB$5</c:f>
          <c:strCache>
            <c:ptCount val="1"/>
            <c:pt idx="0">
              <c:v>eerste NP-uitkering na overlijden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NPuitkering_leeftijd!$AB$6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NPuitkering_leeftijd!$AB$7:$AB$57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5-4B69-A376-6184DC06EE54}"/>
            </c:ext>
          </c:extLst>
        </c:ser>
        <c:ser>
          <c:idx val="1"/>
          <c:order val="1"/>
          <c:tx>
            <c:strRef>
              <c:f>NPuitkering_leeftijd!$AC$6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NPuitkering_leeftijd!$AC$7:$AC$57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5-4B69-A376-6184DC06EE54}"/>
            </c:ext>
          </c:extLst>
        </c:ser>
        <c:ser>
          <c:idx val="2"/>
          <c:order val="2"/>
          <c:tx>
            <c:strRef>
              <c:f>NPuitkering_leeftijd!$AD$6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NPuitkering_leeftijd!$AD$7:$AD$57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5-4B69-A376-6184DC06EE54}"/>
            </c:ext>
          </c:extLst>
        </c:ser>
        <c:ser>
          <c:idx val="4"/>
          <c:order val="3"/>
          <c:tx>
            <c:strRef>
              <c:f>NPuitkering_leeftijd!$AF$6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NPuitkering_leeftijd!$AF$7:$AF$57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15-4B69-A376-6184DC06EE54}"/>
            </c:ext>
          </c:extLst>
        </c:ser>
        <c:ser>
          <c:idx val="5"/>
          <c:order val="4"/>
          <c:tx>
            <c:strRef>
              <c:f>NPuitkering_leeftijd!$AG$6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NPuitkering_leeftijd!$AG$7:$AG$57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5-4B69-A376-6184DC06E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deelnemer bij overlijden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NPuitkering_leeftijd!$AJ$5</c:f>
          <c:strCache>
            <c:ptCount val="1"/>
            <c:pt idx="0">
              <c:v>NP-uitkering jaar voor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NPuitkering_leeftijd!$AJ$6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NPuitkering_leeftijd!$AJ$7:$AJ$57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0-46F4-9673-AE733D3F3771}"/>
            </c:ext>
          </c:extLst>
        </c:ser>
        <c:ser>
          <c:idx val="1"/>
          <c:order val="1"/>
          <c:tx>
            <c:strRef>
              <c:f>NPuitkering_leeftijd!$AK$6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NPuitkering_leeftijd!$AK$7:$AK$57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0-46F4-9673-AE733D3F3771}"/>
            </c:ext>
          </c:extLst>
        </c:ser>
        <c:ser>
          <c:idx val="2"/>
          <c:order val="2"/>
          <c:tx>
            <c:strRef>
              <c:f>NPuitkering_leeftijd!$AL$6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NPuitkering_leeftijd!$AL$7:$AL$57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0-46F4-9673-AE733D3F3771}"/>
            </c:ext>
          </c:extLst>
        </c:ser>
        <c:ser>
          <c:idx val="4"/>
          <c:order val="3"/>
          <c:tx>
            <c:strRef>
              <c:f>NPuitkering_leeftijd!$AN$6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NPuitkering_leeftijd!$AN$7:$AN$57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0-46F4-9673-AE733D3F3771}"/>
            </c:ext>
          </c:extLst>
        </c:ser>
        <c:ser>
          <c:idx val="5"/>
          <c:order val="4"/>
          <c:tx>
            <c:strRef>
              <c:f>NPuitkering_leeftijd!$AO$6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NPuitkering_leeftijd!$AO$7:$AO$57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80-46F4-9673-AE733D3F3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deelnemer bij overlijden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Premie_leeftijd!$DE$5</c:f>
          <c:strCache>
            <c:ptCount val="1"/>
            <c:pt idx="0">
              <c:v>MvT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Premie_leeftijd!$CP$4:$CP$5</c:f>
              <c:strCache>
                <c:ptCount val="2"/>
                <c:pt idx="0">
                  <c:v>MvT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Premie_leeftijd!$CP$6:$CP$48</c:f>
              <c:numCache>
                <c:formatCode>0.00%</c:formatCode>
                <c:ptCount val="43"/>
                <c:pt idx="0">
                  <c:v>2.3794373702957207E-2</c:v>
                </c:pt>
                <c:pt idx="1">
                  <c:v>2.3794373702957207E-2</c:v>
                </c:pt>
                <c:pt idx="2">
                  <c:v>2.3794373702957207E-2</c:v>
                </c:pt>
                <c:pt idx="3">
                  <c:v>2.3794373702957207E-2</c:v>
                </c:pt>
                <c:pt idx="4">
                  <c:v>2.3794373702957207E-2</c:v>
                </c:pt>
                <c:pt idx="5">
                  <c:v>2.3794373702957207E-2</c:v>
                </c:pt>
                <c:pt idx="6">
                  <c:v>2.3794373702957207E-2</c:v>
                </c:pt>
                <c:pt idx="7">
                  <c:v>2.3794373702957207E-2</c:v>
                </c:pt>
                <c:pt idx="8">
                  <c:v>2.3794373702957207E-2</c:v>
                </c:pt>
                <c:pt idx="9">
                  <c:v>2.3794373702957207E-2</c:v>
                </c:pt>
                <c:pt idx="10">
                  <c:v>2.3794373702957207E-2</c:v>
                </c:pt>
                <c:pt idx="11">
                  <c:v>2.3794373702957207E-2</c:v>
                </c:pt>
                <c:pt idx="12">
                  <c:v>2.3794373702957207E-2</c:v>
                </c:pt>
                <c:pt idx="13">
                  <c:v>2.3794373702957207E-2</c:v>
                </c:pt>
                <c:pt idx="14">
                  <c:v>2.3794373702957207E-2</c:v>
                </c:pt>
                <c:pt idx="15">
                  <c:v>2.3794373702957207E-2</c:v>
                </c:pt>
                <c:pt idx="16">
                  <c:v>2.3794373702957207E-2</c:v>
                </c:pt>
                <c:pt idx="17">
                  <c:v>2.3794373702957207E-2</c:v>
                </c:pt>
                <c:pt idx="18">
                  <c:v>2.3794373702957207E-2</c:v>
                </c:pt>
                <c:pt idx="19">
                  <c:v>2.3794373702957207E-2</c:v>
                </c:pt>
                <c:pt idx="20">
                  <c:v>2.3794373702957207E-2</c:v>
                </c:pt>
                <c:pt idx="21">
                  <c:v>2.3794373702957207E-2</c:v>
                </c:pt>
                <c:pt idx="22">
                  <c:v>2.3794373702957207E-2</c:v>
                </c:pt>
                <c:pt idx="23">
                  <c:v>2.3794373702957207E-2</c:v>
                </c:pt>
                <c:pt idx="24">
                  <c:v>2.3794373702957207E-2</c:v>
                </c:pt>
                <c:pt idx="25">
                  <c:v>2.3794373702957207E-2</c:v>
                </c:pt>
                <c:pt idx="26">
                  <c:v>2.3794373702957207E-2</c:v>
                </c:pt>
                <c:pt idx="27">
                  <c:v>2.3794373702957207E-2</c:v>
                </c:pt>
                <c:pt idx="28">
                  <c:v>2.3794373702957207E-2</c:v>
                </c:pt>
                <c:pt idx="29">
                  <c:v>2.3794373702957207E-2</c:v>
                </c:pt>
                <c:pt idx="30">
                  <c:v>2.3794373702957207E-2</c:v>
                </c:pt>
                <c:pt idx="31">
                  <c:v>2.3794373702957207E-2</c:v>
                </c:pt>
                <c:pt idx="32">
                  <c:v>2.3794373702957207E-2</c:v>
                </c:pt>
                <c:pt idx="33">
                  <c:v>2.3794373702957207E-2</c:v>
                </c:pt>
                <c:pt idx="34">
                  <c:v>2.3794373702957207E-2</c:v>
                </c:pt>
                <c:pt idx="35">
                  <c:v>2.3794373702957207E-2</c:v>
                </c:pt>
                <c:pt idx="36">
                  <c:v>2.3794373702957207E-2</c:v>
                </c:pt>
                <c:pt idx="37">
                  <c:v>2.3794373702957207E-2</c:v>
                </c:pt>
                <c:pt idx="38">
                  <c:v>2.3794373702957207E-2</c:v>
                </c:pt>
                <c:pt idx="39">
                  <c:v>2.3794373702957207E-2</c:v>
                </c:pt>
                <c:pt idx="40">
                  <c:v>2.3794373702957207E-2</c:v>
                </c:pt>
                <c:pt idx="41">
                  <c:v>2.3794373702957207E-2</c:v>
                </c:pt>
                <c:pt idx="42">
                  <c:v>2.3794373702957207E-2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9-4E88-8296-360DB60A6CBC}"/>
            </c:ext>
          </c:extLst>
        </c:ser>
        <c:ser>
          <c:idx val="1"/>
          <c:order val="1"/>
          <c:tx>
            <c:strRef>
              <c:f>Premie_leeftijd!$CQ$4:$CQ$5</c:f>
              <c:strCache>
                <c:ptCount val="2"/>
                <c:pt idx="0">
                  <c:v>MvT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Premie_leeftijd!$CQ$6:$CQ$48</c:f>
              <c:numCache>
                <c:formatCode>0.00%</c:formatCode>
                <c:ptCount val="43"/>
                <c:pt idx="0">
                  <c:v>1.3390454460139249E-2</c:v>
                </c:pt>
                <c:pt idx="1">
                  <c:v>1.1496502811526593E-2</c:v>
                </c:pt>
                <c:pt idx="2">
                  <c:v>1.1633577987471149E-2</c:v>
                </c:pt>
                <c:pt idx="3">
                  <c:v>1.1429265325174305E-2</c:v>
                </c:pt>
                <c:pt idx="4">
                  <c:v>1.0259144585357465E-2</c:v>
                </c:pt>
                <c:pt idx="5">
                  <c:v>1.2792604148555814E-2</c:v>
                </c:pt>
                <c:pt idx="6">
                  <c:v>1.1413294452717767E-2</c:v>
                </c:pt>
                <c:pt idx="7">
                  <c:v>1.1586091688732765E-2</c:v>
                </c:pt>
                <c:pt idx="8">
                  <c:v>1.242949364017997E-2</c:v>
                </c:pt>
                <c:pt idx="9">
                  <c:v>1.2257351455679041E-2</c:v>
                </c:pt>
                <c:pt idx="10">
                  <c:v>1.2548367955231357E-2</c:v>
                </c:pt>
                <c:pt idx="11">
                  <c:v>1.1517989400657503E-2</c:v>
                </c:pt>
                <c:pt idx="12">
                  <c:v>1.3486283666132264E-2</c:v>
                </c:pt>
                <c:pt idx="13">
                  <c:v>1.428716860129762E-2</c:v>
                </c:pt>
                <c:pt idx="14">
                  <c:v>1.3315598640143228E-2</c:v>
                </c:pt>
                <c:pt idx="15">
                  <c:v>1.4529427458257648E-2</c:v>
                </c:pt>
                <c:pt idx="16">
                  <c:v>1.5730371567196508E-2</c:v>
                </c:pt>
                <c:pt idx="17">
                  <c:v>1.6909624302090469E-2</c:v>
                </c:pt>
                <c:pt idx="18">
                  <c:v>1.3956973103597323E-2</c:v>
                </c:pt>
                <c:pt idx="19">
                  <c:v>1.7318362669170809E-2</c:v>
                </c:pt>
                <c:pt idx="20">
                  <c:v>1.9355581365215434E-2</c:v>
                </c:pt>
                <c:pt idx="21">
                  <c:v>1.8599557718901746E-2</c:v>
                </c:pt>
                <c:pt idx="22">
                  <c:v>1.9284846014505974E-2</c:v>
                </c:pt>
                <c:pt idx="23">
                  <c:v>2.2384258870425389E-2</c:v>
                </c:pt>
                <c:pt idx="24">
                  <c:v>2.0606686188168109E-2</c:v>
                </c:pt>
                <c:pt idx="25">
                  <c:v>2.2305796467311671E-2</c:v>
                </c:pt>
                <c:pt idx="26">
                  <c:v>2.380672660890085E-2</c:v>
                </c:pt>
                <c:pt idx="27">
                  <c:v>2.3095850583947832E-2</c:v>
                </c:pt>
                <c:pt idx="28">
                  <c:v>2.1712123368300119E-2</c:v>
                </c:pt>
                <c:pt idx="29">
                  <c:v>2.2334983408006222E-2</c:v>
                </c:pt>
                <c:pt idx="30">
                  <c:v>2.3013111105806779E-2</c:v>
                </c:pt>
                <c:pt idx="31">
                  <c:v>2.8218430270309201E-2</c:v>
                </c:pt>
                <c:pt idx="32">
                  <c:v>2.8080990999197395E-2</c:v>
                </c:pt>
                <c:pt idx="33">
                  <c:v>2.8149664065004465E-2</c:v>
                </c:pt>
                <c:pt idx="34">
                  <c:v>2.7572511890773036E-2</c:v>
                </c:pt>
                <c:pt idx="35">
                  <c:v>2.6460758706016139E-2</c:v>
                </c:pt>
                <c:pt idx="36">
                  <c:v>2.5545337827739035E-2</c:v>
                </c:pt>
                <c:pt idx="37">
                  <c:v>2.3644967690889113E-2</c:v>
                </c:pt>
                <c:pt idx="38">
                  <c:v>2.1340478900227781E-2</c:v>
                </c:pt>
                <c:pt idx="39">
                  <c:v>1.8465338318789999E-2</c:v>
                </c:pt>
                <c:pt idx="40">
                  <c:v>1.492600969016135E-2</c:v>
                </c:pt>
                <c:pt idx="41">
                  <c:v>1.0790922478666322E-2</c:v>
                </c:pt>
                <c:pt idx="42">
                  <c:v>5.8777986399083581E-3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39-4E88-8296-360DB60A6CBC}"/>
            </c:ext>
          </c:extLst>
        </c:ser>
        <c:ser>
          <c:idx val="2"/>
          <c:order val="2"/>
          <c:tx>
            <c:strRef>
              <c:f>Premie_leeftijd!$CR$4:$CR$5</c:f>
              <c:strCache>
                <c:ptCount val="2"/>
                <c:pt idx="0">
                  <c:v>MvT</c:v>
                </c:pt>
                <c:pt idx="1">
                  <c:v>x0, risico vanaf AOW</c:v>
                </c:pt>
              </c:strCache>
            </c:strRef>
          </c:tx>
          <c:spPr>
            <a:solidFill>
              <a:srgbClr val="C00000"/>
            </a:solidFill>
            <a:ln w="25400">
              <a:solidFill>
                <a:srgbClr val="C00000"/>
              </a:solidFill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Premie_leeftijd!$CR$6:$CR$48</c:f>
              <c:numCache>
                <c:formatCode>0.00%</c:formatCode>
                <c:ptCount val="43"/>
                <c:pt idx="0">
                  <c:v>3.5118677345318096E-3</c:v>
                </c:pt>
                <c:pt idx="1">
                  <c:v>3.1178247255729155E-3</c:v>
                </c:pt>
                <c:pt idx="2">
                  <c:v>3.2630716830016884E-3</c:v>
                </c:pt>
                <c:pt idx="3">
                  <c:v>3.3167464706166895E-3</c:v>
                </c:pt>
                <c:pt idx="4">
                  <c:v>3.0817219190336941E-3</c:v>
                </c:pt>
                <c:pt idx="5">
                  <c:v>3.9799744844872175E-3</c:v>
                </c:pt>
                <c:pt idx="6">
                  <c:v>3.6800481621173911E-3</c:v>
                </c:pt>
                <c:pt idx="7">
                  <c:v>3.874461742485456E-3</c:v>
                </c:pt>
                <c:pt idx="8">
                  <c:v>4.3141480366858231E-3</c:v>
                </c:pt>
                <c:pt idx="9">
                  <c:v>4.4194020668770042E-3</c:v>
                </c:pt>
                <c:pt idx="10">
                  <c:v>4.7039365414145657E-3</c:v>
                </c:pt>
                <c:pt idx="11">
                  <c:v>4.4932970659547402E-3</c:v>
                </c:pt>
                <c:pt idx="12">
                  <c:v>5.4806240227111237E-3</c:v>
                </c:pt>
                <c:pt idx="13">
                  <c:v>6.0547429835929164E-3</c:v>
                </c:pt>
                <c:pt idx="14">
                  <c:v>5.8913668420482439E-3</c:v>
                </c:pt>
                <c:pt idx="15">
                  <c:v>6.7195546713105124E-3</c:v>
                </c:pt>
                <c:pt idx="16">
                  <c:v>7.6144151330701116E-3</c:v>
                </c:pt>
                <c:pt idx="17">
                  <c:v>8.5792333117025617E-3</c:v>
                </c:pt>
                <c:pt idx="18">
                  <c:v>7.4332959203831234E-3</c:v>
                </c:pt>
                <c:pt idx="19">
                  <c:v>9.6981909375833744E-3</c:v>
                </c:pt>
                <c:pt idx="20">
                  <c:v>1.1417183650177309E-2</c:v>
                </c:pt>
                <c:pt idx="21">
                  <c:v>1.1578863583906151E-2</c:v>
                </c:pt>
                <c:pt idx="22">
                  <c:v>1.269733411648216E-2</c:v>
                </c:pt>
                <c:pt idx="23">
                  <c:v>1.5623722857442398E-2</c:v>
                </c:pt>
                <c:pt idx="24">
                  <c:v>1.5286425419906619E-2</c:v>
                </c:pt>
                <c:pt idx="25">
                  <c:v>1.7636291995208588E-2</c:v>
                </c:pt>
                <c:pt idx="26">
                  <c:v>2.0125870047584461E-2</c:v>
                </c:pt>
                <c:pt idx="27">
                  <c:v>2.0950333222294133E-2</c:v>
                </c:pt>
                <c:pt idx="28">
                  <c:v>2.1217729538739079E-2</c:v>
                </c:pt>
                <c:pt idx="29">
                  <c:v>2.3621370775011873E-2</c:v>
                </c:pt>
                <c:pt idx="30">
                  <c:v>2.6478496753073674E-2</c:v>
                </c:pt>
                <c:pt idx="31">
                  <c:v>3.5537501819382679E-2</c:v>
                </c:pt>
                <c:pt idx="32">
                  <c:v>3.8982617341776743E-2</c:v>
                </c:pt>
                <c:pt idx="33">
                  <c:v>4.3439552839016814E-2</c:v>
                </c:pt>
                <c:pt idx="34">
                  <c:v>4.7780615600937937E-2</c:v>
                </c:pt>
                <c:pt idx="35">
                  <c:v>5.2141393004379456E-2</c:v>
                </c:pt>
                <c:pt idx="36">
                  <c:v>5.815502164390407E-2</c:v>
                </c:pt>
                <c:pt idx="37">
                  <c:v>6.3490971264363982E-2</c:v>
                </c:pt>
                <c:pt idx="38">
                  <c:v>6.9528012850111343E-2</c:v>
                </c:pt>
                <c:pt idx="39">
                  <c:v>7.6045940355617708E-2</c:v>
                </c:pt>
                <c:pt idx="40">
                  <c:v>8.2891146452343384E-2</c:v>
                </c:pt>
                <c:pt idx="41">
                  <c:v>9.0924697513192737E-2</c:v>
                </c:pt>
                <c:pt idx="42">
                  <c:v>0.10020820539990778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39-4E88-8296-360DB60A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5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NPuitkering_leeftijd!$AJ$5</c:f>
          <c:strCache>
            <c:ptCount val="1"/>
            <c:pt idx="0">
              <c:v>NP-uitkering jaar voor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NPuitkering_leeftijd!$AJ$6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NPuitkering_leeftijd!$AJ$7:$AJ$57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B-4ED5-8748-38E3C1C5B97F}"/>
            </c:ext>
          </c:extLst>
        </c:ser>
        <c:ser>
          <c:idx val="1"/>
          <c:order val="1"/>
          <c:tx>
            <c:strRef>
              <c:f>NPuitkering_leeftijd!$AK$6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NPuitkering_leeftijd!$AK$7:$AK$57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B-4ED5-8748-38E3C1C5B97F}"/>
            </c:ext>
          </c:extLst>
        </c:ser>
        <c:ser>
          <c:idx val="2"/>
          <c:order val="2"/>
          <c:tx>
            <c:strRef>
              <c:f>NPuitkering_leeftijd!$AL$6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NPuitkering_leeftijd!$AL$7:$AL$57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B-4ED5-8748-38E3C1C5B97F}"/>
            </c:ext>
          </c:extLst>
        </c:ser>
        <c:ser>
          <c:idx val="4"/>
          <c:order val="3"/>
          <c:tx>
            <c:strRef>
              <c:f>NPuitkering_leeftijd!$AN$6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NPuitkering_leeftijd!$AN$7:$AN$57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6B-4ED5-8748-38E3C1C5B97F}"/>
            </c:ext>
          </c:extLst>
        </c:ser>
        <c:ser>
          <c:idx val="5"/>
          <c:order val="4"/>
          <c:tx>
            <c:strRef>
              <c:f>NPuitkering_leeftijd!$AO$6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NPuitkering_leeftijd!$AO$7:$AO$57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6B-4ED5-8748-38E3C1C5B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partner bij overlijden deelnemer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NPuitkering_leeftijd!$AS$5</c:f>
          <c:strCache>
            <c:ptCount val="1"/>
            <c:pt idx="0">
              <c:v>NP-uitkering op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NPuitkering_leeftijd!$AS$6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NPuitkering_leeftijd!$AS$7:$AS$57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7-4B3A-98E6-B9F79A514204}"/>
            </c:ext>
          </c:extLst>
        </c:ser>
        <c:ser>
          <c:idx val="1"/>
          <c:order val="1"/>
          <c:tx>
            <c:strRef>
              <c:f>NPuitkering_leeftijd!$AT$6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NPuitkering_leeftijd!$AT$7:$AT$57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7-4B3A-98E6-B9F79A514204}"/>
            </c:ext>
          </c:extLst>
        </c:ser>
        <c:ser>
          <c:idx val="2"/>
          <c:order val="2"/>
          <c:tx>
            <c:strRef>
              <c:f>NPuitkering_leeftijd!$AU$6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NPuitkering_leeftijd!$AU$7:$AU$57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7-4B3A-98E6-B9F79A514204}"/>
            </c:ext>
          </c:extLst>
        </c:ser>
        <c:ser>
          <c:idx val="4"/>
          <c:order val="3"/>
          <c:tx>
            <c:strRef>
              <c:f>NPuitkering_leeftijd!$AW$6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NPuitkering_leeftijd!$AW$7:$AW$57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07-4B3A-98E6-B9F79A514204}"/>
            </c:ext>
          </c:extLst>
        </c:ser>
        <c:ser>
          <c:idx val="5"/>
          <c:order val="4"/>
          <c:tx>
            <c:strRef>
              <c:f>NPuitkering_leeftijd!$AX$6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NPuitkering_leeftijd!$AX$7:$AX$57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07-4B3A-98E6-B9F79A51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deelnemer bij overlijden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NPuitkering_leeftijd!$AS$5</c:f>
          <c:strCache>
            <c:ptCount val="1"/>
            <c:pt idx="0">
              <c:v>NP-uitkering op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NPuitkering_leeftijd!$AS$6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NPuitkering_leeftijd!$AS$7:$AS$57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7-4C53-8E0E-1EF1447B8AFF}"/>
            </c:ext>
          </c:extLst>
        </c:ser>
        <c:ser>
          <c:idx val="1"/>
          <c:order val="1"/>
          <c:tx>
            <c:strRef>
              <c:f>NPuitkering_leeftijd!$AT$6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NPuitkering_leeftijd!$AT$7:$AT$57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7-4C53-8E0E-1EF1447B8AFF}"/>
            </c:ext>
          </c:extLst>
        </c:ser>
        <c:ser>
          <c:idx val="2"/>
          <c:order val="2"/>
          <c:tx>
            <c:strRef>
              <c:f>NPuitkering_leeftijd!$AU$6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NPuitkering_leeftijd!$AU$7:$AU$57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7-4C53-8E0E-1EF1447B8AFF}"/>
            </c:ext>
          </c:extLst>
        </c:ser>
        <c:ser>
          <c:idx val="4"/>
          <c:order val="3"/>
          <c:tx>
            <c:strRef>
              <c:f>NPuitkering_leeftijd!$AW$6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NPuitkering_leeftijd!$AW$7:$AW$57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7-4C53-8E0E-1EF1447B8AFF}"/>
            </c:ext>
          </c:extLst>
        </c:ser>
        <c:ser>
          <c:idx val="5"/>
          <c:order val="4"/>
          <c:tx>
            <c:strRef>
              <c:f>NPuitkering_leeftijd!$AX$6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NPuitkering_leeftijd!$AX$7:$AX$57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D7-4C53-8E0E-1EF1447B8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partner bij overlijden deelnemer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NPuitkering_leeftijd!$AS$5</c:f>
          <c:strCache>
            <c:ptCount val="1"/>
            <c:pt idx="0">
              <c:v>NP-uitkering op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NPuitkering_leeftijd!$BF$6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NPuitkering_leeftijd!$BB$7:$BB$57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NPuitkering_leeftijd!$BF$7:$BF$57</c:f>
              <c:numCache>
                <c:formatCode>General</c:formatCode>
                <c:ptCount val="51"/>
                <c:pt idx="0">
                  <c:v>17.499999999999996</c:v>
                </c:pt>
                <c:pt idx="1">
                  <c:v>17.499999999999996</c:v>
                </c:pt>
                <c:pt idx="2">
                  <c:v>17.499999999999996</c:v>
                </c:pt>
                <c:pt idx="3">
                  <c:v>17.499999999999996</c:v>
                </c:pt>
                <c:pt idx="4">
                  <c:v>17.499999999999996</c:v>
                </c:pt>
                <c:pt idx="5">
                  <c:v>17.499999999999996</c:v>
                </c:pt>
                <c:pt idx="6">
                  <c:v>17.499999999999996</c:v>
                </c:pt>
                <c:pt idx="7">
                  <c:v>17.499999999999996</c:v>
                </c:pt>
                <c:pt idx="8">
                  <c:v>17.499999999999996</c:v>
                </c:pt>
                <c:pt idx="9">
                  <c:v>17.499999999999996</c:v>
                </c:pt>
                <c:pt idx="10">
                  <c:v>17.499999999999996</c:v>
                </c:pt>
                <c:pt idx="11">
                  <c:v>17.499999999999996</c:v>
                </c:pt>
                <c:pt idx="12">
                  <c:v>17.499999999999996</c:v>
                </c:pt>
                <c:pt idx="13">
                  <c:v>17.499999999999996</c:v>
                </c:pt>
                <c:pt idx="14">
                  <c:v>17.499999999999996</c:v>
                </c:pt>
                <c:pt idx="15">
                  <c:v>17.499999999999996</c:v>
                </c:pt>
                <c:pt idx="16">
                  <c:v>17.499999999999996</c:v>
                </c:pt>
                <c:pt idx="17">
                  <c:v>17.499999999999996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17.499999999999996</c:v>
                </c:pt>
                <c:pt idx="22">
                  <c:v>17.499999999999996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F-4139-94D4-D1CAABA31203}"/>
            </c:ext>
          </c:extLst>
        </c:ser>
        <c:ser>
          <c:idx val="1"/>
          <c:order val="1"/>
          <c:tx>
            <c:strRef>
              <c:f>NPuitkering_leeftijd!$BG$6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NPuitkering_leeftijd!$BB$7:$BB$57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NPuitkering_leeftijd!$BG$7:$BG$57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17.499999999999996</c:v>
                </c:pt>
                <c:pt idx="24">
                  <c:v>17.499999999999996</c:v>
                </c:pt>
                <c:pt idx="25">
                  <c:v>17.499999999999996</c:v>
                </c:pt>
                <c:pt idx="26">
                  <c:v>17.499999999999996</c:v>
                </c:pt>
                <c:pt idx="27">
                  <c:v>17.499999999999996</c:v>
                </c:pt>
                <c:pt idx="28">
                  <c:v>17.499999999999996</c:v>
                </c:pt>
                <c:pt idx="29">
                  <c:v>17.499999999999996</c:v>
                </c:pt>
                <c:pt idx="30">
                  <c:v>17.499999999999996</c:v>
                </c:pt>
                <c:pt idx="31">
                  <c:v>17.499999999999996</c:v>
                </c:pt>
                <c:pt idx="32">
                  <c:v>17.499999999999996</c:v>
                </c:pt>
                <c:pt idx="33">
                  <c:v>17.499999999999996</c:v>
                </c:pt>
                <c:pt idx="34">
                  <c:v>17.499999999999996</c:v>
                </c:pt>
                <c:pt idx="35">
                  <c:v>17.499999999999996</c:v>
                </c:pt>
                <c:pt idx="36">
                  <c:v>17.499999999999996</c:v>
                </c:pt>
                <c:pt idx="37">
                  <c:v>17.499999999999996</c:v>
                </c:pt>
                <c:pt idx="38">
                  <c:v>17.499999999999996</c:v>
                </c:pt>
                <c:pt idx="39">
                  <c:v>17.499999999999996</c:v>
                </c:pt>
                <c:pt idx="40">
                  <c:v>17.499999999999996</c:v>
                </c:pt>
                <c:pt idx="41">
                  <c:v>17.499999999999996</c:v>
                </c:pt>
                <c:pt idx="42">
                  <c:v>17.499999999999996</c:v>
                </c:pt>
                <c:pt idx="43">
                  <c:v>17.499999999999996</c:v>
                </c:pt>
                <c:pt idx="44">
                  <c:v>17.499999999999996</c:v>
                </c:pt>
                <c:pt idx="45">
                  <c:v>17.499999999999996</c:v>
                </c:pt>
                <c:pt idx="46">
                  <c:v>17.499999999999996</c:v>
                </c:pt>
                <c:pt idx="47">
                  <c:v>17.499999999999996</c:v>
                </c:pt>
                <c:pt idx="48">
                  <c:v>17.499999999999996</c:v>
                </c:pt>
                <c:pt idx="49">
                  <c:v>17.499999999999996</c:v>
                </c:pt>
                <c:pt idx="50">
                  <c:v>17.499999999999996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F-4139-94D4-D1CAABA31203}"/>
            </c:ext>
          </c:extLst>
        </c:ser>
        <c:ser>
          <c:idx val="2"/>
          <c:order val="2"/>
          <c:tx>
            <c:strRef>
              <c:f>NPuitkering_leeftijd!$BH$6</c:f>
              <c:strCache>
                <c:ptCount val="1"/>
                <c:pt idx="0">
                  <c:v>MvT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NPuitkering_leeftijd!$BB$7:$BB$57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NPuitkering_leeftijd!$BH$7:$BH$57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139-94D4-D1CAABA31203}"/>
            </c:ext>
          </c:extLst>
        </c:ser>
        <c:ser>
          <c:idx val="4"/>
          <c:order val="3"/>
          <c:tx>
            <c:strRef>
              <c:f>NPuitkering_leeftijd!$BI$6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NPuitkering_leeftijd!$BB$7:$BB$57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NPuitkering_leeftijd!$BI$7:$BI$57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17.5</c:v>
                </c:pt>
                <c:pt idx="24">
                  <c:v>17.5</c:v>
                </c:pt>
                <c:pt idx="25">
                  <c:v>17.5</c:v>
                </c:pt>
                <c:pt idx="26">
                  <c:v>17.5</c:v>
                </c:pt>
                <c:pt idx="27">
                  <c:v>17.5</c:v>
                </c:pt>
                <c:pt idx="28">
                  <c:v>17.5</c:v>
                </c:pt>
                <c:pt idx="29">
                  <c:v>17.5</c:v>
                </c:pt>
                <c:pt idx="30">
                  <c:v>17.5</c:v>
                </c:pt>
                <c:pt idx="31">
                  <c:v>17.5</c:v>
                </c:pt>
                <c:pt idx="32">
                  <c:v>17.5</c:v>
                </c:pt>
                <c:pt idx="33">
                  <c:v>17.5</c:v>
                </c:pt>
                <c:pt idx="34">
                  <c:v>17.5</c:v>
                </c:pt>
                <c:pt idx="35">
                  <c:v>17.5</c:v>
                </c:pt>
                <c:pt idx="36">
                  <c:v>17.5</c:v>
                </c:pt>
                <c:pt idx="37">
                  <c:v>17.5</c:v>
                </c:pt>
                <c:pt idx="38">
                  <c:v>17.5</c:v>
                </c:pt>
                <c:pt idx="39">
                  <c:v>17.5</c:v>
                </c:pt>
                <c:pt idx="40">
                  <c:v>17.5</c:v>
                </c:pt>
                <c:pt idx="41">
                  <c:v>17.5</c:v>
                </c:pt>
                <c:pt idx="42">
                  <c:v>17.5</c:v>
                </c:pt>
                <c:pt idx="43">
                  <c:v>17.5</c:v>
                </c:pt>
                <c:pt idx="44">
                  <c:v>17.5</c:v>
                </c:pt>
                <c:pt idx="45">
                  <c:v>17.5</c:v>
                </c:pt>
                <c:pt idx="46">
                  <c:v>17.5</c:v>
                </c:pt>
                <c:pt idx="47">
                  <c:v>17.5</c:v>
                </c:pt>
                <c:pt idx="48">
                  <c:v>17.5</c:v>
                </c:pt>
                <c:pt idx="49">
                  <c:v>17.5</c:v>
                </c:pt>
                <c:pt idx="50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F-4139-94D4-D1CAABA31203}"/>
            </c:ext>
          </c:extLst>
        </c:ser>
        <c:ser>
          <c:idx val="5"/>
          <c:order val="4"/>
          <c:tx>
            <c:strRef>
              <c:f>NPuitkering_leeftijd!$BJ$6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NPuitkering_leeftijd!$BB$7:$BB$57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NPuitkering_leeftijd!$BJ$7:$BJ$57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F-4139-94D4-D1CAABA3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strRef>
              <c:f>NPuitkering_leeftijd!$BB$6</c:f>
              <c:strCache>
                <c:ptCount val="1"/>
                <c:pt idx="0">
                  <c:v>aantal jaar na overlijden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NPuitkering_leeftijd_ArbPartic!$Z$5</c:f>
          <c:strCache>
            <c:ptCount val="1"/>
            <c:pt idx="0">
              <c:v>eerste NP-uitkering na overlijden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NPuitkering_leeftijd_ArbPartic!$Z$6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NPuitkering_leeftijd_ArbPartic!$Z$7:$Z$57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8-4F2C-841B-F37F33481402}"/>
            </c:ext>
          </c:extLst>
        </c:ser>
        <c:ser>
          <c:idx val="1"/>
          <c:order val="1"/>
          <c:tx>
            <c:strRef>
              <c:f>NPuitkering_leeftijd_ArbPartic!$AA$6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NPuitkering_leeftijd_ArbPartic!$AA$7:$AA$57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8-4F2C-841B-F37F33481402}"/>
            </c:ext>
          </c:extLst>
        </c:ser>
        <c:ser>
          <c:idx val="2"/>
          <c:order val="2"/>
          <c:tx>
            <c:strRef>
              <c:f>NPuitkering_leeftijd_ArbPartic!$AB$6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NPuitkering_leeftijd_ArbPartic!$AB$7:$AB$57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8-4F2C-841B-F37F33481402}"/>
            </c:ext>
          </c:extLst>
        </c:ser>
        <c:ser>
          <c:idx val="4"/>
          <c:order val="3"/>
          <c:tx>
            <c:strRef>
              <c:f>NPuitkering_leeftijd_ArbPartic!$AD$6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NPuitkering_leeftijd_ArbPartic!$AD$7:$AD$57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18-4F2C-841B-F37F33481402}"/>
            </c:ext>
          </c:extLst>
        </c:ser>
        <c:ser>
          <c:idx val="5"/>
          <c:order val="4"/>
          <c:tx>
            <c:strRef>
              <c:f>NPuitkering_leeftijd_ArbPartic!$AE$6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NPuitkering_leeftijd_ArbPartic!$AE$7:$AE$57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8-4F2C-841B-F37F3348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partner bij overlijden deelnemer</a:t>
                </a:r>
                <a:endParaRPr lang="nl-NL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NPuitkering_leeftijd_ArbPartic!$Z$5</c:f>
          <c:strCache>
            <c:ptCount val="1"/>
            <c:pt idx="0">
              <c:v>eerste NP-uitkering na overlijden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NPuitkering_leeftijd_ArbPartic!$Z$6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NPuitkering_leeftijd_ArbPartic!$Z$7:$Z$57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F-4819-B733-A25CF8B93B61}"/>
            </c:ext>
          </c:extLst>
        </c:ser>
        <c:ser>
          <c:idx val="1"/>
          <c:order val="1"/>
          <c:tx>
            <c:strRef>
              <c:f>NPuitkering_leeftijd_ArbPartic!$AA$6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NPuitkering_leeftijd_ArbPartic!$AA$7:$AA$57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F-4819-B733-A25CF8B93B61}"/>
            </c:ext>
          </c:extLst>
        </c:ser>
        <c:ser>
          <c:idx val="2"/>
          <c:order val="2"/>
          <c:tx>
            <c:strRef>
              <c:f>NPuitkering_leeftijd_ArbPartic!$AB$6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NPuitkering_leeftijd_ArbPartic!$AB$7:$AB$57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F-4819-B733-A25CF8B93B61}"/>
            </c:ext>
          </c:extLst>
        </c:ser>
        <c:ser>
          <c:idx val="4"/>
          <c:order val="3"/>
          <c:tx>
            <c:strRef>
              <c:f>NPuitkering_leeftijd_ArbPartic!$AD$6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NPuitkering_leeftijd_ArbPartic!$AD$7:$AD$57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BF-4819-B733-A25CF8B93B61}"/>
            </c:ext>
          </c:extLst>
        </c:ser>
        <c:ser>
          <c:idx val="5"/>
          <c:order val="4"/>
          <c:tx>
            <c:strRef>
              <c:f>NPuitkering_leeftijd_ArbPartic!$AE$6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NPuitkering_leeftijd_ArbPartic!$AE$7:$AE$57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F-4819-B733-A25CF8B93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deelnemer bij overlijden </a:t>
                </a:r>
                <a:endParaRPr lang="nl-NL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NPuitkering_leeftijd_ArbPartic!$AQ$5</c:f>
          <c:strCache>
            <c:ptCount val="1"/>
            <c:pt idx="0">
              <c:v>NP-uitkering op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NPuitkering_leeftijd_ArbPartic!$AQ$6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NPuitkering_leeftijd_ArbPartic!$AQ$7:$AQ$57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7-4C16-8109-3DA0C8430D82}"/>
            </c:ext>
          </c:extLst>
        </c:ser>
        <c:ser>
          <c:idx val="1"/>
          <c:order val="1"/>
          <c:tx>
            <c:strRef>
              <c:f>NPuitkering_leeftijd_ArbPartic!$AR$6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NPuitkering_leeftijd_ArbPartic!$AR$7:$AR$57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7-4C16-8109-3DA0C8430D82}"/>
            </c:ext>
          </c:extLst>
        </c:ser>
        <c:ser>
          <c:idx val="2"/>
          <c:order val="2"/>
          <c:tx>
            <c:strRef>
              <c:f>NPuitkering_leeftijd_ArbPartic!$AS$6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NPuitkering_leeftijd_ArbPartic!$AS$7:$AS$57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7-4C16-8109-3DA0C8430D82}"/>
            </c:ext>
          </c:extLst>
        </c:ser>
        <c:ser>
          <c:idx val="4"/>
          <c:order val="3"/>
          <c:tx>
            <c:strRef>
              <c:f>NPuitkering_leeftijd_ArbPartic!$AU$6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NPuitkering_leeftijd_ArbPartic!$AU$7:$AU$57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D7-4C16-8109-3DA0C8430D82}"/>
            </c:ext>
          </c:extLst>
        </c:ser>
        <c:ser>
          <c:idx val="5"/>
          <c:order val="4"/>
          <c:tx>
            <c:strRef>
              <c:f>NPuitkering_leeftijd_ArbPartic!$AV$6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NPuitkering_leeftijd_ArbPartic!$AV$7:$AV$57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D7-4C16-8109-3DA0C843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deelnemer bij overlijden </a:t>
                </a:r>
                <a:endParaRPr lang="nl-NL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NPuitkering_leeftijd_ArbPartic!$AQ$5</c:f>
          <c:strCache>
            <c:ptCount val="1"/>
            <c:pt idx="0">
              <c:v>NP-uitkering op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NPuitkering_leeftijd_ArbPartic!$AQ$6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NPuitkering_leeftijd_ArbPartic!$AQ$7:$AQ$57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A-4346-A47E-A3FA3329E989}"/>
            </c:ext>
          </c:extLst>
        </c:ser>
        <c:ser>
          <c:idx val="1"/>
          <c:order val="1"/>
          <c:tx>
            <c:strRef>
              <c:f>NPuitkering_leeftijd_ArbPartic!$AR$6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NPuitkering_leeftijd_ArbPartic!$AR$7:$AR$57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A-4346-A47E-A3FA3329E989}"/>
            </c:ext>
          </c:extLst>
        </c:ser>
        <c:ser>
          <c:idx val="2"/>
          <c:order val="2"/>
          <c:tx>
            <c:strRef>
              <c:f>NPuitkering_leeftijd_ArbPartic!$AS$6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NPuitkering_leeftijd_ArbPartic!$AS$7:$AS$57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A-4346-A47E-A3FA3329E989}"/>
            </c:ext>
          </c:extLst>
        </c:ser>
        <c:ser>
          <c:idx val="4"/>
          <c:order val="3"/>
          <c:tx>
            <c:strRef>
              <c:f>NPuitkering_leeftijd_ArbPartic!$AU$6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NPuitkering_leeftijd_ArbPartic!$AU$7:$AU$57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9A-4346-A47E-A3FA3329E989}"/>
            </c:ext>
          </c:extLst>
        </c:ser>
        <c:ser>
          <c:idx val="5"/>
          <c:order val="4"/>
          <c:tx>
            <c:strRef>
              <c:f>NPuitkering_leeftijd_ArbPartic!$AV$6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NPuitkering_leeftijd_ArbPartic!$AV$7:$AV$57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9A-4346-A47E-A3FA332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partner bij overlijden deelnemer</a:t>
                </a:r>
                <a:endParaRPr lang="nl-NL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NPuitkering_leeftijd_ArbPartic!$AH$5</c:f>
          <c:strCache>
            <c:ptCount val="1"/>
            <c:pt idx="0">
              <c:v>NP-uitkering jaar voor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NPuitkering_leeftijd_ArbPartic!$AH$6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NPuitkering_leeftijd_ArbPartic!$AH$7:$AH$57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2-4960-BACA-0E5DF41B4C7B}"/>
            </c:ext>
          </c:extLst>
        </c:ser>
        <c:ser>
          <c:idx val="1"/>
          <c:order val="1"/>
          <c:tx>
            <c:strRef>
              <c:f>NPuitkering_leeftijd_ArbPartic!$AI$6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NPuitkering_leeftijd_ArbPartic!$AI$7:$AI$57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2-4960-BACA-0E5DF41B4C7B}"/>
            </c:ext>
          </c:extLst>
        </c:ser>
        <c:ser>
          <c:idx val="2"/>
          <c:order val="2"/>
          <c:tx>
            <c:strRef>
              <c:f>NPuitkering_leeftijd_ArbPartic!$AJ$6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NPuitkering_leeftijd_ArbPartic!$AJ$7:$AJ$57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2-4960-BACA-0E5DF41B4C7B}"/>
            </c:ext>
          </c:extLst>
        </c:ser>
        <c:ser>
          <c:idx val="4"/>
          <c:order val="3"/>
          <c:tx>
            <c:strRef>
              <c:f>NPuitkering_leeftijd_ArbPartic!$AL$6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NPuitkering_leeftijd_ArbPartic!$AL$7:$AL$57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12-4960-BACA-0E5DF41B4C7B}"/>
            </c:ext>
          </c:extLst>
        </c:ser>
        <c:ser>
          <c:idx val="5"/>
          <c:order val="4"/>
          <c:tx>
            <c:strRef>
              <c:f>NPuitkering_leeftijd_ArbPartic!$AM$6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NPuitkering_leeftijd_ArbPartic!$A$7:$A$57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NPuitkering_leeftijd_ArbPartic!$AM$7:$AM$57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12-4960-BACA-0E5DF41B4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deelnemer bij overlijden </a:t>
                </a:r>
                <a:endParaRPr lang="nl-NL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NPuitkering_leeftijd_ArbPartic!$AH$5</c:f>
          <c:strCache>
            <c:ptCount val="1"/>
            <c:pt idx="0">
              <c:v>NP-uitkering jaar voor AOW-datum partner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NPuitkering_leeftijd_ArbPartic!$AH$6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NPuitkering_leeftijd_ArbPartic!$AH$7:$AH$57</c:f>
              <c:numCache>
                <c:formatCode>General</c:formatCode>
                <c:ptCount val="51"/>
                <c:pt idx="0">
                  <c:v>17.500000000000004</c:v>
                </c:pt>
                <c:pt idx="1">
                  <c:v>17.500000000000004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17.500000000000004</c:v>
                </c:pt>
                <c:pt idx="11">
                  <c:v>17.5</c:v>
                </c:pt>
                <c:pt idx="12">
                  <c:v>17.5</c:v>
                </c:pt>
                <c:pt idx="13">
                  <c:v>17.500000000000004</c:v>
                </c:pt>
                <c:pt idx="14">
                  <c:v>17.5</c:v>
                </c:pt>
                <c:pt idx="15">
                  <c:v>17.500000000000004</c:v>
                </c:pt>
                <c:pt idx="16">
                  <c:v>17.5</c:v>
                </c:pt>
                <c:pt idx="17">
                  <c:v>17.500000000000004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9-40F2-80A6-B33854FD7DFB}"/>
            </c:ext>
          </c:extLst>
        </c:ser>
        <c:ser>
          <c:idx val="1"/>
          <c:order val="1"/>
          <c:tx>
            <c:strRef>
              <c:f>NPuitkering_leeftijd_ArbPartic!$AI$6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NPuitkering_leeftijd_ArbPartic!$AI$7:$AI$57</c:f>
              <c:numCache>
                <c:formatCode>General</c:formatCode>
                <c:ptCount val="51"/>
                <c:pt idx="0">
                  <c:v>17.5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17.5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17.5</c:v>
                </c:pt>
                <c:pt idx="10">
                  <c:v>17.5</c:v>
                </c:pt>
                <c:pt idx="11">
                  <c:v>17.5</c:v>
                </c:pt>
                <c:pt idx="12">
                  <c:v>17.5</c:v>
                </c:pt>
                <c:pt idx="13">
                  <c:v>17.5</c:v>
                </c:pt>
                <c:pt idx="14">
                  <c:v>17.5</c:v>
                </c:pt>
                <c:pt idx="15">
                  <c:v>17.5</c:v>
                </c:pt>
                <c:pt idx="16">
                  <c:v>17.5</c:v>
                </c:pt>
                <c:pt idx="17">
                  <c:v>17.5</c:v>
                </c:pt>
                <c:pt idx="18">
                  <c:v>17.499999999999996</c:v>
                </c:pt>
                <c:pt idx="19">
                  <c:v>17.499999999999996</c:v>
                </c:pt>
                <c:pt idx="20">
                  <c:v>17.499999999999996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17.499999999999989</c:v>
                </c:pt>
                <c:pt idx="31">
                  <c:v>17.499999999999989</c:v>
                </c:pt>
                <c:pt idx="32">
                  <c:v>17.499999999999989</c:v>
                </c:pt>
                <c:pt idx="33">
                  <c:v>17.499999999999989</c:v>
                </c:pt>
                <c:pt idx="34">
                  <c:v>17.499999999999989</c:v>
                </c:pt>
                <c:pt idx="35">
                  <c:v>17.499999999999989</c:v>
                </c:pt>
                <c:pt idx="36">
                  <c:v>17.499999999999986</c:v>
                </c:pt>
                <c:pt idx="37">
                  <c:v>17.499999999999986</c:v>
                </c:pt>
                <c:pt idx="38">
                  <c:v>17.499999999999986</c:v>
                </c:pt>
                <c:pt idx="39">
                  <c:v>17.499999999999986</c:v>
                </c:pt>
                <c:pt idx="40">
                  <c:v>17.499999999999982</c:v>
                </c:pt>
                <c:pt idx="41">
                  <c:v>17.499999999999982</c:v>
                </c:pt>
                <c:pt idx="42">
                  <c:v>17.499999999999982</c:v>
                </c:pt>
                <c:pt idx="43">
                  <c:v>17.499999999999982</c:v>
                </c:pt>
                <c:pt idx="44">
                  <c:v>17.499999999999982</c:v>
                </c:pt>
                <c:pt idx="45">
                  <c:v>17.499999999999982</c:v>
                </c:pt>
                <c:pt idx="46">
                  <c:v>17.499999999999982</c:v>
                </c:pt>
                <c:pt idx="47">
                  <c:v>17.499999999999982</c:v>
                </c:pt>
                <c:pt idx="48">
                  <c:v>17.499999999999982</c:v>
                </c:pt>
                <c:pt idx="49">
                  <c:v>17.499999999999982</c:v>
                </c:pt>
                <c:pt idx="50">
                  <c:v>17.499999999999982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9-40F2-80A6-B33854FD7DFB}"/>
            </c:ext>
          </c:extLst>
        </c:ser>
        <c:ser>
          <c:idx val="2"/>
          <c:order val="2"/>
          <c:tx>
            <c:strRef>
              <c:f>NPuitkering_leeftijd_ArbPartic!$AJ$6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NPuitkering_leeftijd_ArbPartic!$AJ$7:$AJ$57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9-40F2-80A6-B33854FD7DFB}"/>
            </c:ext>
          </c:extLst>
        </c:ser>
        <c:ser>
          <c:idx val="4"/>
          <c:order val="3"/>
          <c:tx>
            <c:strRef>
              <c:f>NPuitkering_leeftijd_ArbPartic!$AL$6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NPuitkering_leeftijd_ArbPartic!$AL$7:$AL$57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29-40F2-80A6-B33854FD7DFB}"/>
            </c:ext>
          </c:extLst>
        </c:ser>
        <c:ser>
          <c:idx val="5"/>
          <c:order val="4"/>
          <c:tx>
            <c:strRef>
              <c:f>NPuitkering_leeftijd_ArbPartic!$AM$6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NPuitkering_leeftijd_ArbPartic!$C$7:$C$57</c:f>
              <c:numCache>
                <c:formatCode>General</c:formatCode>
                <c:ptCount val="51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</c:numCache>
            </c:numRef>
          </c:cat>
          <c:val>
            <c:numRef>
              <c:f>NPuitkering_leeftijd_ArbPartic!$AM$7:$AM$57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29-40F2-80A6-B33854FD7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leeftijd partner bij overlijden deelnemer</a:t>
                </a:r>
                <a:endParaRPr lang="nl-NL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Premie_leeftijd!$CU$4</c:f>
          <c:strCache>
            <c:ptCount val="1"/>
            <c:pt idx="0">
              <c:v>Uitkeringsknip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Premie_leeftijd!$CU$4:$CU$5</c:f>
              <c:strCache>
                <c:ptCount val="2"/>
                <c:pt idx="0">
                  <c:v>Uitkeringsknip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Premie_leeftijd!$CU$6:$CU$48</c:f>
              <c:numCache>
                <c:formatCode>0.00%</c:formatCode>
                <c:ptCount val="43"/>
                <c:pt idx="0">
                  <c:v>3.4197010420295985E-2</c:v>
                </c:pt>
                <c:pt idx="1">
                  <c:v>3.4197010420295985E-2</c:v>
                </c:pt>
                <c:pt idx="2">
                  <c:v>3.4197010420295985E-2</c:v>
                </c:pt>
                <c:pt idx="3">
                  <c:v>3.4197010420295985E-2</c:v>
                </c:pt>
                <c:pt idx="4">
                  <c:v>3.4197010420295985E-2</c:v>
                </c:pt>
                <c:pt idx="5">
                  <c:v>3.4197010420295985E-2</c:v>
                </c:pt>
                <c:pt idx="6">
                  <c:v>3.4197010420295985E-2</c:v>
                </c:pt>
                <c:pt idx="7">
                  <c:v>3.4197010420295985E-2</c:v>
                </c:pt>
                <c:pt idx="8">
                  <c:v>3.4197010420295985E-2</c:v>
                </c:pt>
                <c:pt idx="9">
                  <c:v>3.4197010420295985E-2</c:v>
                </c:pt>
                <c:pt idx="10">
                  <c:v>3.4197010420295985E-2</c:v>
                </c:pt>
                <c:pt idx="11">
                  <c:v>3.4197010420295985E-2</c:v>
                </c:pt>
                <c:pt idx="12">
                  <c:v>3.4197010420295985E-2</c:v>
                </c:pt>
                <c:pt idx="13">
                  <c:v>3.4197010420295985E-2</c:v>
                </c:pt>
                <c:pt idx="14">
                  <c:v>3.4197010420295985E-2</c:v>
                </c:pt>
                <c:pt idx="15">
                  <c:v>3.4197010420295985E-2</c:v>
                </c:pt>
                <c:pt idx="16">
                  <c:v>3.4197010420295985E-2</c:v>
                </c:pt>
                <c:pt idx="17">
                  <c:v>3.4197010420295985E-2</c:v>
                </c:pt>
                <c:pt idx="18">
                  <c:v>3.4197010420295985E-2</c:v>
                </c:pt>
                <c:pt idx="19">
                  <c:v>3.4197010420295985E-2</c:v>
                </c:pt>
                <c:pt idx="20">
                  <c:v>3.4197010420295985E-2</c:v>
                </c:pt>
                <c:pt idx="21">
                  <c:v>3.4197010420295985E-2</c:v>
                </c:pt>
                <c:pt idx="22">
                  <c:v>3.4197010420295985E-2</c:v>
                </c:pt>
                <c:pt idx="23">
                  <c:v>3.4197010420295985E-2</c:v>
                </c:pt>
                <c:pt idx="24">
                  <c:v>3.4197010420295985E-2</c:v>
                </c:pt>
                <c:pt idx="25">
                  <c:v>3.4197010420295985E-2</c:v>
                </c:pt>
                <c:pt idx="26">
                  <c:v>3.4197010420295985E-2</c:v>
                </c:pt>
                <c:pt idx="27">
                  <c:v>3.4197010420295985E-2</c:v>
                </c:pt>
                <c:pt idx="28">
                  <c:v>3.4197010420295985E-2</c:v>
                </c:pt>
                <c:pt idx="29">
                  <c:v>3.4197010420295985E-2</c:v>
                </c:pt>
                <c:pt idx="30">
                  <c:v>3.4197010420295985E-2</c:v>
                </c:pt>
                <c:pt idx="31">
                  <c:v>3.4197010420295985E-2</c:v>
                </c:pt>
                <c:pt idx="32">
                  <c:v>3.4197010420295985E-2</c:v>
                </c:pt>
                <c:pt idx="33">
                  <c:v>3.4197010420295985E-2</c:v>
                </c:pt>
                <c:pt idx="34">
                  <c:v>3.4197010420295985E-2</c:v>
                </c:pt>
                <c:pt idx="35">
                  <c:v>3.4197010420295985E-2</c:v>
                </c:pt>
                <c:pt idx="36">
                  <c:v>3.4197010420295985E-2</c:v>
                </c:pt>
                <c:pt idx="37">
                  <c:v>3.4197010420295985E-2</c:v>
                </c:pt>
                <c:pt idx="38">
                  <c:v>3.4197010420295985E-2</c:v>
                </c:pt>
                <c:pt idx="39">
                  <c:v>3.4197010420295985E-2</c:v>
                </c:pt>
                <c:pt idx="40">
                  <c:v>3.4197010420295985E-2</c:v>
                </c:pt>
                <c:pt idx="41">
                  <c:v>3.4197010420295985E-2</c:v>
                </c:pt>
                <c:pt idx="42">
                  <c:v>3.4197010420295985E-2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7-4161-BE02-6D8E516BF422}"/>
            </c:ext>
          </c:extLst>
        </c:ser>
        <c:ser>
          <c:idx val="1"/>
          <c:order val="1"/>
          <c:tx>
            <c:strRef>
              <c:f>Premie_leeftijd!$CV$4:$CV$5</c:f>
              <c:strCache>
                <c:ptCount val="2"/>
                <c:pt idx="0">
                  <c:v>Uitkeringsknip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Premie_leeftijd!$CV$6:$CV$48</c:f>
              <c:numCache>
                <c:formatCode>0.00%</c:formatCode>
                <c:ptCount val="43"/>
                <c:pt idx="0">
                  <c:v>1.3390454460139249E-2</c:v>
                </c:pt>
                <c:pt idx="1">
                  <c:v>1.1496502811526593E-2</c:v>
                </c:pt>
                <c:pt idx="2">
                  <c:v>1.1633577987471149E-2</c:v>
                </c:pt>
                <c:pt idx="3">
                  <c:v>1.1429265325174305E-2</c:v>
                </c:pt>
                <c:pt idx="4">
                  <c:v>1.0259144585357465E-2</c:v>
                </c:pt>
                <c:pt idx="5">
                  <c:v>1.2792604148555814E-2</c:v>
                </c:pt>
                <c:pt idx="6">
                  <c:v>1.1413294452717767E-2</c:v>
                </c:pt>
                <c:pt idx="7">
                  <c:v>1.1586091688732765E-2</c:v>
                </c:pt>
                <c:pt idx="8">
                  <c:v>1.242949364017997E-2</c:v>
                </c:pt>
                <c:pt idx="9">
                  <c:v>1.2257351455679041E-2</c:v>
                </c:pt>
                <c:pt idx="10">
                  <c:v>1.2548367955231357E-2</c:v>
                </c:pt>
                <c:pt idx="11">
                  <c:v>1.1517989400657503E-2</c:v>
                </c:pt>
                <c:pt idx="12">
                  <c:v>1.3486283666132264E-2</c:v>
                </c:pt>
                <c:pt idx="13">
                  <c:v>1.428716860129762E-2</c:v>
                </c:pt>
                <c:pt idx="14">
                  <c:v>1.3315598640143228E-2</c:v>
                </c:pt>
                <c:pt idx="15">
                  <c:v>1.4529427458257648E-2</c:v>
                </c:pt>
                <c:pt idx="16">
                  <c:v>1.5730371567196508E-2</c:v>
                </c:pt>
                <c:pt idx="17">
                  <c:v>1.6909624302090469E-2</c:v>
                </c:pt>
                <c:pt idx="18">
                  <c:v>1.3956973103597323E-2</c:v>
                </c:pt>
                <c:pt idx="19">
                  <c:v>1.7318362669170809E-2</c:v>
                </c:pt>
                <c:pt idx="20">
                  <c:v>1.9355581365215434E-2</c:v>
                </c:pt>
                <c:pt idx="21">
                  <c:v>1.8599557718901746E-2</c:v>
                </c:pt>
                <c:pt idx="22">
                  <c:v>1.9284846014505974E-2</c:v>
                </c:pt>
                <c:pt idx="23">
                  <c:v>2.2384258870425389E-2</c:v>
                </c:pt>
                <c:pt idx="24">
                  <c:v>2.0606686188168109E-2</c:v>
                </c:pt>
                <c:pt idx="25">
                  <c:v>2.2305796467311671E-2</c:v>
                </c:pt>
                <c:pt idx="26">
                  <c:v>2.380672660890085E-2</c:v>
                </c:pt>
                <c:pt idx="27">
                  <c:v>2.3095850583947832E-2</c:v>
                </c:pt>
                <c:pt idx="28">
                  <c:v>2.1712123368300119E-2</c:v>
                </c:pt>
                <c:pt idx="29">
                  <c:v>2.2334983408006222E-2</c:v>
                </c:pt>
                <c:pt idx="30">
                  <c:v>2.3013111105806779E-2</c:v>
                </c:pt>
                <c:pt idx="31">
                  <c:v>2.8218430270309201E-2</c:v>
                </c:pt>
                <c:pt idx="32">
                  <c:v>2.8080990999197395E-2</c:v>
                </c:pt>
                <c:pt idx="33">
                  <c:v>2.8149664065004465E-2</c:v>
                </c:pt>
                <c:pt idx="34">
                  <c:v>2.7572511890773036E-2</c:v>
                </c:pt>
                <c:pt idx="35">
                  <c:v>2.6460758706016139E-2</c:v>
                </c:pt>
                <c:pt idx="36">
                  <c:v>2.5545337827739035E-2</c:v>
                </c:pt>
                <c:pt idx="37">
                  <c:v>2.3644967690889113E-2</c:v>
                </c:pt>
                <c:pt idx="38">
                  <c:v>2.1340478900227781E-2</c:v>
                </c:pt>
                <c:pt idx="39">
                  <c:v>1.8465338318789999E-2</c:v>
                </c:pt>
                <c:pt idx="40">
                  <c:v>1.492600969016135E-2</c:v>
                </c:pt>
                <c:pt idx="41">
                  <c:v>1.0790922478666322E-2</c:v>
                </c:pt>
                <c:pt idx="42">
                  <c:v>5.8777986399083581E-3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7-4161-BE02-6D8E516BF422}"/>
            </c:ext>
          </c:extLst>
        </c:ser>
        <c:ser>
          <c:idx val="2"/>
          <c:order val="2"/>
          <c:tx>
            <c:strRef>
              <c:f>Premie_leeftijd!$CW$4:$CW$5</c:f>
              <c:strCache>
                <c:ptCount val="2"/>
                <c:pt idx="0">
                  <c:v>Uitkeringsknip</c:v>
                </c:pt>
                <c:pt idx="1">
                  <c:v>bereikbaar na AOW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Premie_leeftijd!$CW$6:$CW$48</c:f>
              <c:numCache>
                <c:formatCode>0.00%</c:formatCode>
                <c:ptCount val="43"/>
                <c:pt idx="0">
                  <c:v>2.3844519645629799E-3</c:v>
                </c:pt>
                <c:pt idx="1">
                  <c:v>2.0522478129768678E-3</c:v>
                </c:pt>
                <c:pt idx="2">
                  <c:v>2.081131273090417E-3</c:v>
                </c:pt>
                <c:pt idx="3">
                  <c:v>2.0484898347939606E-3</c:v>
                </c:pt>
                <c:pt idx="4">
                  <c:v>1.8420578030570339E-3</c:v>
                </c:pt>
                <c:pt idx="5">
                  <c:v>2.300967216361896E-3</c:v>
                </c:pt>
                <c:pt idx="6">
                  <c:v>2.0564235830306385E-3</c:v>
                </c:pt>
                <c:pt idx="7">
                  <c:v>2.0911993630729495E-3</c:v>
                </c:pt>
                <c:pt idx="8">
                  <c:v>2.2474154390083674E-3</c:v>
                </c:pt>
                <c:pt idx="9">
                  <c:v>2.2203086774066965E-3</c:v>
                </c:pt>
                <c:pt idx="10">
                  <c:v>2.2772463097119099E-3</c:v>
                </c:pt>
                <c:pt idx="11">
                  <c:v>2.0942264704736078E-3</c:v>
                </c:pt>
                <c:pt idx="12">
                  <c:v>2.456923983888421E-3</c:v>
                </c:pt>
                <c:pt idx="13">
                  <c:v>2.6080802760787814E-3</c:v>
                </c:pt>
                <c:pt idx="14">
                  <c:v>2.4357300442486339E-3</c:v>
                </c:pt>
                <c:pt idx="15">
                  <c:v>2.663409599955222E-3</c:v>
                </c:pt>
                <c:pt idx="16">
                  <c:v>2.8898473005541459E-3</c:v>
                </c:pt>
                <c:pt idx="17">
                  <c:v>3.1134315130051061E-3</c:v>
                </c:pt>
                <c:pt idx="18">
                  <c:v>2.5755756747777641E-3</c:v>
                </c:pt>
                <c:pt idx="19">
                  <c:v>3.203358302047446E-3</c:v>
                </c:pt>
                <c:pt idx="20">
                  <c:v>3.5887508924943743E-3</c:v>
                </c:pt>
                <c:pt idx="21">
                  <c:v>3.4568657800429178E-3</c:v>
                </c:pt>
                <c:pt idx="22">
                  <c:v>3.5929379988871241E-3</c:v>
                </c:pt>
                <c:pt idx="23">
                  <c:v>4.1806617781197462E-3</c:v>
                </c:pt>
                <c:pt idx="24">
                  <c:v>3.8579111344661863E-3</c:v>
                </c:pt>
                <c:pt idx="25">
                  <c:v>4.1859535142074484E-3</c:v>
                </c:pt>
                <c:pt idx="26">
                  <c:v>4.4779407049746357E-3</c:v>
                </c:pt>
                <c:pt idx="27">
                  <c:v>4.3535534482953449E-3</c:v>
                </c:pt>
                <c:pt idx="28">
                  <c:v>4.1006102605866896E-3</c:v>
                </c:pt>
                <c:pt idx="29">
                  <c:v>4.2254065624226112E-3</c:v>
                </c:pt>
                <c:pt idx="30">
                  <c:v>4.3596279834830385E-3</c:v>
                </c:pt>
                <c:pt idx="31">
                  <c:v>5.3509668725593663E-3</c:v>
                </c:pt>
                <c:pt idx="32">
                  <c:v>5.3253917319053138E-3</c:v>
                </c:pt>
                <c:pt idx="33">
                  <c:v>5.3322024497216127E-3</c:v>
                </c:pt>
                <c:pt idx="34">
                  <c:v>5.2070833108343456E-3</c:v>
                </c:pt>
                <c:pt idx="35">
                  <c:v>4.968138812616707E-3</c:v>
                </c:pt>
                <c:pt idx="36">
                  <c:v>4.7482692247581811E-3</c:v>
                </c:pt>
                <c:pt idx="37">
                  <c:v>4.3209615551507152E-3</c:v>
                </c:pt>
                <c:pt idx="38">
                  <c:v>3.7884639327162221E-3</c:v>
                </c:pt>
                <c:pt idx="39">
                  <c:v>3.1120758456147108E-3</c:v>
                </c:pt>
                <c:pt idx="40">
                  <c:v>2.2661009201737489E-3</c:v>
                </c:pt>
                <c:pt idx="41">
                  <c:v>1.2463403613070026E-3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F7-4161-BE02-6D8E516B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5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NPuitkering_leeftijd_ArbPartic!$AZ$5</c:f>
          <c:strCache>
            <c:ptCount val="1"/>
            <c:pt idx="0">
              <c:v>Ontwikkeling NP-uitkering na overlijden op 50-jarige leeftijd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5641938262706284E-2"/>
          <c:y val="6.3636367432376967E-2"/>
          <c:w val="0.90587212678312523"/>
          <c:h val="0.75001931221780671"/>
        </c:manualLayout>
      </c:layout>
      <c:lineChart>
        <c:grouping val="standard"/>
        <c:varyColors val="0"/>
        <c:ser>
          <c:idx val="0"/>
          <c:order val="0"/>
          <c:tx>
            <c:strRef>
              <c:f>NPuitkering_leeftijd_ArbPartic!$BD$6</c:f>
              <c:strCache>
                <c:ptCount val="1"/>
                <c:pt idx="0">
                  <c:v>Huidig (degr.)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NPuitkering_leeftijd_ArbPartic!$AZ$7:$AZ$57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NPuitkering_leeftijd_ArbPartic!$BD$7:$BD$57</c:f>
              <c:numCache>
                <c:formatCode>General</c:formatCode>
                <c:ptCount val="51"/>
                <c:pt idx="0">
                  <c:v>17.499999999999993</c:v>
                </c:pt>
                <c:pt idx="1">
                  <c:v>17.499999999999993</c:v>
                </c:pt>
                <c:pt idx="2">
                  <c:v>17.499999999999993</c:v>
                </c:pt>
                <c:pt idx="3">
                  <c:v>17.499999999999993</c:v>
                </c:pt>
                <c:pt idx="4">
                  <c:v>17.499999999999993</c:v>
                </c:pt>
                <c:pt idx="5">
                  <c:v>17.499999999999993</c:v>
                </c:pt>
                <c:pt idx="6">
                  <c:v>17.499999999999993</c:v>
                </c:pt>
                <c:pt idx="7">
                  <c:v>17.499999999999993</c:v>
                </c:pt>
                <c:pt idx="8">
                  <c:v>17.499999999999993</c:v>
                </c:pt>
                <c:pt idx="9">
                  <c:v>17.499999999999993</c:v>
                </c:pt>
                <c:pt idx="10">
                  <c:v>17.499999999999993</c:v>
                </c:pt>
                <c:pt idx="11">
                  <c:v>17.499999999999993</c:v>
                </c:pt>
                <c:pt idx="12">
                  <c:v>17.499999999999993</c:v>
                </c:pt>
                <c:pt idx="13">
                  <c:v>17.499999999999993</c:v>
                </c:pt>
                <c:pt idx="14">
                  <c:v>17.499999999999993</c:v>
                </c:pt>
                <c:pt idx="15">
                  <c:v>17.499999999999993</c:v>
                </c:pt>
                <c:pt idx="16">
                  <c:v>17.499999999999993</c:v>
                </c:pt>
                <c:pt idx="17">
                  <c:v>17.499999999999993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9-40CB-B1A2-43F3B85280BB}"/>
            </c:ext>
          </c:extLst>
        </c:ser>
        <c:ser>
          <c:idx val="1"/>
          <c:order val="1"/>
          <c:tx>
            <c:strRef>
              <c:f>NPuitkering_leeftijd_ArbPartic!$BE$6</c:f>
              <c:strCache>
                <c:ptCount val="1"/>
                <c:pt idx="0">
                  <c:v>Uitkeringsregeling (DSS)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NPuitkering_leeftijd_ArbPartic!$AZ$7:$AZ$57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NPuitkering_leeftijd_ArbPartic!$BE$7:$BE$57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17.499999999999993</c:v>
                </c:pt>
                <c:pt idx="19">
                  <c:v>17.499999999999993</c:v>
                </c:pt>
                <c:pt idx="20">
                  <c:v>17.499999999999993</c:v>
                </c:pt>
                <c:pt idx="21">
                  <c:v>17.499999999999993</c:v>
                </c:pt>
                <c:pt idx="22">
                  <c:v>17.499999999999993</c:v>
                </c:pt>
                <c:pt idx="23">
                  <c:v>17.499999999999993</c:v>
                </c:pt>
                <c:pt idx="24">
                  <c:v>17.499999999999993</c:v>
                </c:pt>
                <c:pt idx="25">
                  <c:v>17.499999999999993</c:v>
                </c:pt>
                <c:pt idx="26">
                  <c:v>17.499999999999993</c:v>
                </c:pt>
                <c:pt idx="27">
                  <c:v>17.499999999999993</c:v>
                </c:pt>
                <c:pt idx="28">
                  <c:v>17.499999999999993</c:v>
                </c:pt>
                <c:pt idx="29">
                  <c:v>17.499999999999993</c:v>
                </c:pt>
                <c:pt idx="30">
                  <c:v>17.499999999999993</c:v>
                </c:pt>
                <c:pt idx="31">
                  <c:v>17.499999999999993</c:v>
                </c:pt>
                <c:pt idx="32">
                  <c:v>17.499999999999993</c:v>
                </c:pt>
                <c:pt idx="33">
                  <c:v>17.499999999999993</c:v>
                </c:pt>
                <c:pt idx="34">
                  <c:v>17.499999999999993</c:v>
                </c:pt>
                <c:pt idx="35">
                  <c:v>17.499999999999993</c:v>
                </c:pt>
                <c:pt idx="36">
                  <c:v>17.499999999999993</c:v>
                </c:pt>
                <c:pt idx="37">
                  <c:v>17.499999999999993</c:v>
                </c:pt>
                <c:pt idx="38">
                  <c:v>17.499999999999993</c:v>
                </c:pt>
                <c:pt idx="39">
                  <c:v>17.499999999999993</c:v>
                </c:pt>
                <c:pt idx="40">
                  <c:v>17.499999999999993</c:v>
                </c:pt>
                <c:pt idx="41">
                  <c:v>17.499999999999993</c:v>
                </c:pt>
                <c:pt idx="42">
                  <c:v>17.499999999999993</c:v>
                </c:pt>
                <c:pt idx="43">
                  <c:v>17.499999999999993</c:v>
                </c:pt>
                <c:pt idx="44">
                  <c:v>17.499999999999993</c:v>
                </c:pt>
                <c:pt idx="45">
                  <c:v>17.499999999999993</c:v>
                </c:pt>
                <c:pt idx="46">
                  <c:v>17.499999999999993</c:v>
                </c:pt>
                <c:pt idx="47">
                  <c:v>17.499999999999993</c:v>
                </c:pt>
                <c:pt idx="48">
                  <c:v>17.499999999999993</c:v>
                </c:pt>
                <c:pt idx="49">
                  <c:v>17.499999999999993</c:v>
                </c:pt>
                <c:pt idx="50">
                  <c:v>17.499999999999993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9-40CB-B1A2-43F3B85280BB}"/>
            </c:ext>
          </c:extLst>
        </c:ser>
        <c:ser>
          <c:idx val="2"/>
          <c:order val="2"/>
          <c:tx>
            <c:strRef>
              <c:f>NPuitkering_leeftijd_ArbPartic!$BF$6</c:f>
              <c:strCache>
                <c:ptCount val="1"/>
                <c:pt idx="0">
                  <c:v>MvT, x0</c:v>
                </c:pt>
              </c:strCache>
            </c:strRef>
          </c:tx>
          <c:spPr>
            <a:ln w="8255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NPuitkering_leeftijd_ArbPartic!$AZ$7:$AZ$57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NPuitkering_leeftijd_ArbPartic!$BF$7:$BF$57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9-40CB-B1A2-43F3B85280BB}"/>
            </c:ext>
          </c:extLst>
        </c:ser>
        <c:ser>
          <c:idx val="4"/>
          <c:order val="3"/>
          <c:tx>
            <c:strRef>
              <c:f>NPuitkering_leeftijd_ArbPartic!$BG$6</c:f>
              <c:strCache>
                <c:ptCount val="1"/>
                <c:pt idx="0">
                  <c:v>Uitkeringsknip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NPuitkering_leeftijd_ArbPartic!$AZ$7:$AZ$57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NPuitkering_leeftijd_ArbPartic!$BG$7:$BG$57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19-40CB-B1A2-43F3B85280BB}"/>
            </c:ext>
          </c:extLst>
        </c:ser>
        <c:ser>
          <c:idx val="5"/>
          <c:order val="4"/>
          <c:tx>
            <c:strRef>
              <c:f>NPuitkering_leeftijd_ArbPartic!$BH$6</c:f>
              <c:strCache>
                <c:ptCount val="1"/>
                <c:pt idx="0">
                  <c:v>Saldomethode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NPuitkering_leeftijd_ArbPartic!$AZ$7:$AZ$57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NPuitkering_leeftijd_ArbPartic!$BH$7:$BH$57</c:f>
              <c:numCache>
                <c:formatCode>General</c:formatCode>
                <c:ptCount val="51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17.500000000000004</c:v>
                </c:pt>
                <c:pt idx="19">
                  <c:v>17.500000000000004</c:v>
                </c:pt>
                <c:pt idx="20">
                  <c:v>17.500000000000004</c:v>
                </c:pt>
                <c:pt idx="21">
                  <c:v>17.500000000000004</c:v>
                </c:pt>
                <c:pt idx="22">
                  <c:v>17.500000000000004</c:v>
                </c:pt>
                <c:pt idx="23">
                  <c:v>17.500000000000004</c:v>
                </c:pt>
                <c:pt idx="24">
                  <c:v>17.500000000000004</c:v>
                </c:pt>
                <c:pt idx="25">
                  <c:v>17.500000000000004</c:v>
                </c:pt>
                <c:pt idx="26">
                  <c:v>17.500000000000004</c:v>
                </c:pt>
                <c:pt idx="27">
                  <c:v>17.500000000000004</c:v>
                </c:pt>
                <c:pt idx="28">
                  <c:v>17.500000000000004</c:v>
                </c:pt>
                <c:pt idx="29">
                  <c:v>17.500000000000004</c:v>
                </c:pt>
                <c:pt idx="30">
                  <c:v>17.500000000000004</c:v>
                </c:pt>
                <c:pt idx="31">
                  <c:v>17.500000000000004</c:v>
                </c:pt>
                <c:pt idx="32">
                  <c:v>17.500000000000004</c:v>
                </c:pt>
                <c:pt idx="33">
                  <c:v>17.500000000000004</c:v>
                </c:pt>
                <c:pt idx="34">
                  <c:v>17.500000000000004</c:v>
                </c:pt>
                <c:pt idx="35">
                  <c:v>17.500000000000004</c:v>
                </c:pt>
                <c:pt idx="36">
                  <c:v>17.500000000000004</c:v>
                </c:pt>
                <c:pt idx="37">
                  <c:v>17.500000000000004</c:v>
                </c:pt>
                <c:pt idx="38">
                  <c:v>17.500000000000004</c:v>
                </c:pt>
                <c:pt idx="39">
                  <c:v>17.500000000000004</c:v>
                </c:pt>
                <c:pt idx="40">
                  <c:v>17.500000000000004</c:v>
                </c:pt>
                <c:pt idx="41">
                  <c:v>17.500000000000004</c:v>
                </c:pt>
                <c:pt idx="42">
                  <c:v>17.500000000000004</c:v>
                </c:pt>
                <c:pt idx="43">
                  <c:v>17.500000000000004</c:v>
                </c:pt>
                <c:pt idx="44">
                  <c:v>17.500000000000004</c:v>
                </c:pt>
                <c:pt idx="45">
                  <c:v>17.500000000000004</c:v>
                </c:pt>
                <c:pt idx="46">
                  <c:v>17.500000000000004</c:v>
                </c:pt>
                <c:pt idx="47">
                  <c:v>17.500000000000004</c:v>
                </c:pt>
                <c:pt idx="48">
                  <c:v>17.500000000000004</c:v>
                </c:pt>
                <c:pt idx="49">
                  <c:v>17.500000000000004</c:v>
                </c:pt>
                <c:pt idx="50">
                  <c:v>17.500000000000004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19-40CB-B1A2-43F3B8528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445871"/>
        <c:axId val="1459447535"/>
      </c:lineChart>
      <c:catAx>
        <c:axId val="1459445871"/>
        <c:scaling>
          <c:orientation val="minMax"/>
        </c:scaling>
        <c:delete val="0"/>
        <c:axPos val="b"/>
        <c:title>
          <c:tx>
            <c:strRef>
              <c:f>NPuitkering_leeftijd_ArbPartic!$AZ$6</c:f>
              <c:strCache>
                <c:ptCount val="1"/>
                <c:pt idx="0">
                  <c:v>aantal jaar na overlijden</c:v>
                </c:pt>
              </c:strCache>
            </c:strRef>
          </c:tx>
          <c:layout>
            <c:manualLayout>
              <c:xMode val="edge"/>
              <c:yMode val="edge"/>
              <c:x val="0.37677538771909036"/>
              <c:y val="0.85395411918122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7535"/>
        <c:crosses val="autoZero"/>
        <c:auto val="1"/>
        <c:lblAlgn val="ctr"/>
        <c:lblOffset val="100"/>
        <c:tickLblSkip val="10"/>
        <c:noMultiLvlLbl val="0"/>
      </c:catAx>
      <c:valAx>
        <c:axId val="1459447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(x 1.000 euro)</a:t>
                </a:r>
                <a:endParaRPr lang="nl-NL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5944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Premie_leeftijd!$CX$4</c:f>
          <c:strCache>
            <c:ptCount val="1"/>
            <c:pt idx="0">
              <c:v>Saldomethode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Premie_leeftijd!$CX$4:$CX$5</c:f>
              <c:strCache>
                <c:ptCount val="2"/>
                <c:pt idx="0">
                  <c:v>Saldomethode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Premie_leeftijd!$CX$6:$CX$48</c:f>
              <c:numCache>
                <c:formatCode>0.00%</c:formatCode>
                <c:ptCount val="43"/>
                <c:pt idx="0">
                  <c:v>3.9159687171057347E-2</c:v>
                </c:pt>
                <c:pt idx="1">
                  <c:v>3.9159687171057347E-2</c:v>
                </c:pt>
                <c:pt idx="2">
                  <c:v>3.9159687171057347E-2</c:v>
                </c:pt>
                <c:pt idx="3">
                  <c:v>3.9159687171057347E-2</c:v>
                </c:pt>
                <c:pt idx="4">
                  <c:v>3.9159687171057347E-2</c:v>
                </c:pt>
                <c:pt idx="5">
                  <c:v>3.9159687171057347E-2</c:v>
                </c:pt>
                <c:pt idx="6">
                  <c:v>3.9159687171057347E-2</c:v>
                </c:pt>
                <c:pt idx="7">
                  <c:v>3.9159687171057347E-2</c:v>
                </c:pt>
                <c:pt idx="8">
                  <c:v>3.9159687171057347E-2</c:v>
                </c:pt>
                <c:pt idx="9">
                  <c:v>3.9159687171057347E-2</c:v>
                </c:pt>
                <c:pt idx="10">
                  <c:v>3.9159687171057347E-2</c:v>
                </c:pt>
                <c:pt idx="11">
                  <c:v>3.9159687171057347E-2</c:v>
                </c:pt>
                <c:pt idx="12">
                  <c:v>3.9159687171057347E-2</c:v>
                </c:pt>
                <c:pt idx="13">
                  <c:v>3.9159687171057347E-2</c:v>
                </c:pt>
                <c:pt idx="14">
                  <c:v>3.9159687171057347E-2</c:v>
                </c:pt>
                <c:pt idx="15">
                  <c:v>3.9159687171057347E-2</c:v>
                </c:pt>
                <c:pt idx="16">
                  <c:v>3.9159687171057347E-2</c:v>
                </c:pt>
                <c:pt idx="17">
                  <c:v>3.9159687171057347E-2</c:v>
                </c:pt>
                <c:pt idx="18">
                  <c:v>3.9159687171057347E-2</c:v>
                </c:pt>
                <c:pt idx="19">
                  <c:v>3.9159687171057347E-2</c:v>
                </c:pt>
                <c:pt idx="20">
                  <c:v>3.9159687171057347E-2</c:v>
                </c:pt>
                <c:pt idx="21">
                  <c:v>3.9159687171057347E-2</c:v>
                </c:pt>
                <c:pt idx="22">
                  <c:v>3.9159687171057347E-2</c:v>
                </c:pt>
                <c:pt idx="23">
                  <c:v>3.9159687171057347E-2</c:v>
                </c:pt>
                <c:pt idx="24">
                  <c:v>3.9159687171057347E-2</c:v>
                </c:pt>
                <c:pt idx="25">
                  <c:v>3.9159687171057347E-2</c:v>
                </c:pt>
                <c:pt idx="26">
                  <c:v>3.9159687171057347E-2</c:v>
                </c:pt>
                <c:pt idx="27">
                  <c:v>3.9159687171057347E-2</c:v>
                </c:pt>
                <c:pt idx="28">
                  <c:v>3.9159687171057347E-2</c:v>
                </c:pt>
                <c:pt idx="29">
                  <c:v>3.9159687171057347E-2</c:v>
                </c:pt>
                <c:pt idx="30">
                  <c:v>3.9159687171057347E-2</c:v>
                </c:pt>
                <c:pt idx="31">
                  <c:v>3.9159687171057347E-2</c:v>
                </c:pt>
                <c:pt idx="32">
                  <c:v>3.9159687171057347E-2</c:v>
                </c:pt>
                <c:pt idx="33">
                  <c:v>3.9159687171057347E-2</c:v>
                </c:pt>
                <c:pt idx="34">
                  <c:v>3.9159687171057347E-2</c:v>
                </c:pt>
                <c:pt idx="35">
                  <c:v>3.9159687171057347E-2</c:v>
                </c:pt>
                <c:pt idx="36">
                  <c:v>3.9159687171057347E-2</c:v>
                </c:pt>
                <c:pt idx="37">
                  <c:v>3.9159687171057347E-2</c:v>
                </c:pt>
                <c:pt idx="38">
                  <c:v>3.9159687171057347E-2</c:v>
                </c:pt>
                <c:pt idx="39">
                  <c:v>3.9159687171057347E-2</c:v>
                </c:pt>
                <c:pt idx="40">
                  <c:v>3.9159687171057347E-2</c:v>
                </c:pt>
                <c:pt idx="41">
                  <c:v>3.9159687171057347E-2</c:v>
                </c:pt>
                <c:pt idx="42">
                  <c:v>3.9159687171057347E-2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7-475C-9B40-2E55C65BF86D}"/>
            </c:ext>
          </c:extLst>
        </c:ser>
        <c:ser>
          <c:idx val="1"/>
          <c:order val="1"/>
          <c:tx>
            <c:strRef>
              <c:f>Premie_leeftijd!$CY$4:$CY$5</c:f>
              <c:strCache>
                <c:ptCount val="2"/>
                <c:pt idx="0">
                  <c:v>Saldomethode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Premie_leeftijd!$CY$6:$CY$48</c:f>
              <c:numCache>
                <c:formatCode>0.00%</c:formatCode>
                <c:ptCount val="43"/>
                <c:pt idx="0">
                  <c:v>1.3140445796565399E-2</c:v>
                </c:pt>
                <c:pt idx="1">
                  <c:v>1.1068904303487491E-2</c:v>
                </c:pt>
                <c:pt idx="2">
                  <c:v>1.0987336815852641E-2</c:v>
                </c:pt>
                <c:pt idx="3">
                  <c:v>1.058645493228721E-2</c:v>
                </c:pt>
                <c:pt idx="4">
                  <c:v>9.3176626195428606E-3</c:v>
                </c:pt>
                <c:pt idx="5">
                  <c:v>1.1390286033084571E-2</c:v>
                </c:pt>
                <c:pt idx="6">
                  <c:v>9.9601514561673161E-3</c:v>
                </c:pt>
                <c:pt idx="7">
                  <c:v>9.9077500977616459E-3</c:v>
                </c:pt>
                <c:pt idx="8">
                  <c:v>1.0412994431862084E-2</c:v>
                </c:pt>
                <c:pt idx="9">
                  <c:v>1.0057642025626366E-2</c:v>
                </c:pt>
                <c:pt idx="10">
                  <c:v>1.0082198134430724E-2</c:v>
                </c:pt>
                <c:pt idx="11">
                  <c:v>9.0593708090271324E-3</c:v>
                </c:pt>
                <c:pt idx="12">
                  <c:v>1.0381405763995136E-2</c:v>
                </c:pt>
                <c:pt idx="13">
                  <c:v>1.0760380818666194E-2</c:v>
                </c:pt>
                <c:pt idx="14">
                  <c:v>9.8089975904979403E-3</c:v>
                </c:pt>
                <c:pt idx="15">
                  <c:v>1.0465551391878629E-2</c:v>
                </c:pt>
                <c:pt idx="16">
                  <c:v>1.1075383929970492E-2</c:v>
                </c:pt>
                <c:pt idx="17">
                  <c:v>1.1633357101216095E-2</c:v>
                </c:pt>
                <c:pt idx="18">
                  <c:v>9.3786588495458605E-3</c:v>
                </c:pt>
                <c:pt idx="19">
                  <c:v>1.1362627878086447E-2</c:v>
                </c:pt>
                <c:pt idx="20">
                  <c:v>1.2394210909534853E-2</c:v>
                </c:pt>
                <c:pt idx="21">
                  <c:v>1.1618514141013987E-2</c:v>
                </c:pt>
                <c:pt idx="22">
                  <c:v>1.1746017828579213E-2</c:v>
                </c:pt>
                <c:pt idx="23">
                  <c:v>1.3286948154779821E-2</c:v>
                </c:pt>
                <c:pt idx="24">
                  <c:v>1.1913554329146531E-2</c:v>
                </c:pt>
                <c:pt idx="25">
                  <c:v>1.255299940851569E-2</c:v>
                </c:pt>
                <c:pt idx="26">
                  <c:v>1.303306105037655E-2</c:v>
                </c:pt>
                <c:pt idx="27">
                  <c:v>1.2290955248983776E-2</c:v>
                </c:pt>
                <c:pt idx="28">
                  <c:v>1.12235200668325E-2</c:v>
                </c:pt>
                <c:pt idx="29">
                  <c:v>1.120600436988062E-2</c:v>
                </c:pt>
                <c:pt idx="30">
                  <c:v>1.1197319808031209E-2</c:v>
                </c:pt>
                <c:pt idx="31">
                  <c:v>1.3303434964424146E-2</c:v>
                </c:pt>
                <c:pt idx="32">
                  <c:v>1.2813238467340794E-2</c:v>
                </c:pt>
                <c:pt idx="33">
                  <c:v>1.241698167608552E-2</c:v>
                </c:pt>
                <c:pt idx="34">
                  <c:v>1.1741946706077809E-2</c:v>
                </c:pt>
                <c:pt idx="35">
                  <c:v>1.0863050244077089E-2</c:v>
                </c:pt>
                <c:pt idx="36">
                  <c:v>1.0093720953155758E-2</c:v>
                </c:pt>
                <c:pt idx="37">
                  <c:v>8.9761008738718732E-3</c:v>
                </c:pt>
                <c:pt idx="38">
                  <c:v>7.7677683118975976E-3</c:v>
                </c:pt>
                <c:pt idx="39">
                  <c:v>6.4302092469240022E-3</c:v>
                </c:pt>
                <c:pt idx="40">
                  <c:v>4.9602318334450966E-3</c:v>
                </c:pt>
                <c:pt idx="41">
                  <c:v>3.4126240730454212E-3</c:v>
                </c:pt>
                <c:pt idx="42">
                  <c:v>1.7633395919725067E-3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7-475C-9B40-2E55C65BF86D}"/>
            </c:ext>
          </c:extLst>
        </c:ser>
        <c:ser>
          <c:idx val="2"/>
          <c:order val="2"/>
          <c:tx>
            <c:strRef>
              <c:f>Premie_leeftijd!$CZ$4:$CZ$5</c:f>
              <c:strCache>
                <c:ptCount val="2"/>
                <c:pt idx="0">
                  <c:v>Saldomethode</c:v>
                </c:pt>
                <c:pt idx="1">
                  <c:v>bereikbaar vanaf AOW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Premie_leeftijd!$CZ$6:$CZ$48</c:f>
              <c:numCache>
                <c:formatCode>0.00%</c:formatCode>
                <c:ptCount val="43"/>
                <c:pt idx="0">
                  <c:v>2.3844519645629799E-3</c:v>
                </c:pt>
                <c:pt idx="1">
                  <c:v>2.0522478129768678E-3</c:v>
                </c:pt>
                <c:pt idx="2">
                  <c:v>2.081131273090417E-3</c:v>
                </c:pt>
                <c:pt idx="3">
                  <c:v>2.0484898347939606E-3</c:v>
                </c:pt>
                <c:pt idx="4">
                  <c:v>1.8420578030570339E-3</c:v>
                </c:pt>
                <c:pt idx="5">
                  <c:v>2.300967216361896E-3</c:v>
                </c:pt>
                <c:pt idx="6">
                  <c:v>2.0564235830306385E-3</c:v>
                </c:pt>
                <c:pt idx="7">
                  <c:v>2.0911993630729495E-3</c:v>
                </c:pt>
                <c:pt idx="8">
                  <c:v>2.2474154390083674E-3</c:v>
                </c:pt>
                <c:pt idx="9">
                  <c:v>2.2203086774066965E-3</c:v>
                </c:pt>
                <c:pt idx="10">
                  <c:v>2.2772463097119099E-3</c:v>
                </c:pt>
                <c:pt idx="11">
                  <c:v>2.0942264704736078E-3</c:v>
                </c:pt>
                <c:pt idx="12">
                  <c:v>2.456923983888421E-3</c:v>
                </c:pt>
                <c:pt idx="13">
                  <c:v>2.6080802760787814E-3</c:v>
                </c:pt>
                <c:pt idx="14">
                  <c:v>2.4357300442486339E-3</c:v>
                </c:pt>
                <c:pt idx="15">
                  <c:v>2.663409599955222E-3</c:v>
                </c:pt>
                <c:pt idx="16">
                  <c:v>2.8898473005541459E-3</c:v>
                </c:pt>
                <c:pt idx="17">
                  <c:v>3.1134315130051061E-3</c:v>
                </c:pt>
                <c:pt idx="18">
                  <c:v>2.5755756747777641E-3</c:v>
                </c:pt>
                <c:pt idx="19">
                  <c:v>3.203358302047446E-3</c:v>
                </c:pt>
                <c:pt idx="20">
                  <c:v>3.5887508924943743E-3</c:v>
                </c:pt>
                <c:pt idx="21">
                  <c:v>3.4568657800429178E-3</c:v>
                </c:pt>
                <c:pt idx="22">
                  <c:v>3.5929379988871241E-3</c:v>
                </c:pt>
                <c:pt idx="23">
                  <c:v>4.1806617781197462E-3</c:v>
                </c:pt>
                <c:pt idx="24">
                  <c:v>3.8579111344661863E-3</c:v>
                </c:pt>
                <c:pt idx="25">
                  <c:v>4.1859535142074484E-3</c:v>
                </c:pt>
                <c:pt idx="26">
                  <c:v>4.4779407049746357E-3</c:v>
                </c:pt>
                <c:pt idx="27">
                  <c:v>4.3535534482953449E-3</c:v>
                </c:pt>
                <c:pt idx="28">
                  <c:v>4.1006102605866896E-3</c:v>
                </c:pt>
                <c:pt idx="29">
                  <c:v>4.2254065624226112E-3</c:v>
                </c:pt>
                <c:pt idx="30">
                  <c:v>4.3596279834830385E-3</c:v>
                </c:pt>
                <c:pt idx="31">
                  <c:v>5.3509668725593663E-3</c:v>
                </c:pt>
                <c:pt idx="32">
                  <c:v>5.3253917319053138E-3</c:v>
                </c:pt>
                <c:pt idx="33">
                  <c:v>5.3322024497216127E-3</c:v>
                </c:pt>
                <c:pt idx="34">
                  <c:v>5.2070833108343456E-3</c:v>
                </c:pt>
                <c:pt idx="35">
                  <c:v>4.968138812616707E-3</c:v>
                </c:pt>
                <c:pt idx="36">
                  <c:v>4.7482692247581811E-3</c:v>
                </c:pt>
                <c:pt idx="37">
                  <c:v>4.3209615551507152E-3</c:v>
                </c:pt>
                <c:pt idx="38">
                  <c:v>3.7884639327162221E-3</c:v>
                </c:pt>
                <c:pt idx="39">
                  <c:v>3.1120758456147108E-3</c:v>
                </c:pt>
                <c:pt idx="40">
                  <c:v>2.2661009201737489E-3</c:v>
                </c:pt>
                <c:pt idx="41">
                  <c:v>1.2463403613070026E-3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1-425B-A57A-019B6D9D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5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Premie_leeftijd!$CJ$4</c:f>
          <c:strCache>
            <c:ptCount val="1"/>
            <c:pt idx="0">
              <c:v>Uitkeringsregeling (DSS)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Premie_leeftijd!$CJ$4:$CJ$5</c:f>
              <c:strCache>
                <c:ptCount val="2"/>
                <c:pt idx="0">
                  <c:v>Uitkeringsregeling (DSS)</c:v>
                </c:pt>
                <c:pt idx="1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Premie_leeftijd!$CJ$6:$CJ$48</c:f>
              <c:numCache>
                <c:formatCode>0.00%</c:formatCode>
                <c:ptCount val="43"/>
                <c:pt idx="0">
                  <c:v>3.4143580072814594E-2</c:v>
                </c:pt>
                <c:pt idx="1">
                  <c:v>3.4415533171274423E-2</c:v>
                </c:pt>
                <c:pt idx="2">
                  <c:v>3.4729144314386638E-2</c:v>
                </c:pt>
                <c:pt idx="3">
                  <c:v>3.5042374325159394E-2</c:v>
                </c:pt>
                <c:pt idx="4">
                  <c:v>3.5359567212225745E-2</c:v>
                </c:pt>
                <c:pt idx="5">
                  <c:v>3.5714519598019891E-2</c:v>
                </c:pt>
                <c:pt idx="6">
                  <c:v>3.6014448668308198E-2</c:v>
                </c:pt>
                <c:pt idx="7">
                  <c:v>3.634848368925446E-2</c:v>
                </c:pt>
                <c:pt idx="8">
                  <c:v>3.6686051727667188E-2</c:v>
                </c:pt>
                <c:pt idx="9">
                  <c:v>3.7008341533451485E-2</c:v>
                </c:pt>
                <c:pt idx="10">
                  <c:v>3.7339348739914416E-2</c:v>
                </c:pt>
                <c:pt idx="11">
                  <c:v>3.7663195356284943E-2</c:v>
                </c:pt>
                <c:pt idx="12">
                  <c:v>3.802269661452537E-2</c:v>
                </c:pt>
                <c:pt idx="13">
                  <c:v>3.8344524344372827E-2</c:v>
                </c:pt>
                <c:pt idx="14">
                  <c:v>3.864626499327492E-2</c:v>
                </c:pt>
                <c:pt idx="15">
                  <c:v>3.897951537899734E-2</c:v>
                </c:pt>
                <c:pt idx="16">
                  <c:v>3.9292862260723829E-2</c:v>
                </c:pt>
                <c:pt idx="17">
                  <c:v>3.9585646965650159E-2</c:v>
                </c:pt>
                <c:pt idx="18">
                  <c:v>3.9834900503140785E-2</c:v>
                </c:pt>
                <c:pt idx="19">
                  <c:v>4.0177924817391873E-2</c:v>
                </c:pt>
                <c:pt idx="20">
                  <c:v>4.0449699971952323E-2</c:v>
                </c:pt>
                <c:pt idx="21">
                  <c:v>4.0664011789861468E-2</c:v>
                </c:pt>
                <c:pt idx="22">
                  <c:v>4.090114065193675E-2</c:v>
                </c:pt>
                <c:pt idx="23">
                  <c:v>4.1139258499283904E-2</c:v>
                </c:pt>
                <c:pt idx="24">
                  <c:v>4.1276480769395017E-2</c:v>
                </c:pt>
                <c:pt idx="25">
                  <c:v>4.1471117029368537E-2</c:v>
                </c:pt>
                <c:pt idx="26">
                  <c:v>4.1623106434542201E-2</c:v>
                </c:pt>
                <c:pt idx="27">
                  <c:v>4.1716554523662318E-2</c:v>
                </c:pt>
                <c:pt idx="28">
                  <c:v>4.1809126462758882E-2</c:v>
                </c:pt>
                <c:pt idx="29">
                  <c:v>4.1940267434449667E-2</c:v>
                </c:pt>
                <c:pt idx="30">
                  <c:v>4.2045653441525555E-2</c:v>
                </c:pt>
                <c:pt idx="31">
                  <c:v>4.2167922958118047E-2</c:v>
                </c:pt>
                <c:pt idx="32">
                  <c:v>4.2080632460926623E-2</c:v>
                </c:pt>
                <c:pt idx="33">
                  <c:v>4.1967434350396141E-2</c:v>
                </c:pt>
                <c:pt idx="34">
                  <c:v>4.1805268383580008E-2</c:v>
                </c:pt>
                <c:pt idx="35">
                  <c:v>4.1604018361135066E-2</c:v>
                </c:pt>
                <c:pt idx="36">
                  <c:v>4.1382460537383522E-2</c:v>
                </c:pt>
                <c:pt idx="37">
                  <c:v>4.1102108714328782E-2</c:v>
                </c:pt>
                <c:pt idx="38">
                  <c:v>4.0791869215346069E-2</c:v>
                </c:pt>
                <c:pt idx="39">
                  <c:v>4.0447149607241766E-2</c:v>
                </c:pt>
                <c:pt idx="40">
                  <c:v>4.0068172670317634E-2</c:v>
                </c:pt>
                <c:pt idx="41">
                  <c:v>3.9664616188673937E-2</c:v>
                </c:pt>
                <c:pt idx="42">
                  <c:v>3.923089489069613E-2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A-453E-A5DB-8D29FBCC31F8}"/>
            </c:ext>
          </c:extLst>
        </c:ser>
        <c:ser>
          <c:idx val="1"/>
          <c:order val="1"/>
          <c:tx>
            <c:strRef>
              <c:f>Premie_leeftijd!$CK$4:$CK$5</c:f>
              <c:strCache>
                <c:ptCount val="2"/>
                <c:pt idx="0">
                  <c:v>Uitkeringsregeling (DSS)</c:v>
                </c:pt>
                <c:pt idx="1">
                  <c:v>bereikbaar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Premie_leeftijd!$CK$6:$CK$48</c:f>
              <c:numCache>
                <c:formatCode>0.00%</c:formatCode>
                <c:ptCount val="43"/>
                <c:pt idx="0">
                  <c:v>1.1556471454030898E-2</c:v>
                </c:pt>
                <c:pt idx="1">
                  <c:v>9.7491044460461113E-3</c:v>
                </c:pt>
                <c:pt idx="2">
                  <c:v>9.6949105918057686E-3</c:v>
                </c:pt>
                <c:pt idx="3">
                  <c:v>9.3569491640317689E-3</c:v>
                </c:pt>
                <c:pt idx="4">
                  <c:v>8.2486468405200339E-3</c:v>
                </c:pt>
                <c:pt idx="5">
                  <c:v>1.0096210258326651E-2</c:v>
                </c:pt>
                <c:pt idx="6">
                  <c:v>8.8403447378069943E-3</c:v>
                </c:pt>
                <c:pt idx="7">
                  <c:v>8.8037003482156571E-3</c:v>
                </c:pt>
                <c:pt idx="8">
                  <c:v>9.2613908484145448E-3</c:v>
                </c:pt>
                <c:pt idx="9">
                  <c:v>8.9530374020717167E-3</c:v>
                </c:pt>
                <c:pt idx="10">
                  <c:v>8.9810764731890723E-3</c:v>
                </c:pt>
                <c:pt idx="11">
                  <c:v>8.074896751224872E-3</c:v>
                </c:pt>
                <c:pt idx="12">
                  <c:v>9.2557261496174111E-3</c:v>
                </c:pt>
                <c:pt idx="13">
                  <c:v>9.5951767564058637E-3</c:v>
                </c:pt>
                <c:pt idx="14">
                  <c:v>8.7477316160253175E-3</c:v>
                </c:pt>
                <c:pt idx="15">
                  <c:v>9.331199619587071E-3</c:v>
                </c:pt>
                <c:pt idx="16">
                  <c:v>9.8708236500986962E-3</c:v>
                </c:pt>
                <c:pt idx="17">
                  <c:v>1.0361739502119589E-2</c:v>
                </c:pt>
                <c:pt idx="18">
                  <c:v>8.3491360571866218E-3</c:v>
                </c:pt>
                <c:pt idx="19">
                  <c:v>1.0103080575642222E-2</c:v>
                </c:pt>
                <c:pt idx="20">
                  <c:v>1.1005271631166724E-2</c:v>
                </c:pt>
                <c:pt idx="21">
                  <c:v>1.0302171249158576E-2</c:v>
                </c:pt>
                <c:pt idx="22">
                  <c:v>1.0396865480366035E-2</c:v>
                </c:pt>
                <c:pt idx="23">
                  <c:v>1.173418468405287E-2</c:v>
                </c:pt>
                <c:pt idx="24">
                  <c:v>1.0498773242061842E-2</c:v>
                </c:pt>
                <c:pt idx="25">
                  <c:v>1.1031394962552107E-2</c:v>
                </c:pt>
                <c:pt idx="26">
                  <c:v>1.1416960028653906E-2</c:v>
                </c:pt>
                <c:pt idx="27">
                  <c:v>1.073050763154226E-2</c:v>
                </c:pt>
                <c:pt idx="28">
                  <c:v>9.7614135321385798E-3</c:v>
                </c:pt>
                <c:pt idx="29">
                  <c:v>9.701069377405027E-3</c:v>
                </c:pt>
                <c:pt idx="30">
                  <c:v>9.6412203571356499E-3</c:v>
                </c:pt>
                <c:pt idx="31">
                  <c:v>1.1375332522536898E-2</c:v>
                </c:pt>
                <c:pt idx="32">
                  <c:v>1.0874688441214166E-2</c:v>
                </c:pt>
                <c:pt idx="33">
                  <c:v>1.0443903510910653E-2</c:v>
                </c:pt>
                <c:pt idx="34">
                  <c:v>9.7682501215038877E-3</c:v>
                </c:pt>
                <c:pt idx="35">
                  <c:v>8.9128849751201385E-3</c:v>
                </c:pt>
                <c:pt idx="36">
                  <c:v>8.1313811089489853E-3</c:v>
                </c:pt>
                <c:pt idx="37">
                  <c:v>7.0516306161286261E-3</c:v>
                </c:pt>
                <c:pt idx="38">
                  <c:v>5.8805078276071799E-3</c:v>
                </c:pt>
                <c:pt idx="39">
                  <c:v>4.5851809266456408E-3</c:v>
                </c:pt>
                <c:pt idx="40">
                  <c:v>3.1623141789116774E-3</c:v>
                </c:pt>
                <c:pt idx="41">
                  <c:v>1.6433320319640401E-3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A-453E-A5DB-8D29FBCC3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  <c:extLst>
          <c:ext xmlns:c15="http://schemas.microsoft.com/office/drawing/2012/chart" uri="{02D57815-91ED-43cb-92C2-25804820EDAC}">
            <c15:filteredArea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Premie_leeftijd!$CL$4:$CL$5</c15:sqref>
                        </c15:formulaRef>
                      </c:ext>
                    </c:extLst>
                    <c:strCache>
                      <c:ptCount val="2"/>
                      <c:pt idx="0">
                        <c:v>Uitkeringsregeling (DSS)</c:v>
                      </c:pt>
                      <c:pt idx="1">
                        <c:v>risico, ANW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Premie_leeftijd!$H$6:$H$48</c15:sqref>
                        </c15:formulaRef>
                      </c:ext>
                    </c:extLst>
                    <c:numCache>
                      <c:formatCode>General</c:formatCode>
                      <c:ptCount val="43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27</c:v>
                      </c:pt>
                      <c:pt idx="3">
                        <c:v>28</c:v>
                      </c:pt>
                      <c:pt idx="4">
                        <c:v>29</c:v>
                      </c:pt>
                      <c:pt idx="5">
                        <c:v>30</c:v>
                      </c:pt>
                      <c:pt idx="6">
                        <c:v>31</c:v>
                      </c:pt>
                      <c:pt idx="7">
                        <c:v>32</c:v>
                      </c:pt>
                      <c:pt idx="8">
                        <c:v>33</c:v>
                      </c:pt>
                      <c:pt idx="9">
                        <c:v>34</c:v>
                      </c:pt>
                      <c:pt idx="10">
                        <c:v>35</c:v>
                      </c:pt>
                      <c:pt idx="11">
                        <c:v>36</c:v>
                      </c:pt>
                      <c:pt idx="12">
                        <c:v>37</c:v>
                      </c:pt>
                      <c:pt idx="13">
                        <c:v>38</c:v>
                      </c:pt>
                      <c:pt idx="14">
                        <c:v>39</c:v>
                      </c:pt>
                      <c:pt idx="15">
                        <c:v>40</c:v>
                      </c:pt>
                      <c:pt idx="16">
                        <c:v>41</c:v>
                      </c:pt>
                      <c:pt idx="17">
                        <c:v>42</c:v>
                      </c:pt>
                      <c:pt idx="18">
                        <c:v>43</c:v>
                      </c:pt>
                      <c:pt idx="19">
                        <c:v>44</c:v>
                      </c:pt>
                      <c:pt idx="20">
                        <c:v>45</c:v>
                      </c:pt>
                      <c:pt idx="21">
                        <c:v>46</c:v>
                      </c:pt>
                      <c:pt idx="22">
                        <c:v>47</c:v>
                      </c:pt>
                      <c:pt idx="23">
                        <c:v>48</c:v>
                      </c:pt>
                      <c:pt idx="24">
                        <c:v>49</c:v>
                      </c:pt>
                      <c:pt idx="25">
                        <c:v>50</c:v>
                      </c:pt>
                      <c:pt idx="26">
                        <c:v>51</c:v>
                      </c:pt>
                      <c:pt idx="27">
                        <c:v>52</c:v>
                      </c:pt>
                      <c:pt idx="28">
                        <c:v>53</c:v>
                      </c:pt>
                      <c:pt idx="29">
                        <c:v>54</c:v>
                      </c:pt>
                      <c:pt idx="30">
                        <c:v>55</c:v>
                      </c:pt>
                      <c:pt idx="31">
                        <c:v>56</c:v>
                      </c:pt>
                      <c:pt idx="32">
                        <c:v>57</c:v>
                      </c:pt>
                      <c:pt idx="33">
                        <c:v>58</c:v>
                      </c:pt>
                      <c:pt idx="34">
                        <c:v>59</c:v>
                      </c:pt>
                      <c:pt idx="35">
                        <c:v>60</c:v>
                      </c:pt>
                      <c:pt idx="36">
                        <c:v>61</c:v>
                      </c:pt>
                      <c:pt idx="37">
                        <c:v>62</c:v>
                      </c:pt>
                      <c:pt idx="38">
                        <c:v>63</c:v>
                      </c:pt>
                      <c:pt idx="39">
                        <c:v>64</c:v>
                      </c:pt>
                      <c:pt idx="40">
                        <c:v>65</c:v>
                      </c:pt>
                      <c:pt idx="41">
                        <c:v>66</c:v>
                      </c:pt>
                      <c:pt idx="42">
                        <c:v>67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Premie_leeftijd!$CL$6:$CL$48</c15:sqref>
                        </c15:formulaRef>
                      </c:ext>
                    </c:extLst>
                    <c:numCache>
                      <c:formatCode>0.00%</c:formatCode>
                      <c:ptCount val="4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4835-429E-933C-DD78D7149DEC}"/>
                  </c:ext>
                </c:extLst>
              </c15:ser>
            </c15:filteredAreaSeries>
          </c:ext>
        </c:extLst>
      </c:areaChart>
      <c:catAx>
        <c:axId val="21379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5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0"/>
          <c:tx>
            <c:strRef>
              <c:f>Premie_leeftijd!$DL$2</c:f>
              <c:strCache>
                <c:ptCount val="1"/>
                <c:pt idx="0">
                  <c:v>Risico (ANW-hiaat)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Premie_leeftijd!$DM$2:$DS$2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 formatCode="0%">
                  <c:v>0</c:v>
                </c:pt>
                <c:pt idx="3" formatCode="0%">
                  <c:v>0</c:v>
                </c:pt>
                <c:pt idx="4" formatCode="0%">
                  <c:v>0</c:v>
                </c:pt>
                <c:pt idx="5" formatCode="0%">
                  <c:v>0</c:v>
                </c:pt>
                <c:pt idx="6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91-4E14-822D-DC00980693D4}"/>
            </c:ext>
          </c:extLst>
        </c:ser>
        <c:ser>
          <c:idx val="0"/>
          <c:order val="1"/>
          <c:tx>
            <c:strRef>
              <c:f>Premie_leeftijd!$DL$3</c:f>
              <c:strCache>
                <c:ptCount val="1"/>
                <c:pt idx="0">
                  <c:v>Risico (pens.gev.loon)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Premie_leeftijd!$DM$1:$DS$1</c:f>
              <c:strCache>
                <c:ptCount val="7"/>
                <c:pt idx="0">
                  <c:v>Uitkeringsregeling (DSS)</c:v>
                </c:pt>
                <c:pt idx="1">
                  <c:v>Uitkeringsregeling (degr)</c:v>
                </c:pt>
                <c:pt idx="2">
                  <c:v>MvT</c:v>
                </c:pt>
                <c:pt idx="3">
                  <c:v>MvT_x</c:v>
                </c:pt>
                <c:pt idx="4">
                  <c:v>MvT met overbrugging</c:v>
                </c:pt>
                <c:pt idx="5">
                  <c:v>Uitkeringsknip</c:v>
                </c:pt>
                <c:pt idx="6">
                  <c:v>Saldomethode</c:v>
                </c:pt>
              </c:strCache>
            </c:strRef>
          </c:cat>
          <c:val>
            <c:numRef>
              <c:f>Premie_leeftijd!$DM$3:$DS$3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 formatCode="0.0%">
                  <c:v>0.61141214906987595</c:v>
                </c:pt>
                <c:pt idx="3" formatCode="0.0%">
                  <c:v>0.61141214906987595</c:v>
                </c:pt>
                <c:pt idx="4" formatCode="0.0%">
                  <c:v>0.56804533015474257</c:v>
                </c:pt>
                <c:pt idx="5" formatCode="0.0%">
                  <c:v>0.31249763140981213</c:v>
                </c:pt>
                <c:pt idx="6" formatCode="0.0%">
                  <c:v>0.19986015837629675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6-4475-9ED2-8D84334E00E3}"/>
            </c:ext>
          </c:extLst>
        </c:ser>
        <c:ser>
          <c:idx val="2"/>
          <c:order val="2"/>
          <c:tx>
            <c:strRef>
              <c:f>Premie_leeftijd!$DL$4</c:f>
              <c:strCache>
                <c:ptCount val="1"/>
                <c:pt idx="0">
                  <c:v>Risico (bereikbaar)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Premie_leeftijd!$DM$4:$DS$4</c:f>
              <c:numCache>
                <c:formatCode>0.0%</c:formatCode>
                <c:ptCount val="7"/>
                <c:pt idx="0">
                  <c:v>0.19022242224177768</c:v>
                </c:pt>
                <c:pt idx="1">
                  <c:v>0.18395384190273292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5.6905289830321733E-2</c:v>
                </c:pt>
                <c:pt idx="6">
                  <c:v>5.8448431527127059E-2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F-4721-8C60-5634777904DB}"/>
            </c:ext>
          </c:extLst>
        </c:ser>
        <c:ser>
          <c:idx val="1"/>
          <c:order val="3"/>
          <c:tx>
            <c:strRef>
              <c:f>Premie_leeftijd!$DL$5</c:f>
              <c:strCache>
                <c:ptCount val="1"/>
                <c:pt idx="0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Premie_leeftijd!$DM$1:$DS$1</c:f>
              <c:strCache>
                <c:ptCount val="7"/>
                <c:pt idx="0">
                  <c:v>Uitkeringsregeling (DSS)</c:v>
                </c:pt>
                <c:pt idx="1">
                  <c:v>Uitkeringsregeling (degr)</c:v>
                </c:pt>
                <c:pt idx="2">
                  <c:v>MvT</c:v>
                </c:pt>
                <c:pt idx="3">
                  <c:v>MvT_x</c:v>
                </c:pt>
                <c:pt idx="4">
                  <c:v>MvT met overbrugging</c:v>
                </c:pt>
                <c:pt idx="5">
                  <c:v>Uitkeringsknip</c:v>
                </c:pt>
                <c:pt idx="6">
                  <c:v>Saldomethode</c:v>
                </c:pt>
              </c:strCache>
            </c:strRef>
          </c:cat>
          <c:val>
            <c:numRef>
              <c:f>Premie_leeftijd!$DM$5:$DS$5</c:f>
              <c:numCache>
                <c:formatCode>0.0%</c:formatCode>
                <c:ptCount val="7"/>
                <c:pt idx="0">
                  <c:v>0.80977757775822246</c:v>
                </c:pt>
                <c:pt idx="1">
                  <c:v>0.81604615809726699</c:v>
                </c:pt>
                <c:pt idx="2">
                  <c:v>0.3885878509301241</c:v>
                </c:pt>
                <c:pt idx="3">
                  <c:v>0.3885878509301241</c:v>
                </c:pt>
                <c:pt idx="4">
                  <c:v>0.43195466984525738</c:v>
                </c:pt>
                <c:pt idx="5">
                  <c:v>0.63059707875986593</c:v>
                </c:pt>
                <c:pt idx="6">
                  <c:v>0.74169141009657591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6-4475-9ED2-8D84334E0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4521775"/>
        <c:axId val="1214523439"/>
      </c:barChart>
      <c:catAx>
        <c:axId val="1214521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14523439"/>
        <c:crosses val="autoZero"/>
        <c:auto val="1"/>
        <c:lblAlgn val="ctr"/>
        <c:lblOffset val="100"/>
        <c:noMultiLvlLbl val="0"/>
      </c:catAx>
      <c:valAx>
        <c:axId val="12145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1452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Premie_leeftijd!$DG$5</c:f>
          <c:strCache>
            <c:ptCount val="1"/>
            <c:pt idx="0">
              <c:v>MvT met overbrugging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Premie_leeftijd!$CP$4:$CP$5</c:f>
              <c:strCache>
                <c:ptCount val="2"/>
                <c:pt idx="0">
                  <c:v>MvT</c:v>
                </c:pt>
                <c:pt idx="1">
                  <c:v>opbouw na AOW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Premie_leeftijd!$CP$6:$CP$48</c:f>
              <c:numCache>
                <c:formatCode>0.00%</c:formatCode>
                <c:ptCount val="43"/>
                <c:pt idx="0">
                  <c:v>2.3794373702957207E-2</c:v>
                </c:pt>
                <c:pt idx="1">
                  <c:v>2.3794373702957207E-2</c:v>
                </c:pt>
                <c:pt idx="2">
                  <c:v>2.3794373702957207E-2</c:v>
                </c:pt>
                <c:pt idx="3">
                  <c:v>2.3794373702957207E-2</c:v>
                </c:pt>
                <c:pt idx="4">
                  <c:v>2.3794373702957207E-2</c:v>
                </c:pt>
                <c:pt idx="5">
                  <c:v>2.3794373702957207E-2</c:v>
                </c:pt>
                <c:pt idx="6">
                  <c:v>2.3794373702957207E-2</c:v>
                </c:pt>
                <c:pt idx="7">
                  <c:v>2.3794373702957207E-2</c:v>
                </c:pt>
                <c:pt idx="8">
                  <c:v>2.3794373702957207E-2</c:v>
                </c:pt>
                <c:pt idx="9">
                  <c:v>2.3794373702957207E-2</c:v>
                </c:pt>
                <c:pt idx="10">
                  <c:v>2.3794373702957207E-2</c:v>
                </c:pt>
                <c:pt idx="11">
                  <c:v>2.3794373702957207E-2</c:v>
                </c:pt>
                <c:pt idx="12">
                  <c:v>2.3794373702957207E-2</c:v>
                </c:pt>
                <c:pt idx="13">
                  <c:v>2.3794373702957207E-2</c:v>
                </c:pt>
                <c:pt idx="14">
                  <c:v>2.3794373702957207E-2</c:v>
                </c:pt>
                <c:pt idx="15">
                  <c:v>2.3794373702957207E-2</c:v>
                </c:pt>
                <c:pt idx="16">
                  <c:v>2.3794373702957207E-2</c:v>
                </c:pt>
                <c:pt idx="17">
                  <c:v>2.3794373702957207E-2</c:v>
                </c:pt>
                <c:pt idx="18">
                  <c:v>2.3794373702957207E-2</c:v>
                </c:pt>
                <c:pt idx="19">
                  <c:v>2.3794373702957207E-2</c:v>
                </c:pt>
                <c:pt idx="20">
                  <c:v>2.3794373702957207E-2</c:v>
                </c:pt>
                <c:pt idx="21">
                  <c:v>2.3794373702957207E-2</c:v>
                </c:pt>
                <c:pt idx="22">
                  <c:v>2.3794373702957207E-2</c:v>
                </c:pt>
                <c:pt idx="23">
                  <c:v>2.3794373702957207E-2</c:v>
                </c:pt>
                <c:pt idx="24">
                  <c:v>2.3794373702957207E-2</c:v>
                </c:pt>
                <c:pt idx="25">
                  <c:v>2.3794373702957207E-2</c:v>
                </c:pt>
                <c:pt idx="26">
                  <c:v>2.3794373702957207E-2</c:v>
                </c:pt>
                <c:pt idx="27">
                  <c:v>2.3794373702957207E-2</c:v>
                </c:pt>
                <c:pt idx="28">
                  <c:v>2.3794373702957207E-2</c:v>
                </c:pt>
                <c:pt idx="29">
                  <c:v>2.3794373702957207E-2</c:v>
                </c:pt>
                <c:pt idx="30">
                  <c:v>2.3794373702957207E-2</c:v>
                </c:pt>
                <c:pt idx="31">
                  <c:v>2.3794373702957207E-2</c:v>
                </c:pt>
                <c:pt idx="32">
                  <c:v>2.3794373702957207E-2</c:v>
                </c:pt>
                <c:pt idx="33">
                  <c:v>2.3794373702957207E-2</c:v>
                </c:pt>
                <c:pt idx="34">
                  <c:v>2.3794373702957207E-2</c:v>
                </c:pt>
                <c:pt idx="35">
                  <c:v>2.3794373702957207E-2</c:v>
                </c:pt>
                <c:pt idx="36">
                  <c:v>2.3794373702957207E-2</c:v>
                </c:pt>
                <c:pt idx="37">
                  <c:v>2.3794373702957207E-2</c:v>
                </c:pt>
                <c:pt idx="38">
                  <c:v>2.3794373702957207E-2</c:v>
                </c:pt>
                <c:pt idx="39">
                  <c:v>2.3794373702957207E-2</c:v>
                </c:pt>
                <c:pt idx="40">
                  <c:v>2.3794373702957207E-2</c:v>
                </c:pt>
                <c:pt idx="41">
                  <c:v>2.3794373702957207E-2</c:v>
                </c:pt>
                <c:pt idx="42">
                  <c:v>2.3794373702957207E-2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0-47F7-9F9C-1E4AC2DF8A9D}"/>
            </c:ext>
          </c:extLst>
        </c:ser>
        <c:ser>
          <c:idx val="1"/>
          <c:order val="1"/>
          <c:tx>
            <c:strRef>
              <c:f>Premie_leeftijd!$CQ$4:$CQ$5</c:f>
              <c:strCache>
                <c:ptCount val="2"/>
                <c:pt idx="0">
                  <c:v>MvT</c:v>
                </c:pt>
                <c:pt idx="1">
                  <c:v>risico voor AOW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Premie_leeftijd!$CQ$6:$CQ$48</c:f>
              <c:numCache>
                <c:formatCode>0.00%</c:formatCode>
                <c:ptCount val="43"/>
                <c:pt idx="0">
                  <c:v>1.3390454460139249E-2</c:v>
                </c:pt>
                <c:pt idx="1">
                  <c:v>1.1496502811526593E-2</c:v>
                </c:pt>
                <c:pt idx="2">
                  <c:v>1.1633577987471149E-2</c:v>
                </c:pt>
                <c:pt idx="3">
                  <c:v>1.1429265325174305E-2</c:v>
                </c:pt>
                <c:pt idx="4">
                  <c:v>1.0259144585357465E-2</c:v>
                </c:pt>
                <c:pt idx="5">
                  <c:v>1.2792604148555814E-2</c:v>
                </c:pt>
                <c:pt idx="6">
                  <c:v>1.1413294452717767E-2</c:v>
                </c:pt>
                <c:pt idx="7">
                  <c:v>1.1586091688732765E-2</c:v>
                </c:pt>
                <c:pt idx="8">
                  <c:v>1.242949364017997E-2</c:v>
                </c:pt>
                <c:pt idx="9">
                  <c:v>1.2257351455679041E-2</c:v>
                </c:pt>
                <c:pt idx="10">
                  <c:v>1.2548367955231357E-2</c:v>
                </c:pt>
                <c:pt idx="11">
                  <c:v>1.1517989400657503E-2</c:v>
                </c:pt>
                <c:pt idx="12">
                  <c:v>1.3486283666132264E-2</c:v>
                </c:pt>
                <c:pt idx="13">
                  <c:v>1.428716860129762E-2</c:v>
                </c:pt>
                <c:pt idx="14">
                  <c:v>1.3315598640143228E-2</c:v>
                </c:pt>
                <c:pt idx="15">
                  <c:v>1.4529427458257648E-2</c:v>
                </c:pt>
                <c:pt idx="16">
                  <c:v>1.5730371567196508E-2</c:v>
                </c:pt>
                <c:pt idx="17">
                  <c:v>1.6909624302090469E-2</c:v>
                </c:pt>
                <c:pt idx="18">
                  <c:v>1.3956973103597323E-2</c:v>
                </c:pt>
                <c:pt idx="19">
                  <c:v>1.7318362669170809E-2</c:v>
                </c:pt>
                <c:pt idx="20">
                  <c:v>1.9355581365215434E-2</c:v>
                </c:pt>
                <c:pt idx="21">
                  <c:v>1.8599557718901746E-2</c:v>
                </c:pt>
                <c:pt idx="22">
                  <c:v>1.9284846014505974E-2</c:v>
                </c:pt>
                <c:pt idx="23">
                  <c:v>2.2384258870425389E-2</c:v>
                </c:pt>
                <c:pt idx="24">
                  <c:v>2.0606686188168109E-2</c:v>
                </c:pt>
                <c:pt idx="25">
                  <c:v>2.2305796467311671E-2</c:v>
                </c:pt>
                <c:pt idx="26">
                  <c:v>2.380672660890085E-2</c:v>
                </c:pt>
                <c:pt idx="27">
                  <c:v>2.3095850583947832E-2</c:v>
                </c:pt>
                <c:pt idx="28">
                  <c:v>2.1712123368300119E-2</c:v>
                </c:pt>
                <c:pt idx="29">
                  <c:v>2.2334983408006222E-2</c:v>
                </c:pt>
                <c:pt idx="30">
                  <c:v>2.3013111105806779E-2</c:v>
                </c:pt>
                <c:pt idx="31">
                  <c:v>2.8218430270309201E-2</c:v>
                </c:pt>
                <c:pt idx="32">
                  <c:v>2.8080990999197395E-2</c:v>
                </c:pt>
                <c:pt idx="33">
                  <c:v>2.8149664065004465E-2</c:v>
                </c:pt>
                <c:pt idx="34">
                  <c:v>2.7572511890773036E-2</c:v>
                </c:pt>
                <c:pt idx="35">
                  <c:v>2.6460758706016139E-2</c:v>
                </c:pt>
                <c:pt idx="36">
                  <c:v>2.5545337827739035E-2</c:v>
                </c:pt>
                <c:pt idx="37">
                  <c:v>2.3644967690889113E-2</c:v>
                </c:pt>
                <c:pt idx="38">
                  <c:v>2.1340478900227781E-2</c:v>
                </c:pt>
                <c:pt idx="39">
                  <c:v>1.8465338318789999E-2</c:v>
                </c:pt>
                <c:pt idx="40">
                  <c:v>1.492600969016135E-2</c:v>
                </c:pt>
                <c:pt idx="41">
                  <c:v>1.0790922478666322E-2</c:v>
                </c:pt>
                <c:pt idx="42">
                  <c:v>5.8777986399083581E-3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0-47F7-9F9C-1E4AC2DF8A9D}"/>
            </c:ext>
          </c:extLst>
        </c:ser>
        <c:ser>
          <c:idx val="2"/>
          <c:order val="2"/>
          <c:tx>
            <c:strRef>
              <c:f>Premie_leeftijd!$CT$4:$CT$5</c:f>
              <c:strCache>
                <c:ptCount val="2"/>
                <c:pt idx="0">
                  <c:v>MvT</c:v>
                </c:pt>
                <c:pt idx="1">
                  <c:v>x1, risico vanaf AOW</c:v>
                </c:pt>
              </c:strCache>
            </c:strRef>
          </c:tx>
          <c:spPr>
            <a:solidFill>
              <a:srgbClr val="C00000"/>
            </a:solidFill>
            <a:ln w="25400">
              <a:solidFill>
                <a:srgbClr val="C00000"/>
              </a:solidFill>
            </a:ln>
            <a:effectLst/>
          </c:spPr>
          <c:cat>
            <c:numRef>
              <c:f>Premie_leeftijd!$H$6:$H$48</c:f>
              <c:numCache>
                <c:formatCode>General</c:formatCode>
                <c:ptCount val="43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</c:numCache>
            </c:numRef>
          </c:cat>
          <c:val>
            <c:numRef>
              <c:f>Premie_leeftijd!$CT$6:$CT$48</c:f>
              <c:numCache>
                <c:formatCode>0.00%</c:formatCode>
                <c:ptCount val="43"/>
                <c:pt idx="0">
                  <c:v>2.4583074141722666E-3</c:v>
                </c:pt>
                <c:pt idx="1">
                  <c:v>2.182477307901041E-3</c:v>
                </c:pt>
                <c:pt idx="2">
                  <c:v>2.2841501781011818E-3</c:v>
                </c:pt>
                <c:pt idx="3">
                  <c:v>2.3217225294316825E-3</c:v>
                </c:pt>
                <c:pt idx="4">
                  <c:v>2.1572053433235859E-3</c:v>
                </c:pt>
                <c:pt idx="5">
                  <c:v>2.7859821391410522E-3</c:v>
                </c:pt>
                <c:pt idx="6">
                  <c:v>2.5760337134821737E-3</c:v>
                </c:pt>
                <c:pt idx="7">
                  <c:v>2.7121232197398195E-3</c:v>
                </c:pt>
                <c:pt idx="8">
                  <c:v>3.0199036256800759E-3</c:v>
                </c:pt>
                <c:pt idx="9">
                  <c:v>3.0935814468139029E-3</c:v>
                </c:pt>
                <c:pt idx="10">
                  <c:v>3.2927555789901957E-3</c:v>
                </c:pt>
                <c:pt idx="11">
                  <c:v>3.1453079461683181E-3</c:v>
                </c:pt>
                <c:pt idx="12">
                  <c:v>3.8364368158977868E-3</c:v>
                </c:pt>
                <c:pt idx="13">
                  <c:v>4.2383200885150411E-3</c:v>
                </c:pt>
                <c:pt idx="14">
                  <c:v>4.1239567894337708E-3</c:v>
                </c:pt>
                <c:pt idx="15">
                  <c:v>4.7036882699173586E-3</c:v>
                </c:pt>
                <c:pt idx="16">
                  <c:v>5.3300905931490785E-3</c:v>
                </c:pt>
                <c:pt idx="17">
                  <c:v>6.0054633181917932E-3</c:v>
                </c:pt>
                <c:pt idx="18">
                  <c:v>5.2033071442681867E-3</c:v>
                </c:pt>
                <c:pt idx="19">
                  <c:v>6.7887336563083617E-3</c:v>
                </c:pt>
                <c:pt idx="20">
                  <c:v>7.9920285551241168E-3</c:v>
                </c:pt>
                <c:pt idx="21">
                  <c:v>8.105204508734306E-3</c:v>
                </c:pt>
                <c:pt idx="22">
                  <c:v>8.8881338815375126E-3</c:v>
                </c:pt>
                <c:pt idx="23">
                  <c:v>1.0936606000209679E-2</c:v>
                </c:pt>
                <c:pt idx="24">
                  <c:v>1.0700497793934633E-2</c:v>
                </c:pt>
                <c:pt idx="25">
                  <c:v>1.2345404396646012E-2</c:v>
                </c:pt>
                <c:pt idx="26">
                  <c:v>1.4088109033309121E-2</c:v>
                </c:pt>
                <c:pt idx="27">
                  <c:v>1.4665233255605896E-2</c:v>
                </c:pt>
                <c:pt idx="28">
                  <c:v>1.4852410677117355E-2</c:v>
                </c:pt>
                <c:pt idx="29">
                  <c:v>1.6534959542508311E-2</c:v>
                </c:pt>
                <c:pt idx="30">
                  <c:v>1.8534947727151571E-2</c:v>
                </c:pt>
                <c:pt idx="31">
                  <c:v>2.4876251273567875E-2</c:v>
                </c:pt>
                <c:pt idx="32">
                  <c:v>2.7287832139243719E-2</c:v>
                </c:pt>
                <c:pt idx="33">
                  <c:v>3.0407686987311763E-2</c:v>
                </c:pt>
                <c:pt idx="34">
                  <c:v>3.3446430920656557E-2</c:v>
                </c:pt>
                <c:pt idx="35">
                  <c:v>3.6498975103065621E-2</c:v>
                </c:pt>
                <c:pt idx="36">
                  <c:v>4.070851515073285E-2</c:v>
                </c:pt>
                <c:pt idx="37">
                  <c:v>4.4443679885054793E-2</c:v>
                </c:pt>
                <c:pt idx="38">
                  <c:v>4.866960899507794E-2</c:v>
                </c:pt>
                <c:pt idx="39">
                  <c:v>5.323215824893239E-2</c:v>
                </c:pt>
                <c:pt idx="40">
                  <c:v>5.8023802516640369E-2</c:v>
                </c:pt>
                <c:pt idx="41">
                  <c:v>6.3647288259234922E-2</c:v>
                </c:pt>
                <c:pt idx="42">
                  <c:v>7.0145743779935446E-2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0-47F7-9F9C-1E4AC2DF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7977120"/>
        <c:axId val="2137977536"/>
      </c:areaChart>
      <c:catAx>
        <c:axId val="21379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536"/>
        <c:crosses val="autoZero"/>
        <c:auto val="1"/>
        <c:lblAlgn val="ctr"/>
        <c:lblOffset val="100"/>
        <c:tickLblSkip val="5"/>
        <c:noMultiLvlLbl val="0"/>
      </c:catAx>
      <c:valAx>
        <c:axId val="2137977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797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0"/>
          <c:tx>
            <c:strRef>
              <c:f>Premie_leeftijd!$DL$6</c:f>
              <c:strCache>
                <c:ptCount val="1"/>
                <c:pt idx="0">
                  <c:v>Risico (ANW-hiaat)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Premie_leeftijd!$DM$6:$DS$6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1-4592-83FB-9B2341DABCC7}"/>
            </c:ext>
          </c:extLst>
        </c:ser>
        <c:ser>
          <c:idx val="0"/>
          <c:order val="1"/>
          <c:tx>
            <c:strRef>
              <c:f>Premie_leeftijd!$DL$7</c:f>
              <c:strCache>
                <c:ptCount val="1"/>
                <c:pt idx="0">
                  <c:v>Risico (pens.gev.loon)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Premie_leeftijd!$DM$1:$DS$1</c:f>
              <c:strCache>
                <c:ptCount val="7"/>
                <c:pt idx="0">
                  <c:v>Uitkeringsregeling (DSS)</c:v>
                </c:pt>
                <c:pt idx="1">
                  <c:v>Uitkeringsregeling (degr)</c:v>
                </c:pt>
                <c:pt idx="2">
                  <c:v>MvT</c:v>
                </c:pt>
                <c:pt idx="3">
                  <c:v>MvT_x</c:v>
                </c:pt>
                <c:pt idx="4">
                  <c:v>MvT met overbrugging</c:v>
                </c:pt>
                <c:pt idx="5">
                  <c:v>Uitkeringsknip</c:v>
                </c:pt>
                <c:pt idx="6">
                  <c:v>Saldomethode</c:v>
                </c:pt>
              </c:strCache>
            </c:strRef>
          </c:cat>
          <c:val>
            <c:numRef>
              <c:f>Premie_leeftijd!$DM$7:$DS$7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 formatCode="0.0%">
                  <c:v>0.63973383164034314</c:v>
                </c:pt>
                <c:pt idx="3" formatCode="0.0%">
                  <c:v>0.63973383164034314</c:v>
                </c:pt>
                <c:pt idx="4" formatCode="0.0%">
                  <c:v>0.59435670131609875</c:v>
                </c:pt>
                <c:pt idx="5" formatCode="0.0%">
                  <c:v>0.32031022651055557</c:v>
                </c:pt>
                <c:pt idx="6" formatCode="0.0%">
                  <c:v>0.19734008527746341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0-47AC-9794-F4CE7763AC83}"/>
            </c:ext>
          </c:extLst>
        </c:ser>
        <c:ser>
          <c:idx val="2"/>
          <c:order val="2"/>
          <c:tx>
            <c:strRef>
              <c:f>Premie_leeftijd!$DL$8</c:f>
              <c:strCache>
                <c:ptCount val="1"/>
                <c:pt idx="0">
                  <c:v>Risico (bereikbaar)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Premie_leeftijd!$DM$1:$DS$1</c:f>
              <c:strCache>
                <c:ptCount val="7"/>
                <c:pt idx="0">
                  <c:v>Uitkeringsregeling (DSS)</c:v>
                </c:pt>
                <c:pt idx="1">
                  <c:v>Uitkeringsregeling (degr)</c:v>
                </c:pt>
                <c:pt idx="2">
                  <c:v>MvT</c:v>
                </c:pt>
                <c:pt idx="3">
                  <c:v>MvT_x</c:v>
                </c:pt>
                <c:pt idx="4">
                  <c:v>MvT met overbrugging</c:v>
                </c:pt>
                <c:pt idx="5">
                  <c:v>Uitkeringsknip</c:v>
                </c:pt>
                <c:pt idx="6">
                  <c:v>Saldomethode</c:v>
                </c:pt>
              </c:strCache>
            </c:strRef>
          </c:cat>
          <c:val>
            <c:numRef>
              <c:f>Premie_leeftijd!$DM$8:$DS$8</c:f>
              <c:numCache>
                <c:formatCode>0.0%</c:formatCode>
                <c:ptCount val="7"/>
                <c:pt idx="0">
                  <c:v>0.18558987732679302</c:v>
                </c:pt>
                <c:pt idx="1">
                  <c:v>0.18075598494479347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5.8194219489977342E-2</c:v>
                </c:pt>
                <c:pt idx="6">
                  <c:v>6.0671905580423728E-2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0-47AC-9794-F4CE7763AC83}"/>
            </c:ext>
          </c:extLst>
        </c:ser>
        <c:ser>
          <c:idx val="1"/>
          <c:order val="3"/>
          <c:tx>
            <c:strRef>
              <c:f>Premie_leeftijd!$DL$9</c:f>
              <c:strCache>
                <c:ptCount val="1"/>
                <c:pt idx="0">
                  <c:v>Opbouw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Premie_leeftijd!$DM$1:$DS$1</c:f>
              <c:strCache>
                <c:ptCount val="7"/>
                <c:pt idx="0">
                  <c:v>Uitkeringsregeling (DSS)</c:v>
                </c:pt>
                <c:pt idx="1">
                  <c:v>Uitkeringsregeling (degr)</c:v>
                </c:pt>
                <c:pt idx="2">
                  <c:v>MvT</c:v>
                </c:pt>
                <c:pt idx="3">
                  <c:v>MvT_x</c:v>
                </c:pt>
                <c:pt idx="4">
                  <c:v>MvT met overbrugging</c:v>
                </c:pt>
                <c:pt idx="5">
                  <c:v>Uitkeringsknip</c:v>
                </c:pt>
                <c:pt idx="6">
                  <c:v>Saldomethode</c:v>
                </c:pt>
              </c:strCache>
            </c:strRef>
          </c:cat>
          <c:val>
            <c:numRef>
              <c:f>Premie_leeftijd!$DM$9:$DS$9</c:f>
              <c:numCache>
                <c:formatCode>0.0%</c:formatCode>
                <c:ptCount val="7"/>
                <c:pt idx="0">
                  <c:v>0.81441012267320689</c:v>
                </c:pt>
                <c:pt idx="1">
                  <c:v>0.81924401505520672</c:v>
                </c:pt>
                <c:pt idx="2">
                  <c:v>0.36026616835965675</c:v>
                </c:pt>
                <c:pt idx="3">
                  <c:v>0.36026616835965675</c:v>
                </c:pt>
                <c:pt idx="4">
                  <c:v>0.40564329868390087</c:v>
                </c:pt>
                <c:pt idx="5">
                  <c:v>0.6214955539994671</c:v>
                </c:pt>
                <c:pt idx="6">
                  <c:v>0.74198800914211271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0-47AC-9794-F4CE7763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4521775"/>
        <c:axId val="1214523439"/>
      </c:barChart>
      <c:catAx>
        <c:axId val="1214521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14523439"/>
        <c:crosses val="autoZero"/>
        <c:auto val="1"/>
        <c:lblAlgn val="ctr"/>
        <c:lblOffset val="100"/>
        <c:noMultiLvlLbl val="0"/>
      </c:catAx>
      <c:valAx>
        <c:axId val="12145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1452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311278</xdr:colOff>
      <xdr:row>8</xdr:row>
      <xdr:rowOff>39362</xdr:rowOff>
    </xdr:from>
    <xdr:to>
      <xdr:col>93</xdr:col>
      <xdr:colOff>330173</xdr:colOff>
      <xdr:row>35</xdr:row>
      <xdr:rowOff>52961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327B85-25C5-424C-AFC7-4ECDA64620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70</xdr:col>
      <xdr:colOff>474602</xdr:colOff>
      <xdr:row>6</xdr:row>
      <xdr:rowOff>56902</xdr:rowOff>
    </xdr:from>
    <xdr:to>
      <xdr:col>79</xdr:col>
      <xdr:colOff>529442</xdr:colOff>
      <xdr:row>28</xdr:row>
      <xdr:rowOff>4465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766D7F-F7EE-48EA-87FB-A48C203C60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334888</xdr:colOff>
      <xdr:row>28</xdr:row>
      <xdr:rowOff>79527</xdr:rowOff>
    </xdr:from>
    <xdr:to>
      <xdr:col>65</xdr:col>
      <xdr:colOff>351822</xdr:colOff>
      <xdr:row>50</xdr:row>
      <xdr:rowOff>47770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3E2A54-92F5-4534-9644-96F51F5F8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174625</xdr:colOff>
      <xdr:row>51</xdr:row>
      <xdr:rowOff>11340</xdr:rowOff>
    </xdr:from>
    <xdr:to>
      <xdr:col>69</xdr:col>
      <xdr:colOff>176893</xdr:colOff>
      <xdr:row>72</xdr:row>
      <xdr:rowOff>170083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D8AA15-9ABC-4A7A-8F84-72FBC33C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573769</xdr:colOff>
      <xdr:row>50</xdr:row>
      <xdr:rowOff>95250</xdr:rowOff>
    </xdr:from>
    <xdr:to>
      <xdr:col>83</xdr:col>
      <xdr:colOff>609298</xdr:colOff>
      <xdr:row>72</xdr:row>
      <xdr:rowOff>63493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1FFB98-AFF6-4446-A908-F48A8C36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72365</xdr:colOff>
      <xdr:row>6</xdr:row>
      <xdr:rowOff>43294</xdr:rowOff>
    </xdr:from>
    <xdr:to>
      <xdr:col>65</xdr:col>
      <xdr:colOff>249876</xdr:colOff>
      <xdr:row>27</xdr:row>
      <xdr:rowOff>154206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10ABB1-25C1-49CF-AD29-C42DBAF23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110</xdr:col>
      <xdr:colOff>333909</xdr:colOff>
      <xdr:row>13</xdr:row>
      <xdr:rowOff>19219</xdr:rowOff>
    </xdr:from>
    <xdr:to>
      <xdr:col>122</xdr:col>
      <xdr:colOff>365658</xdr:colOff>
      <xdr:row>40</xdr:row>
      <xdr:rowOff>19209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BFDF6B-8698-4326-99B2-F93E379C1A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591912</xdr:colOff>
      <xdr:row>28</xdr:row>
      <xdr:rowOff>147409</xdr:rowOff>
    </xdr:from>
    <xdr:to>
      <xdr:col>80</xdr:col>
      <xdr:colOff>6048</xdr:colOff>
      <xdr:row>50</xdr:row>
      <xdr:rowOff>115652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2D714E3-042F-4C4D-8B3F-64148AB74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109</xdr:col>
      <xdr:colOff>104323</xdr:colOff>
      <xdr:row>47</xdr:row>
      <xdr:rowOff>158750</xdr:rowOff>
    </xdr:from>
    <xdr:to>
      <xdr:col>122</xdr:col>
      <xdr:colOff>278946</xdr:colOff>
      <xdr:row>74</xdr:row>
      <xdr:rowOff>158740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D9D0CE-F497-4E18-B346-97B37838E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121</xdr:col>
      <xdr:colOff>460374</xdr:colOff>
      <xdr:row>17</xdr:row>
      <xdr:rowOff>79384</xdr:rowOff>
    </xdr:from>
    <xdr:to>
      <xdr:col>133</xdr:col>
      <xdr:colOff>444499</xdr:colOff>
      <xdr:row>55</xdr:row>
      <xdr:rowOff>79375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C85A5A5-6677-408E-9481-8B50F615F7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134</xdr:col>
      <xdr:colOff>571501</xdr:colOff>
      <xdr:row>17</xdr:row>
      <xdr:rowOff>68037</xdr:rowOff>
    </xdr:from>
    <xdr:to>
      <xdr:col>146</xdr:col>
      <xdr:colOff>555625</xdr:colOff>
      <xdr:row>55</xdr:row>
      <xdr:rowOff>68028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D10AD19-47D8-44C6-BEF2-0FB78F5F9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81</xdr:col>
      <xdr:colOff>0</xdr:colOff>
      <xdr:row>38</xdr:row>
      <xdr:rowOff>0</xdr:rowOff>
    </xdr:from>
    <xdr:to>
      <xdr:col>94</xdr:col>
      <xdr:colOff>18895</xdr:colOff>
      <xdr:row>65</xdr:row>
      <xdr:rowOff>13599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D51083E-A0AC-465B-9925-B3DD8A084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555624</xdr:colOff>
      <xdr:row>11</xdr:row>
      <xdr:rowOff>79375</xdr:rowOff>
    </xdr:from>
    <xdr:to>
      <xdr:col>30</xdr:col>
      <xdr:colOff>95250</xdr:colOff>
      <xdr:row>38</xdr:row>
      <xdr:rowOff>174624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B7E880-C261-400B-8A3C-96E2E281F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</xdr:row>
      <xdr:rowOff>95250</xdr:rowOff>
    </xdr:from>
    <xdr:to>
      <xdr:col>9</xdr:col>
      <xdr:colOff>460375</xdr:colOff>
      <xdr:row>35</xdr:row>
      <xdr:rowOff>21160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3EDF79-B18A-4170-8963-5E6A0CF9C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15875</xdr:colOff>
      <xdr:row>13</xdr:row>
      <xdr:rowOff>89958</xdr:rowOff>
    </xdr:from>
    <xdr:to>
      <xdr:col>18</xdr:col>
      <xdr:colOff>564342</xdr:colOff>
      <xdr:row>35</xdr:row>
      <xdr:rowOff>58201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374B35-A64C-4743-85A4-CAD25B0E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36</xdr:row>
      <xdr:rowOff>47625</xdr:rowOff>
    </xdr:from>
    <xdr:to>
      <xdr:col>9</xdr:col>
      <xdr:colOff>523875</xdr:colOff>
      <xdr:row>57</xdr:row>
      <xdr:rowOff>158743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78AA84-6960-4B73-87F4-2DEAD26E3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10584</xdr:colOff>
      <xdr:row>36</xdr:row>
      <xdr:rowOff>52917</xdr:rowOff>
    </xdr:from>
    <xdr:to>
      <xdr:col>18</xdr:col>
      <xdr:colOff>559051</xdr:colOff>
      <xdr:row>58</xdr:row>
      <xdr:rowOff>21160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A3FE051-1B71-448D-9D95-13BDDC676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59</xdr:row>
      <xdr:rowOff>79375</xdr:rowOff>
    </xdr:from>
    <xdr:to>
      <xdr:col>9</xdr:col>
      <xdr:colOff>555625</xdr:colOff>
      <xdr:row>80</xdr:row>
      <xdr:rowOff>158743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78C4E7-AF15-44AE-9BC2-1FED963F1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26458</xdr:colOff>
      <xdr:row>59</xdr:row>
      <xdr:rowOff>63500</xdr:rowOff>
    </xdr:from>
    <xdr:to>
      <xdr:col>18</xdr:col>
      <xdr:colOff>574925</xdr:colOff>
      <xdr:row>81</xdr:row>
      <xdr:rowOff>31743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2442FAF-221D-4095-A78B-335A920B2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50</xdr:col>
      <xdr:colOff>539750</xdr:colOff>
      <xdr:row>13</xdr:row>
      <xdr:rowOff>142875</xdr:rowOff>
    </xdr:from>
    <xdr:to>
      <xdr:col>62</xdr:col>
      <xdr:colOff>317499</xdr:colOff>
      <xdr:row>40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FC7246B-50CD-49B9-B97C-6DD48318D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79375</xdr:colOff>
      <xdr:row>14</xdr:row>
      <xdr:rowOff>111125</xdr:rowOff>
    </xdr:from>
    <xdr:to>
      <xdr:col>39</xdr:col>
      <xdr:colOff>285750</xdr:colOff>
      <xdr:row>36</xdr:row>
      <xdr:rowOff>79368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11DDEF-B2D2-4CFC-92C1-CB2753310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254000</xdr:colOff>
      <xdr:row>14</xdr:row>
      <xdr:rowOff>95250</xdr:rowOff>
    </xdr:from>
    <xdr:to>
      <xdr:col>50</xdr:col>
      <xdr:colOff>199217</xdr:colOff>
      <xdr:row>36</xdr:row>
      <xdr:rowOff>63493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EE1FCDF-A8DA-4F51-AE39-1452AAF28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63500</xdr:colOff>
      <xdr:row>37</xdr:row>
      <xdr:rowOff>127000</xdr:rowOff>
    </xdr:from>
    <xdr:to>
      <xdr:col>39</xdr:col>
      <xdr:colOff>238125</xdr:colOff>
      <xdr:row>59</xdr:row>
      <xdr:rowOff>95243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BA97973-5F0F-4D73-A66F-79B151002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41</xdr:col>
      <xdr:colOff>444500</xdr:colOff>
      <xdr:row>37</xdr:row>
      <xdr:rowOff>142875</xdr:rowOff>
    </xdr:from>
    <xdr:to>
      <xdr:col>50</xdr:col>
      <xdr:colOff>389717</xdr:colOff>
      <xdr:row>59</xdr:row>
      <xdr:rowOff>111118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5B05AF2-5DC8-487D-A8E3-B263D291E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0</xdr:colOff>
      <xdr:row>60</xdr:row>
      <xdr:rowOff>0</xdr:rowOff>
    </xdr:from>
    <xdr:to>
      <xdr:col>39</xdr:col>
      <xdr:colOff>285750</xdr:colOff>
      <xdr:row>81</xdr:row>
      <xdr:rowOff>158743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8706772-85B8-470C-A10C-1BD034B02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349250</xdr:colOff>
      <xdr:row>59</xdr:row>
      <xdr:rowOff>127000</xdr:rowOff>
    </xdr:from>
    <xdr:to>
      <xdr:col>50</xdr:col>
      <xdr:colOff>294467</xdr:colOff>
      <xdr:row>81</xdr:row>
      <xdr:rowOff>95243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79AECBC-0D66-4216-A96C-B06E7464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460375</xdr:colOff>
      <xdr:row>33</xdr:row>
      <xdr:rowOff>70304</xdr:rowOff>
    </xdr:from>
    <xdr:to>
      <xdr:col>76</xdr:col>
      <xdr:colOff>188232</xdr:colOff>
      <xdr:row>58</xdr:row>
      <xdr:rowOff>97518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551BA8-3AD9-4AA8-A8E7-FBCCBD1ECB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492125</xdr:colOff>
      <xdr:row>6</xdr:row>
      <xdr:rowOff>95250</xdr:rowOff>
    </xdr:from>
    <xdr:to>
      <xdr:col>76</xdr:col>
      <xdr:colOff>219982</xdr:colOff>
      <xdr:row>31</xdr:row>
      <xdr:rowOff>122464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A6158A-4430-4662-9E47-28A36498F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76</xdr:col>
      <xdr:colOff>381000</xdr:colOff>
      <xdr:row>6</xdr:row>
      <xdr:rowOff>111125</xdr:rowOff>
    </xdr:from>
    <xdr:to>
      <xdr:col>89</xdr:col>
      <xdr:colOff>108857</xdr:colOff>
      <xdr:row>31</xdr:row>
      <xdr:rowOff>138339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925901-B674-425C-9798-F05BCFB17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76</xdr:col>
      <xdr:colOff>349250</xdr:colOff>
      <xdr:row>33</xdr:row>
      <xdr:rowOff>63500</xdr:rowOff>
    </xdr:from>
    <xdr:to>
      <xdr:col>89</xdr:col>
      <xdr:colOff>77107</xdr:colOff>
      <xdr:row>58</xdr:row>
      <xdr:rowOff>90714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8B30011-5EC8-4A9B-A3D7-1A2C3CF1B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89</xdr:col>
      <xdr:colOff>269875</xdr:colOff>
      <xdr:row>6</xdr:row>
      <xdr:rowOff>174625</xdr:rowOff>
    </xdr:from>
    <xdr:to>
      <xdr:col>101</xdr:col>
      <xdr:colOff>600982</xdr:colOff>
      <xdr:row>32</xdr:row>
      <xdr:rowOff>11339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C5A6458-7F87-4CE9-8EDC-CEE6FFE63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89</xdr:col>
      <xdr:colOff>269875</xdr:colOff>
      <xdr:row>32</xdr:row>
      <xdr:rowOff>174625</xdr:rowOff>
    </xdr:from>
    <xdr:to>
      <xdr:col>101</xdr:col>
      <xdr:colOff>600982</xdr:colOff>
      <xdr:row>58</xdr:row>
      <xdr:rowOff>11339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753461-9FDC-4591-B0C3-9B83C36AD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63</xdr:col>
      <xdr:colOff>444500</xdr:colOff>
      <xdr:row>59</xdr:row>
      <xdr:rowOff>63500</xdr:rowOff>
    </xdr:from>
    <xdr:to>
      <xdr:col>76</xdr:col>
      <xdr:colOff>172357</xdr:colOff>
      <xdr:row>84</xdr:row>
      <xdr:rowOff>90714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5ED8F50-426A-452F-B267-C7844AF2B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412750</xdr:colOff>
      <xdr:row>31</xdr:row>
      <xdr:rowOff>70304</xdr:rowOff>
    </xdr:from>
    <xdr:to>
      <xdr:col>74</xdr:col>
      <xdr:colOff>140607</xdr:colOff>
      <xdr:row>56</xdr:row>
      <xdr:rowOff>97518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C61432-BF95-47C6-A258-8F7DFAE0B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285750</xdr:colOff>
      <xdr:row>5</xdr:row>
      <xdr:rowOff>127000</xdr:rowOff>
    </xdr:from>
    <xdr:to>
      <xdr:col>74</xdr:col>
      <xdr:colOff>13607</xdr:colOff>
      <xdr:row>30</xdr:row>
      <xdr:rowOff>154214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CF6BC2-FB60-4970-830A-88D738E42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87</xdr:col>
      <xdr:colOff>340178</xdr:colOff>
      <xdr:row>6</xdr:row>
      <xdr:rowOff>13607</xdr:rowOff>
    </xdr:from>
    <xdr:to>
      <xdr:col>100</xdr:col>
      <xdr:colOff>68035</xdr:colOff>
      <xdr:row>31</xdr:row>
      <xdr:rowOff>40821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090785-10E0-4A44-B105-294B234FC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87</xdr:col>
      <xdr:colOff>367393</xdr:colOff>
      <xdr:row>32</xdr:row>
      <xdr:rowOff>13607</xdr:rowOff>
    </xdr:from>
    <xdr:to>
      <xdr:col>100</xdr:col>
      <xdr:colOff>95250</xdr:colOff>
      <xdr:row>57</xdr:row>
      <xdr:rowOff>40821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DDA690-1F49-4D94-BAD8-D6C0CBD99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231321</xdr:colOff>
      <xdr:row>5</xdr:row>
      <xdr:rowOff>176892</xdr:rowOff>
    </xdr:from>
    <xdr:to>
      <xdr:col>86</xdr:col>
      <xdr:colOff>571500</xdr:colOff>
      <xdr:row>31</xdr:row>
      <xdr:rowOff>13606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6760E7-27FF-4D02-A5BB-FA77DB3EC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74</xdr:col>
      <xdr:colOff>272143</xdr:colOff>
      <xdr:row>32</xdr:row>
      <xdr:rowOff>0</xdr:rowOff>
    </xdr:from>
    <xdr:to>
      <xdr:col>87</xdr:col>
      <xdr:colOff>1</xdr:colOff>
      <xdr:row>57</xdr:row>
      <xdr:rowOff>27214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CB0A78-C955-43FE-B256-C795E917F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62</xdr:col>
      <xdr:colOff>0</xdr:colOff>
      <xdr:row>59</xdr:row>
      <xdr:rowOff>0</xdr:rowOff>
    </xdr:from>
    <xdr:to>
      <xdr:col>74</xdr:col>
      <xdr:colOff>340179</xdr:colOff>
      <xdr:row>84</xdr:row>
      <xdr:rowOff>27214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C35B089-F29A-47BA-A9B6-1B3D92633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06B3B-CA1A-4D74-834D-1386FF4B6F45}">
  <dimension ref="A1:AB117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140625" customWidth="1"/>
    <col min="2" max="2" width="9.140625" customWidth="1"/>
    <col min="3" max="3" width="10" customWidth="1"/>
    <col min="5" max="5" width="10" customWidth="1"/>
    <col min="9" max="9" width="9.140625" customWidth="1"/>
    <col min="27" max="27" width="9.140625" style="73"/>
  </cols>
  <sheetData>
    <row r="1" spans="1:27" x14ac:dyDescent="0.25">
      <c r="A1" s="110"/>
      <c r="H1" s="150" t="s">
        <v>174</v>
      </c>
      <c r="I1" s="150"/>
      <c r="N1" s="150" t="s">
        <v>180</v>
      </c>
      <c r="O1" s="150"/>
      <c r="T1" s="150" t="s">
        <v>253</v>
      </c>
      <c r="U1" s="150"/>
      <c r="X1" s="62" t="s">
        <v>254</v>
      </c>
    </row>
    <row r="2" spans="1:27" x14ac:dyDescent="0.25">
      <c r="C2" s="13" t="s">
        <v>179</v>
      </c>
      <c r="D2" s="6">
        <v>15000</v>
      </c>
      <c r="G2" s="45" t="s">
        <v>183</v>
      </c>
      <c r="M2" s="45" t="s">
        <v>184</v>
      </c>
      <c r="T2" s="13" t="s">
        <v>326</v>
      </c>
      <c r="U2" s="149">
        <f>50000</f>
        <v>50000</v>
      </c>
      <c r="V2" s="149"/>
      <c r="X2" t="s">
        <v>19</v>
      </c>
      <c r="Y2" s="6">
        <v>60</v>
      </c>
    </row>
    <row r="3" spans="1:27" x14ac:dyDescent="0.25">
      <c r="C3" s="13" t="s">
        <v>268</v>
      </c>
      <c r="D3" s="6">
        <v>0</v>
      </c>
      <c r="H3" s="13" t="str">
        <f>Premie_leeftijd!BB1</f>
        <v>MvT risico voor AOW partner</v>
      </c>
      <c r="I3" s="19">
        <v>0.5</v>
      </c>
      <c r="N3" s="13" t="str">
        <f>Premie_leeftijd!AI1</f>
        <v>Uitkeringsregeling (degr) opb&amp;ber, Saldomethode opb.</v>
      </c>
      <c r="O3" s="19">
        <v>0.5</v>
      </c>
      <c r="T3" s="13" t="s">
        <v>187</v>
      </c>
      <c r="U3" s="148">
        <v>38</v>
      </c>
      <c r="V3" s="148"/>
      <c r="X3" t="s">
        <v>171</v>
      </c>
      <c r="Y3" s="19">
        <v>1</v>
      </c>
    </row>
    <row r="4" spans="1:27" x14ac:dyDescent="0.25">
      <c r="H4" s="13" t="str">
        <f>Premie_leeftijd!BQ1</f>
        <v>Saldomethode risico, voor AOW-partner</v>
      </c>
      <c r="I4" s="19">
        <v>0.5</v>
      </c>
      <c r="N4" s="13" t="str">
        <f>Premie_leeftijd!AQ1</f>
        <v>Uitkeringsregeling (DSS) opb&amp;ber</v>
      </c>
      <c r="O4" s="19">
        <v>0.5</v>
      </c>
      <c r="T4" s="13" t="s">
        <v>171</v>
      </c>
      <c r="U4" s="151">
        <v>1</v>
      </c>
      <c r="V4" s="147"/>
    </row>
    <row r="5" spans="1:27" x14ac:dyDescent="0.25">
      <c r="C5" t="s">
        <v>207</v>
      </c>
      <c r="D5" t="s">
        <v>206</v>
      </c>
      <c r="H5" s="13"/>
      <c r="I5" s="13"/>
      <c r="N5" s="13" t="str">
        <f>Premie_leeftijd!BV1</f>
        <v>Uitkeringsknip opb&amp;ber / Saldomethode ber.</v>
      </c>
      <c r="O5" s="19">
        <v>0.5</v>
      </c>
      <c r="T5" s="13" t="s">
        <v>186</v>
      </c>
      <c r="U5" s="147">
        <f>38*U4</f>
        <v>38</v>
      </c>
      <c r="V5" s="147"/>
    </row>
    <row r="6" spans="1:27" x14ac:dyDescent="0.25">
      <c r="B6" s="13" t="s">
        <v>282</v>
      </c>
      <c r="C6" s="77" t="s">
        <v>241</v>
      </c>
      <c r="D6" s="77" t="s">
        <v>241</v>
      </c>
      <c r="G6" s="45" t="s">
        <v>185</v>
      </c>
      <c r="N6" s="13" t="str">
        <f>Premie_leeftijd!CD1</f>
        <v>MvT opbouw vanaf AOW deelnemer</v>
      </c>
      <c r="O6" s="19">
        <v>0.5</v>
      </c>
      <c r="T6" s="73" t="s">
        <v>257</v>
      </c>
      <c r="U6" t="s">
        <v>257</v>
      </c>
    </row>
    <row r="7" spans="1:27" x14ac:dyDescent="0.25">
      <c r="B7" s="13" t="s">
        <v>284</v>
      </c>
      <c r="C7" s="6" t="s">
        <v>133</v>
      </c>
      <c r="D7" s="6" t="s">
        <v>133</v>
      </c>
      <c r="H7" s="13" t="str">
        <f>Premie_leeftijd!BG1</f>
        <v>MvT risico vanaf AOW partner</v>
      </c>
      <c r="I7" s="19">
        <v>0.5</v>
      </c>
      <c r="T7" s="13" t="s">
        <v>261</v>
      </c>
      <c r="U7" s="81">
        <v>54.71</v>
      </c>
      <c r="V7" s="73"/>
    </row>
    <row r="8" spans="1:27" x14ac:dyDescent="0.25">
      <c r="B8" s="13" t="s">
        <v>281</v>
      </c>
      <c r="C8" s="6">
        <v>1965</v>
      </c>
      <c r="D8" s="6">
        <v>1965</v>
      </c>
      <c r="H8" s="13" t="s">
        <v>157</v>
      </c>
      <c r="I8" s="19">
        <v>0</v>
      </c>
      <c r="N8" s="45" t="s">
        <v>150</v>
      </c>
      <c r="T8" s="13" t="s">
        <v>260</v>
      </c>
      <c r="U8" s="81">
        <v>2.25</v>
      </c>
      <c r="V8" s="73"/>
    </row>
    <row r="9" spans="1:27" x14ac:dyDescent="0.25">
      <c r="E9" s="79" t="str">
        <f>IF(AND(C6="CBS", MAX(D5:D8)&gt;=1973), "CBS-prognose beschikbaar voor cohort 1972 en ouder", "")</f>
        <v/>
      </c>
      <c r="N9" s="13" t="s">
        <v>182</v>
      </c>
      <c r="O9" s="7">
        <f>(O$4/$O$10)/(AOWlftd-25)</f>
        <v>1.6611295681063124E-2</v>
      </c>
    </row>
    <row r="10" spans="1:27" x14ac:dyDescent="0.25">
      <c r="C10" s="13" t="s">
        <v>313</v>
      </c>
      <c r="D10" s="6">
        <v>68</v>
      </c>
      <c r="H10" s="13" t="s">
        <v>224</v>
      </c>
      <c r="I10" s="8">
        <v>0</v>
      </c>
      <c r="N10" s="13" t="s">
        <v>21</v>
      </c>
      <c r="O10" s="8">
        <f>70%</f>
        <v>0.7</v>
      </c>
      <c r="U10" t="s">
        <v>258</v>
      </c>
    </row>
    <row r="11" spans="1:27" x14ac:dyDescent="0.25">
      <c r="H11" s="5"/>
      <c r="T11" t="s">
        <v>259</v>
      </c>
      <c r="U11" s="6">
        <v>40</v>
      </c>
      <c r="V11" t="s">
        <v>252</v>
      </c>
      <c r="AA11"/>
    </row>
    <row r="12" spans="1:27" x14ac:dyDescent="0.25">
      <c r="H12" s="13" t="s">
        <v>242</v>
      </c>
      <c r="I12" s="8" cm="1">
        <f t="array" ref="I12">reele_index_opb</f>
        <v>0</v>
      </c>
      <c r="N12" s="13" t="s">
        <v>240</v>
      </c>
      <c r="O12" s="8">
        <v>0</v>
      </c>
      <c r="AA12"/>
    </row>
    <row r="13" spans="1:27" x14ac:dyDescent="0.25">
      <c r="N13" s="13" t="s">
        <v>273</v>
      </c>
      <c r="T13" t="s">
        <v>311</v>
      </c>
      <c r="U13" s="3" t="s">
        <v>171</v>
      </c>
      <c r="AA13"/>
    </row>
    <row r="14" spans="1:27" x14ac:dyDescent="0.25">
      <c r="A14" s="139"/>
      <c r="B14" s="139"/>
      <c r="C14" s="139"/>
      <c r="D14" s="139"/>
      <c r="E14" s="139"/>
      <c r="F14" s="139"/>
      <c r="N14" s="13" t="s">
        <v>274</v>
      </c>
      <c r="O14" s="22">
        <v>1.4999999999999999E-2</v>
      </c>
      <c r="T14">
        <f>Grondslag!A2</f>
        <v>25</v>
      </c>
      <c r="U14" s="34">
        <f>100%</f>
        <v>1</v>
      </c>
      <c r="AA14"/>
    </row>
    <row r="15" spans="1:27" x14ac:dyDescent="0.25">
      <c r="A15" s="139"/>
      <c r="B15" s="140"/>
      <c r="C15" s="141"/>
      <c r="D15" s="142"/>
      <c r="E15" s="142"/>
      <c r="F15" s="139"/>
      <c r="N15" s="13" t="s">
        <v>275</v>
      </c>
      <c r="O15" s="22">
        <v>1.4999999999999999E-2</v>
      </c>
      <c r="T15">
        <f>Grondslag!A3</f>
        <v>26</v>
      </c>
      <c r="U15" s="34">
        <f>100%</f>
        <v>1</v>
      </c>
      <c r="AA15"/>
    </row>
    <row r="16" spans="1:27" x14ac:dyDescent="0.25">
      <c r="A16" s="139"/>
      <c r="B16" s="140"/>
      <c r="C16" s="143"/>
      <c r="D16" s="142"/>
      <c r="E16" s="142"/>
      <c r="F16" s="139"/>
      <c r="N16" s="13" t="s">
        <v>276</v>
      </c>
      <c r="O16" s="22">
        <v>1.4999999999999999E-2</v>
      </c>
      <c r="T16">
        <f>Grondslag!A4</f>
        <v>27</v>
      </c>
      <c r="U16" s="34">
        <f>100%</f>
        <v>1</v>
      </c>
      <c r="AA16"/>
    </row>
    <row r="17" spans="1:27" x14ac:dyDescent="0.25">
      <c r="A17" s="139"/>
      <c r="B17" s="140"/>
      <c r="C17" s="141"/>
      <c r="D17" s="142"/>
      <c r="E17" s="142"/>
      <c r="F17" s="139"/>
      <c r="N17" s="13" t="s">
        <v>272</v>
      </c>
      <c r="O17" s="22">
        <v>1.4999999999999999E-2</v>
      </c>
      <c r="T17">
        <f>Grondslag!A5</f>
        <v>28</v>
      </c>
      <c r="U17" s="34">
        <f>100%</f>
        <v>1</v>
      </c>
      <c r="AA17"/>
    </row>
    <row r="18" spans="1:27" x14ac:dyDescent="0.25">
      <c r="I18" s="73"/>
      <c r="J18" s="73"/>
      <c r="K18" s="73"/>
      <c r="L18" s="73"/>
      <c r="M18" s="73"/>
      <c r="N18" s="13" t="s">
        <v>280</v>
      </c>
      <c r="O18" s="22">
        <v>1.4999999999999999E-2</v>
      </c>
      <c r="T18">
        <f>Grondslag!A6</f>
        <v>29</v>
      </c>
      <c r="U18" s="34">
        <f>100%</f>
        <v>1</v>
      </c>
      <c r="AA18"/>
    </row>
    <row r="19" spans="1:27" x14ac:dyDescent="0.25">
      <c r="H19" s="73"/>
      <c r="I19" s="73"/>
      <c r="J19" s="73"/>
      <c r="K19" s="73"/>
      <c r="L19" s="73"/>
      <c r="M19" s="73"/>
      <c r="N19" s="73"/>
      <c r="T19">
        <f>Grondslag!A7</f>
        <v>30</v>
      </c>
      <c r="U19" s="34">
        <f>100%</f>
        <v>1</v>
      </c>
      <c r="AA19"/>
    </row>
    <row r="20" spans="1:27" x14ac:dyDescent="0.25">
      <c r="H20" s="73"/>
      <c r="I20" s="73"/>
      <c r="J20" s="73"/>
      <c r="K20" s="73"/>
      <c r="L20" s="73"/>
      <c r="M20" s="73"/>
      <c r="N20" s="73"/>
      <c r="T20">
        <f>Grondslag!A8</f>
        <v>31</v>
      </c>
      <c r="U20" s="34">
        <v>1</v>
      </c>
      <c r="AA20"/>
    </row>
    <row r="21" spans="1:27" x14ac:dyDescent="0.25">
      <c r="A21" t="s">
        <v>285</v>
      </c>
      <c r="B21" t="s">
        <v>308</v>
      </c>
      <c r="C21">
        <f>U2*U5/voltijduren</f>
        <v>50000</v>
      </c>
      <c r="H21" s="73"/>
      <c r="I21" s="73"/>
      <c r="J21" s="73"/>
      <c r="K21" s="73"/>
      <c r="L21" s="73"/>
      <c r="M21" s="73"/>
      <c r="N21" s="73"/>
      <c r="T21">
        <f>Grondslag!A9</f>
        <v>32</v>
      </c>
      <c r="U21" s="34">
        <f>100%</f>
        <v>1</v>
      </c>
      <c r="AA21"/>
    </row>
    <row r="22" spans="1:27" x14ac:dyDescent="0.25">
      <c r="A22" s="144"/>
      <c r="B22" s="127" t="str">
        <f>NPuitkering_leeftijd!AJ6</f>
        <v>Huidig (degr.)</v>
      </c>
      <c r="C22" s="144" t="str">
        <f>NPuitkering_leeftijd!AK6</f>
        <v>Uitkeringsregeling (DSS)</v>
      </c>
      <c r="D22" s="144" t="str">
        <f>NPuitkering_leeftijd!AL6</f>
        <v>MvT</v>
      </c>
      <c r="E22" s="144" t="str">
        <f>NPuitkering_leeftijd!AM6</f>
        <v>MvT met overbrugging</v>
      </c>
      <c r="F22" s="3" t="str">
        <f>NPuitkering_leeftijd!AN6</f>
        <v>Uitkeringsknip</v>
      </c>
      <c r="G22" s="3" t="str">
        <f>NPuitkering_leeftijd!AO6</f>
        <v>Saldomethode</v>
      </c>
      <c r="H22" s="73"/>
      <c r="I22" s="73"/>
      <c r="J22" s="73"/>
      <c r="K22" s="73"/>
      <c r="L22" s="73"/>
      <c r="M22" s="73"/>
      <c r="N22" s="73"/>
      <c r="T22">
        <f>Grondslag!A10</f>
        <v>33</v>
      </c>
      <c r="U22" s="34">
        <f>100%</f>
        <v>1</v>
      </c>
      <c r="AA22"/>
    </row>
    <row r="23" spans="1:27" x14ac:dyDescent="0.25">
      <c r="A23" s="145" t="s">
        <v>288</v>
      </c>
      <c r="B23" s="128"/>
      <c r="C23" s="145"/>
      <c r="D23" s="145"/>
      <c r="E23" s="145"/>
      <c r="H23" s="73"/>
      <c r="I23" s="73"/>
      <c r="J23" s="73"/>
      <c r="K23" s="73"/>
      <c r="L23" s="73"/>
      <c r="M23" s="73"/>
      <c r="N23" s="73"/>
      <c r="T23">
        <f>Grondslag!A11</f>
        <v>34</v>
      </c>
      <c r="U23" s="34">
        <f>100%</f>
        <v>1</v>
      </c>
      <c r="AA23"/>
    </row>
    <row r="24" spans="1:27" x14ac:dyDescent="0.25">
      <c r="A24" s="145" t="s">
        <v>286</v>
      </c>
      <c r="B24" s="128">
        <f>NPuitkering_leeftijd!AB49*1000</f>
        <v>17500.000000000004</v>
      </c>
      <c r="C24" s="145">
        <f>NPuitkering_leeftijd!AC49*1000</f>
        <v>17499.999999999982</v>
      </c>
      <c r="D24" s="145">
        <f>NPuitkering_leeftijd!AD49*1000</f>
        <v>25000</v>
      </c>
      <c r="E24" s="145">
        <f>NPuitkering_leeftijd!AE49*1000</f>
        <v>25000</v>
      </c>
      <c r="F24" s="73">
        <f>NPuitkering_leeftijd!AF49*1000</f>
        <v>25000</v>
      </c>
      <c r="G24" s="73">
        <f>NPuitkering_leeftijd!AG49*1000</f>
        <v>25000</v>
      </c>
      <c r="H24" s="73"/>
      <c r="I24" s="73"/>
      <c r="J24" s="73"/>
      <c r="K24" s="73"/>
      <c r="L24" s="73"/>
      <c r="M24" s="73"/>
      <c r="N24" s="73"/>
      <c r="T24">
        <f>Grondslag!A12</f>
        <v>35</v>
      </c>
      <c r="U24" s="34">
        <f>100%</f>
        <v>1</v>
      </c>
      <c r="AA24"/>
    </row>
    <row r="25" spans="1:27" x14ac:dyDescent="0.25">
      <c r="A25" s="145" t="s">
        <v>287</v>
      </c>
      <c r="B25" s="128">
        <f>NPuitkering_leeftijd!AS49*1000</f>
        <v>17500.000000000004</v>
      </c>
      <c r="C25" s="145">
        <f>NPuitkering_leeftijd!AT49*1000</f>
        <v>17499.999999999982</v>
      </c>
      <c r="D25" s="145">
        <f>NPuitkering_leeftijd!AU49*1000</f>
        <v>25000</v>
      </c>
      <c r="E25" s="145">
        <f>NPuitkering_leeftijd!AV49*1000</f>
        <v>17500</v>
      </c>
      <c r="F25" s="73">
        <f>NPuitkering_leeftijd!AW49*1000</f>
        <v>17500.000000000004</v>
      </c>
      <c r="G25" s="73">
        <f>NPuitkering_leeftijd!AX49*1000</f>
        <v>17500.000000000004</v>
      </c>
      <c r="H25" s="73"/>
      <c r="I25" s="73"/>
      <c r="J25" s="73"/>
      <c r="K25" s="73"/>
      <c r="L25" s="73"/>
      <c r="M25" s="73"/>
      <c r="N25" s="73"/>
      <c r="T25">
        <f>Grondslag!A13</f>
        <v>36</v>
      </c>
      <c r="U25" s="34">
        <f>100%</f>
        <v>1</v>
      </c>
      <c r="AA25"/>
    </row>
    <row r="26" spans="1:27" x14ac:dyDescent="0.25">
      <c r="A26" s="145"/>
      <c r="B26" s="128"/>
      <c r="C26" s="145"/>
      <c r="D26" s="145"/>
      <c r="E26" s="145"/>
      <c r="T26">
        <f>Grondslag!A14</f>
        <v>37</v>
      </c>
      <c r="U26" s="34">
        <f>100%</f>
        <v>1</v>
      </c>
      <c r="AA26"/>
    </row>
    <row r="27" spans="1:27" x14ac:dyDescent="0.25">
      <c r="A27" s="145" t="s">
        <v>289</v>
      </c>
      <c r="B27" s="128"/>
      <c r="C27" s="145"/>
      <c r="D27" s="145"/>
      <c r="E27" s="145"/>
      <c r="T27">
        <f>Grondslag!A15</f>
        <v>38</v>
      </c>
      <c r="U27" s="34">
        <f>100%</f>
        <v>1</v>
      </c>
      <c r="AA27"/>
    </row>
    <row r="28" spans="1:27" x14ac:dyDescent="0.25">
      <c r="A28" s="145" t="s">
        <v>290</v>
      </c>
      <c r="B28" s="128">
        <f>NPuitkering_leeftijd!AB50*1000</f>
        <v>17500.000000000004</v>
      </c>
      <c r="C28" s="145">
        <f>NPuitkering_leeftijd!AC50*1000</f>
        <v>17499.999999999982</v>
      </c>
      <c r="D28" s="145">
        <f>NPuitkering_leeftijd!AD50*1000</f>
        <v>17500.000000000004</v>
      </c>
      <c r="E28" s="145">
        <f>NPuitkering_leeftijd!AE50*1000</f>
        <v>17500.000000000004</v>
      </c>
      <c r="F28" s="73">
        <f>NPuitkering_leeftijd!AF50*1000</f>
        <v>17500.000000000004</v>
      </c>
      <c r="G28" s="73">
        <f>NPuitkering_leeftijd!AG50*1000</f>
        <v>17500.000000000004</v>
      </c>
      <c r="T28">
        <f>Grondslag!A16</f>
        <v>39</v>
      </c>
      <c r="U28" s="34">
        <f>100%</f>
        <v>1</v>
      </c>
      <c r="AA28"/>
    </row>
    <row r="29" spans="1:27" x14ac:dyDescent="0.25">
      <c r="A29" s="128"/>
      <c r="B29" s="128"/>
      <c r="T29">
        <f>Grondslag!A17</f>
        <v>40</v>
      </c>
      <c r="U29" s="34">
        <f>100%</f>
        <v>1</v>
      </c>
      <c r="AA29"/>
    </row>
    <row r="30" spans="1:27" x14ac:dyDescent="0.25">
      <c r="A30" s="128"/>
      <c r="B30" s="128"/>
      <c r="T30">
        <f>Grondslag!A18</f>
        <v>41</v>
      </c>
      <c r="U30" s="34">
        <f>100%</f>
        <v>1</v>
      </c>
      <c r="AA30"/>
    </row>
    <row r="31" spans="1:27" x14ac:dyDescent="0.25">
      <c r="A31" s="128" t="s">
        <v>291</v>
      </c>
      <c r="B31" s="128" t="s">
        <v>308</v>
      </c>
      <c r="C31">
        <f>U2*U5/voltijduren</f>
        <v>50000</v>
      </c>
      <c r="E31" t="s">
        <v>171</v>
      </c>
      <c r="F31" s="120">
        <f>U5/voltijduren</f>
        <v>1</v>
      </c>
      <c r="T31">
        <f>Grondslag!A19</f>
        <v>42</v>
      </c>
      <c r="U31" s="34">
        <f>100%</f>
        <v>1</v>
      </c>
      <c r="AA31"/>
    </row>
    <row r="32" spans="1:27" x14ac:dyDescent="0.25">
      <c r="A32" s="144"/>
      <c r="B32" s="127" t="str">
        <f>Premie_leeftijd!DM11</f>
        <v>Uitkeringsregeling (DSS)</v>
      </c>
      <c r="C32" s="127" t="str">
        <f>Premie_leeftijd!DN11</f>
        <v>Uitkeringsregeling (degr)</v>
      </c>
      <c r="D32" s="144" t="str">
        <f>Premie_leeftijd!DO11</f>
        <v>MvT</v>
      </c>
      <c r="E32" s="3" t="str">
        <f>Premie_leeftijd!DQ11</f>
        <v>MvT met overbrugging</v>
      </c>
      <c r="F32" s="3" t="str">
        <f>Premie_leeftijd!DR11</f>
        <v>Uitkeringsknip</v>
      </c>
      <c r="G32" s="3" t="str">
        <f>Premie_leeftijd!DS11</f>
        <v>Saldomethode</v>
      </c>
      <c r="H32" s="3" t="s">
        <v>293</v>
      </c>
      <c r="T32">
        <f>Grondslag!A20</f>
        <v>43</v>
      </c>
      <c r="U32" s="34">
        <f>100%</f>
        <v>1</v>
      </c>
      <c r="AA32"/>
    </row>
    <row r="33" spans="1:27" x14ac:dyDescent="0.25">
      <c r="A33" s="145">
        <v>25</v>
      </c>
      <c r="B33" s="125">
        <f>VLOOKUP($A33, Premie_leeftijd!$DB$6:$DI$48, MATCH(B$32, Premie_leeftijd!$DB$5:$DI$5,0) )</f>
        <v>4.5700051526845489E-2</v>
      </c>
      <c r="C33" s="125">
        <f>VLOOKUP($A33, Premie_leeftijd!$DB$6:$DI$48, MATCH(C$32, Premie_leeftijd!$DB$5:$DI$5,0) )</f>
        <v>5.0675735144536854E-2</v>
      </c>
      <c r="D33" s="146">
        <f>VLOOKUP($A33, Premie_leeftijd!$DB$6:$DI$48, MATCH(D$32, Premie_leeftijd!$DB$5:$DI$5,0) )</f>
        <v>4.0696695897628268E-2</v>
      </c>
      <c r="E33" s="15">
        <f>VLOOKUP($A33, Premie_leeftijd!$DB$6:$DI$48, MATCH(E$32, Premie_leeftijd!$DB$5:$DI$5,0) )</f>
        <v>3.9643135577268722E-2</v>
      </c>
      <c r="F33" s="15">
        <f>VLOOKUP($A33, Premie_leeftijd!$DB$6:$DI$48, MATCH(F$32, Premie_leeftijd!$DB$5:$DI$5,0) )</f>
        <v>4.9971916844998215E-2</v>
      </c>
      <c r="G33" s="15">
        <f>VLOOKUP($A33, Premie_leeftijd!$DB$6:$DI$48, MATCH(G$32, Premie_leeftijd!$DB$5:$DI$5,0) )</f>
        <v>5.4684584932185726E-2</v>
      </c>
      <c r="H33">
        <f>INDEX(Grondslag!S$2:S$44, MATCH(Settings!A33,Grondslag!A$2:A$44))</f>
        <v>35</v>
      </c>
      <c r="T33">
        <f>Grondslag!A21</f>
        <v>44</v>
      </c>
      <c r="U33" s="34">
        <f>100%</f>
        <v>1</v>
      </c>
      <c r="AA33"/>
    </row>
    <row r="34" spans="1:27" x14ac:dyDescent="0.25">
      <c r="A34" s="145">
        <v>45</v>
      </c>
      <c r="B34" s="125">
        <f>VLOOKUP($A34, Premie_leeftijd!$DB$6:$DI$48, MATCH(B$32, Premie_leeftijd!$DB$5:$DI$5,0) )</f>
        <v>5.1454971603119043E-2</v>
      </c>
      <c r="C34" s="125">
        <f>VLOOKUP($A34, Premie_leeftijd!$DB$6:$DI$48, MATCH(C$32, Premie_leeftijd!$DB$5:$DI$5,0) )</f>
        <v>4.9618088784986858E-2</v>
      </c>
      <c r="D34" s="146">
        <f>VLOOKUP($A34, Premie_leeftijd!$DB$6:$DI$48, MATCH(D$32, Premie_leeftijd!$DB$5:$DI$5,0) )</f>
        <v>5.456713871834995E-2</v>
      </c>
      <c r="E34" s="15">
        <f>VLOOKUP($A34, Premie_leeftijd!$DB$6:$DI$48, MATCH(E$32, Premie_leeftijd!$DB$5:$DI$5,0) )</f>
        <v>5.1141983623296756E-2</v>
      </c>
      <c r="F34" s="15">
        <f>VLOOKUP($A34, Premie_leeftijd!$DB$6:$DI$48, MATCH(F$32, Premie_leeftijd!$DB$5:$DI$5,0) )</f>
        <v>5.7141342678005788E-2</v>
      </c>
      <c r="G34" s="15">
        <f>VLOOKUP($A34, Premie_leeftijd!$DB$6:$DI$48, MATCH(G$32, Premie_leeftijd!$DB$5:$DI$5,0) )</f>
        <v>5.5142648973086572E-2</v>
      </c>
      <c r="H34" s="73">
        <f>INDEX(Grondslag!S$2:S$44, MATCH(Settings!A34,Grondslag!A$2:A$44))</f>
        <v>35</v>
      </c>
      <c r="T34">
        <f>Grondslag!A22</f>
        <v>45</v>
      </c>
      <c r="U34" s="34">
        <f>100%</f>
        <v>1</v>
      </c>
      <c r="AA34"/>
    </row>
    <row r="35" spans="1:27" x14ac:dyDescent="0.25">
      <c r="A35" s="145">
        <v>65</v>
      </c>
      <c r="B35" s="125">
        <f>VLOOKUP($A35, Premie_leeftijd!$DB$6:$DI$48, MATCH(B$32, Premie_leeftijd!$DB$5:$DI$5,0) )</f>
        <v>4.323048684922931E-2</v>
      </c>
      <c r="C35" s="125">
        <f>VLOOKUP($A35, Premie_leeftijd!$DB$6:$DI$48, MATCH(C$32, Premie_leeftijd!$DB$5:$DI$5,0) )</f>
        <v>4.2299003334825648E-2</v>
      </c>
      <c r="D35" s="146">
        <f>VLOOKUP($A35, Premie_leeftijd!$DB$6:$DI$48, MATCH(D$32, Premie_leeftijd!$DB$5:$DI$5,0) )</f>
        <v>0.12161152984546195</v>
      </c>
      <c r="E35" s="15">
        <f>VLOOKUP($A35, Premie_leeftijd!$DB$6:$DI$48, MATCH(E$32, Premie_leeftijd!$DB$5:$DI$5,0) )</f>
        <v>9.6744185909758917E-2</v>
      </c>
      <c r="F35" s="15">
        <f>VLOOKUP($A35, Premie_leeftijd!$DB$6:$DI$48, MATCH(F$32, Premie_leeftijd!$DB$5:$DI$5,0) )</f>
        <v>5.1389121030631084E-2</v>
      </c>
      <c r="G35" s="15">
        <f>VLOOKUP($A35, Premie_leeftijd!$DB$6:$DI$48, MATCH(G$32, Premie_leeftijd!$DB$5:$DI$5,0) )</f>
        <v>4.6386019924676197E-2</v>
      </c>
      <c r="H35" s="73">
        <f>INDEX(Grondslag!S$2:S$44, MATCH(Settings!A35,Grondslag!A$2:A$44))</f>
        <v>35</v>
      </c>
      <c r="T35">
        <f>Grondslag!A23</f>
        <v>46</v>
      </c>
      <c r="U35" s="34">
        <f>100%</f>
        <v>1</v>
      </c>
      <c r="AA35"/>
    </row>
    <row r="36" spans="1:27" x14ac:dyDescent="0.25">
      <c r="A36" s="128"/>
      <c r="B36" s="128"/>
      <c r="C36" s="128"/>
      <c r="D36" s="128"/>
      <c r="T36">
        <f>Grondslag!A24</f>
        <v>47</v>
      </c>
      <c r="U36" s="34">
        <f>100%</f>
        <v>1</v>
      </c>
      <c r="AA36"/>
    </row>
    <row r="37" spans="1:27" x14ac:dyDescent="0.25">
      <c r="A37" s="128"/>
      <c r="B37" s="128"/>
      <c r="C37" s="73"/>
      <c r="D37" s="73"/>
      <c r="E37" s="73"/>
      <c r="F37" s="73"/>
      <c r="G37" s="73"/>
      <c r="H37" s="73"/>
      <c r="J37" s="73"/>
      <c r="T37">
        <f>Grondslag!A25</f>
        <v>48</v>
      </c>
      <c r="U37" s="34">
        <f>100%</f>
        <v>1</v>
      </c>
      <c r="AA37"/>
    </row>
    <row r="38" spans="1:27" x14ac:dyDescent="0.25">
      <c r="A38" s="128"/>
      <c r="B38" s="128"/>
      <c r="T38">
        <f>Grondslag!A26</f>
        <v>49</v>
      </c>
      <c r="U38" s="34">
        <f>100%</f>
        <v>1</v>
      </c>
      <c r="AA38"/>
    </row>
    <row r="39" spans="1:27" x14ac:dyDescent="0.25">
      <c r="A39" s="128" t="s">
        <v>292</v>
      </c>
      <c r="B39" s="128" t="s">
        <v>308</v>
      </c>
      <c r="C39" s="73">
        <f>U2*U5/voltijduren</f>
        <v>50000</v>
      </c>
      <c r="T39">
        <f>Grondslag!A27</f>
        <v>50</v>
      </c>
      <c r="U39" s="34">
        <f>100%</f>
        <v>1</v>
      </c>
      <c r="AA39"/>
    </row>
    <row r="40" spans="1:27" x14ac:dyDescent="0.25">
      <c r="A40" s="144"/>
      <c r="B40" s="127" t="str">
        <f>Premie_leeftijd!DM11</f>
        <v>Uitkeringsregeling (DSS)</v>
      </c>
      <c r="C40" s="127" t="str">
        <f>Premie_leeftijd!DN11</f>
        <v>Uitkeringsregeling (degr)</v>
      </c>
      <c r="D40" s="127" t="str">
        <f>Premie_leeftijd!DO11</f>
        <v>MvT</v>
      </c>
      <c r="E40" s="144" t="str">
        <f>Premie_leeftijd!DQ11</f>
        <v>MvT met overbrugging</v>
      </c>
      <c r="F40" s="3" t="str">
        <f>Premie_leeftijd!DR11</f>
        <v>Uitkeringsknip</v>
      </c>
      <c r="G40" s="3" t="str">
        <f>Premie_leeftijd!DS11</f>
        <v>Saldomethode</v>
      </c>
      <c r="H40" s="3" t="s">
        <v>293</v>
      </c>
      <c r="T40">
        <f>Grondslag!A28</f>
        <v>51</v>
      </c>
      <c r="U40" s="34">
        <f>100%</f>
        <v>1</v>
      </c>
      <c r="AA40"/>
    </row>
    <row r="41" spans="1:27" x14ac:dyDescent="0.25">
      <c r="A41" s="145">
        <v>25</v>
      </c>
      <c r="B41" s="125">
        <f>VLOOKUP($A33, Premie_leeftijd!$DB$6:$DI$48, MATCH(B$40, Premie_leeftijd!$DB$5:$DI$5,0) )</f>
        <v>4.5700051526845489E-2</v>
      </c>
      <c r="C41" s="125">
        <f>VLOOKUP($A33, Premie_leeftijd!$DB$6:$DI$48, MATCH(C$40, Premie_leeftijd!$DB$5:$DI$5,0) )</f>
        <v>5.0675735144536854E-2</v>
      </c>
      <c r="D41" s="125">
        <f>VLOOKUP($A33, Premie_leeftijd!$DB$6:$DI$48, MATCH(D$40, Premie_leeftijd!$DB$5:$DI$5,0) )</f>
        <v>4.0696695897628268E-2</v>
      </c>
      <c r="E41" s="146">
        <f>VLOOKUP($A33, Premie_leeftijd!$DB$6:$DI$48, MATCH(E$40, Premie_leeftijd!$DB$5:$DI$5,0) )</f>
        <v>3.9643135577268722E-2</v>
      </c>
      <c r="F41" s="125">
        <f>VLOOKUP($A33, Premie_leeftijd!$DB$6:$DI$48, MATCH(F$40, Premie_leeftijd!$DB$5:$DI$5,0) )</f>
        <v>4.9971916844998215E-2</v>
      </c>
      <c r="G41" s="125">
        <f>VLOOKUP($A33, Premie_leeftijd!$DB$6:$DI$48, MATCH(G$40, Premie_leeftijd!$DB$5:$DI$5,0) )</f>
        <v>5.4684584932185726E-2</v>
      </c>
      <c r="H41" s="73">
        <f>INDEX(Grondslag!S$2:S$44, MATCH(Settings!A41,Grondslag!A$2:A$44))</f>
        <v>35</v>
      </c>
      <c r="T41">
        <f>Grondslag!A29</f>
        <v>52</v>
      </c>
      <c r="U41" s="34">
        <f>100%</f>
        <v>1</v>
      </c>
      <c r="AA41"/>
    </row>
    <row r="42" spans="1:27" x14ac:dyDescent="0.25">
      <c r="A42" s="145">
        <v>45</v>
      </c>
      <c r="B42" s="125">
        <f>VLOOKUP($A34, Premie_leeftijd!$DB$6:$DI$48, MATCH(B$40, Premie_leeftijd!$DB$5:$DI$5,0) )</f>
        <v>5.1454971603119043E-2</v>
      </c>
      <c r="C42" s="125">
        <f>VLOOKUP($A34, Premie_leeftijd!$DB$6:$DI$48, MATCH(C$40, Premie_leeftijd!$DB$5:$DI$5,0) )</f>
        <v>4.9618088784986858E-2</v>
      </c>
      <c r="D42" s="125">
        <f>VLOOKUP($A34, Premie_leeftijd!$DB$6:$DI$48, MATCH(D$40, Premie_leeftijd!$DB$5:$DI$5,0) )</f>
        <v>5.456713871834995E-2</v>
      </c>
      <c r="E42" s="146">
        <f>VLOOKUP($A34, Premie_leeftijd!$DB$6:$DI$48, MATCH(E$40, Premie_leeftijd!$DB$5:$DI$5,0) )</f>
        <v>5.1141983623296756E-2</v>
      </c>
      <c r="F42" s="125">
        <f>VLOOKUP($A34, Premie_leeftijd!$DB$6:$DI$48, MATCH(F$40, Premie_leeftijd!$DB$5:$DI$5,0) )</f>
        <v>5.7141342678005788E-2</v>
      </c>
      <c r="G42" s="125">
        <f>VLOOKUP($A34, Premie_leeftijd!$DB$6:$DI$48, MATCH(G$40, Premie_leeftijd!$DB$5:$DI$5,0) )</f>
        <v>5.5142648973086572E-2</v>
      </c>
      <c r="H42" s="73">
        <f>INDEX(Grondslag!S$2:S$44, MATCH(Settings!A42,Grondslag!A$2:A$44))</f>
        <v>35</v>
      </c>
      <c r="T42">
        <f>Grondslag!A30</f>
        <v>53</v>
      </c>
      <c r="U42" s="34">
        <f>100%</f>
        <v>1</v>
      </c>
      <c r="AA42"/>
    </row>
    <row r="43" spans="1:27" x14ac:dyDescent="0.25">
      <c r="A43" s="145">
        <v>65</v>
      </c>
      <c r="B43" s="125">
        <f>VLOOKUP($A35, Premie_leeftijd!$DB$6:$DI$48, MATCH(B$40, Premie_leeftijd!$DB$5:$DI$5,0) )</f>
        <v>4.323048684922931E-2</v>
      </c>
      <c r="C43" s="125">
        <f>VLOOKUP($A35, Premie_leeftijd!$DB$6:$DI$48, MATCH(C$40, Premie_leeftijd!$DB$5:$DI$5,0) )</f>
        <v>4.2299003334825648E-2</v>
      </c>
      <c r="D43" s="125">
        <f>VLOOKUP($A35, Premie_leeftijd!$DB$6:$DI$48, MATCH(D$40, Premie_leeftijd!$DB$5:$DI$5,0) )</f>
        <v>0.12161152984546195</v>
      </c>
      <c r="E43" s="146">
        <f>VLOOKUP($A35, Premie_leeftijd!$DB$6:$DI$48, MATCH(E$40, Premie_leeftijd!$DB$5:$DI$5,0) )</f>
        <v>9.6744185909758917E-2</v>
      </c>
      <c r="F43" s="125">
        <f>VLOOKUP($A35, Premie_leeftijd!$DB$6:$DI$48, MATCH(F$40, Premie_leeftijd!$DB$5:$DI$5,0) )</f>
        <v>5.1389121030631084E-2</v>
      </c>
      <c r="G43" s="125">
        <f>VLOOKUP($A35, Premie_leeftijd!$DB$6:$DI$48, MATCH(G$40, Premie_leeftijd!$DB$5:$DI$5,0) )</f>
        <v>4.6386019924676197E-2</v>
      </c>
      <c r="H43" s="73">
        <f>INDEX(Grondslag!S$2:S$44, MATCH(Settings!A43,Grondslag!A$2:A$44))</f>
        <v>35</v>
      </c>
      <c r="T43">
        <f>Grondslag!A31</f>
        <v>54</v>
      </c>
      <c r="U43" s="34">
        <f>100%</f>
        <v>1</v>
      </c>
      <c r="AA43"/>
    </row>
    <row r="44" spans="1:27" x14ac:dyDescent="0.25">
      <c r="A44" s="128"/>
      <c r="B44" s="128"/>
      <c r="C44" s="128"/>
      <c r="D44" s="128"/>
      <c r="E44" s="128"/>
      <c r="H44" s="73"/>
      <c r="T44">
        <f>Grondslag!A32</f>
        <v>55</v>
      </c>
      <c r="U44" s="34">
        <f>100%</f>
        <v>1</v>
      </c>
      <c r="AA44"/>
    </row>
    <row r="45" spans="1:27" x14ac:dyDescent="0.25">
      <c r="A45" s="128"/>
      <c r="B45" s="128"/>
      <c r="T45">
        <f>Grondslag!A33</f>
        <v>56</v>
      </c>
      <c r="U45" s="34">
        <f>100%</f>
        <v>1</v>
      </c>
      <c r="AA45"/>
    </row>
    <row r="46" spans="1:27" x14ac:dyDescent="0.25">
      <c r="A46" s="128"/>
      <c r="B46" s="128"/>
      <c r="T46">
        <f>Grondslag!A34</f>
        <v>57</v>
      </c>
      <c r="U46" s="34">
        <f>100%</f>
        <v>1</v>
      </c>
      <c r="AA46"/>
    </row>
    <row r="47" spans="1:27" x14ac:dyDescent="0.25">
      <c r="A47" s="128" t="s">
        <v>302</v>
      </c>
      <c r="B47" s="128" t="s">
        <v>304</v>
      </c>
      <c r="T47">
        <f>Grondslag!A35</f>
        <v>58</v>
      </c>
      <c r="U47" s="34">
        <f>100%</f>
        <v>1</v>
      </c>
      <c r="AA47"/>
    </row>
    <row r="48" spans="1:27" x14ac:dyDescent="0.25">
      <c r="A48" s="128"/>
      <c r="B48" s="128"/>
      <c r="T48">
        <f>Grondslag!A36</f>
        <v>59</v>
      </c>
      <c r="U48" s="34">
        <f>100%</f>
        <v>1</v>
      </c>
      <c r="AA48"/>
    </row>
    <row r="49" spans="1:27" x14ac:dyDescent="0.25">
      <c r="A49" s="128" t="s">
        <v>303</v>
      </c>
      <c r="B49" s="128" t="str">
        <f>Premie_leeftijd!EE4</f>
        <v>NCW toekomstige NP-risicopremies (% bestaande OP-opbouw)</v>
      </c>
      <c r="T49">
        <f>Grondslag!A37</f>
        <v>60</v>
      </c>
      <c r="U49" s="34">
        <f>100%</f>
        <v>1</v>
      </c>
      <c r="AA49"/>
    </row>
    <row r="50" spans="1:27" x14ac:dyDescent="0.25">
      <c r="A50" s="128"/>
      <c r="B50" s="128"/>
      <c r="T50">
        <f>Grondslag!A38</f>
        <v>61</v>
      </c>
      <c r="U50" s="34">
        <f>100%</f>
        <v>1</v>
      </c>
      <c r="AA50"/>
    </row>
    <row r="51" spans="1:27" x14ac:dyDescent="0.25">
      <c r="A51" s="128" t="s">
        <v>305</v>
      </c>
      <c r="B51" s="128" t="s">
        <v>308</v>
      </c>
      <c r="C51">
        <f>U2</f>
        <v>50000</v>
      </c>
      <c r="E51" s="129"/>
      <c r="T51">
        <f>Grondslag!A39</f>
        <v>62</v>
      </c>
      <c r="U51" s="34">
        <f>100%</f>
        <v>1</v>
      </c>
      <c r="AA51"/>
    </row>
    <row r="52" spans="1:27" x14ac:dyDescent="0.25">
      <c r="A52" s="127"/>
      <c r="B52" s="127" t="str">
        <f t="shared" ref="B52:G52" si="0">B22</f>
        <v>Huidig (degr.)</v>
      </c>
      <c r="C52" s="3" t="str">
        <f t="shared" si="0"/>
        <v>Uitkeringsregeling (DSS)</v>
      </c>
      <c r="D52" s="126" t="str">
        <f t="shared" si="0"/>
        <v>MvT</v>
      </c>
      <c r="E52" s="126" t="str">
        <f t="shared" si="0"/>
        <v>MvT met overbrugging</v>
      </c>
      <c r="F52" s="3" t="str">
        <f t="shared" si="0"/>
        <v>Uitkeringsknip</v>
      </c>
      <c r="G52" s="126" t="str">
        <f t="shared" si="0"/>
        <v>Saldomethode</v>
      </c>
      <c r="H52" s="73"/>
      <c r="I52" s="73"/>
      <c r="J52" s="73"/>
      <c r="K52" s="73"/>
      <c r="L52" s="73"/>
      <c r="M52" s="73"/>
      <c r="T52">
        <f>Grondslag!A40</f>
        <v>63</v>
      </c>
      <c r="U52" s="34">
        <f>100%</f>
        <v>1</v>
      </c>
      <c r="AA52"/>
    </row>
    <row r="53" spans="1:27" x14ac:dyDescent="0.25">
      <c r="A53" s="128" t="str">
        <f>A23</f>
        <v>Verzekerd overlijden voor pensioenleeftijd</v>
      </c>
      <c r="B53" s="128"/>
      <c r="C53" s="73"/>
      <c r="D53" s="62"/>
      <c r="E53" s="62"/>
      <c r="F53" s="73"/>
      <c r="G53" s="62"/>
      <c r="H53" s="73"/>
      <c r="I53" s="73"/>
      <c r="J53" s="73"/>
      <c r="K53" s="73"/>
      <c r="L53" s="73"/>
      <c r="M53" s="73"/>
      <c r="T53">
        <f>Grondslag!A41</f>
        <v>64</v>
      </c>
      <c r="U53" s="34">
        <f>100%</f>
        <v>1</v>
      </c>
      <c r="AA53"/>
    </row>
    <row r="54" spans="1:27" x14ac:dyDescent="0.25">
      <c r="A54" s="128" t="str">
        <f>A24</f>
        <v>Uitkering tot pensioenleeftijd</v>
      </c>
      <c r="B54" s="128">
        <f>NPuitkering_leeftijd!AB49*1000</f>
        <v>17500.000000000004</v>
      </c>
      <c r="C54" s="73">
        <f>NPuitkering_leeftijd!AC49*1000</f>
        <v>17499.999999999982</v>
      </c>
      <c r="D54" s="62">
        <f>NPuitkering_leeftijd!AD49*1000</f>
        <v>25000</v>
      </c>
      <c r="E54" s="62">
        <f>NPuitkering_leeftijd!AE49*1000</f>
        <v>25000</v>
      </c>
      <c r="F54" s="73">
        <f>NPuitkering_leeftijd!AF49*1000</f>
        <v>25000</v>
      </c>
      <c r="G54" s="62">
        <f>NPuitkering_leeftijd!AG49*1000</f>
        <v>25000</v>
      </c>
      <c r="H54" s="73"/>
      <c r="I54" s="73"/>
      <c r="J54" s="73"/>
      <c r="K54" s="73"/>
      <c r="L54" s="73"/>
      <c r="M54" s="73"/>
      <c r="T54">
        <f>Grondslag!A42</f>
        <v>65</v>
      </c>
      <c r="U54" s="34">
        <f>100%</f>
        <v>1</v>
      </c>
      <c r="AA54"/>
    </row>
    <row r="55" spans="1:27" x14ac:dyDescent="0.25">
      <c r="A55" s="128" t="str">
        <f>A25</f>
        <v>Uitkering vanaf pensioenleeftijd</v>
      </c>
      <c r="B55" s="128">
        <f>NPuitkering_leeftijd!AS49*1000</f>
        <v>17500.000000000004</v>
      </c>
      <c r="C55" s="73">
        <f>NPuitkering_leeftijd!AT49*1000</f>
        <v>17499.999999999982</v>
      </c>
      <c r="D55" s="62">
        <f>NPuitkering_leeftijd!AU49*1000</f>
        <v>25000</v>
      </c>
      <c r="E55" s="62">
        <f>NPuitkering_leeftijd!AV49*1000</f>
        <v>17500</v>
      </c>
      <c r="F55" s="73">
        <f>NPuitkering_leeftijd!AW49*1000</f>
        <v>17500.000000000004</v>
      </c>
      <c r="G55" s="62">
        <f>NPuitkering_leeftijd!AX49*1000</f>
        <v>17500.000000000004</v>
      </c>
      <c r="H55" s="73"/>
      <c r="I55" s="73"/>
      <c r="J55" s="73"/>
      <c r="K55" s="73"/>
      <c r="L55" s="73"/>
      <c r="M55" s="73"/>
      <c r="T55">
        <f>Grondslag!A43</f>
        <v>66</v>
      </c>
      <c r="U55" s="34">
        <f>100%</f>
        <v>1</v>
      </c>
      <c r="AA55"/>
    </row>
    <row r="56" spans="1:27" x14ac:dyDescent="0.25">
      <c r="A56" s="128"/>
      <c r="B56" s="128"/>
      <c r="C56" s="73"/>
      <c r="D56" s="62"/>
      <c r="E56" s="62"/>
      <c r="F56" s="73"/>
      <c r="G56" s="62"/>
      <c r="H56" s="73"/>
      <c r="I56" s="73"/>
      <c r="J56" s="73"/>
      <c r="K56" s="73"/>
      <c r="L56" s="73"/>
      <c r="M56" s="73"/>
      <c r="T56">
        <f>Grondslag!A44</f>
        <v>67</v>
      </c>
      <c r="U56" s="34">
        <f>100%</f>
        <v>1</v>
      </c>
      <c r="AA56"/>
    </row>
    <row r="57" spans="1:27" x14ac:dyDescent="0.25">
      <c r="A57" s="128" t="s">
        <v>309</v>
      </c>
      <c r="B57" s="128"/>
      <c r="D57" s="62"/>
      <c r="E57" s="62"/>
      <c r="G57" s="62"/>
      <c r="H57" s="73"/>
      <c r="I57" s="73"/>
      <c r="J57" s="73"/>
      <c r="K57" s="73"/>
      <c r="L57" s="73"/>
      <c r="M57" s="73"/>
      <c r="AA57"/>
    </row>
    <row r="58" spans="1:27" x14ac:dyDescent="0.25">
      <c r="A58" s="128" t="str">
        <f>A54</f>
        <v>Uitkering tot pensioenleeftijd</v>
      </c>
      <c r="B58" s="128">
        <f>NP_OP*NPuitkering_leeftijd!I39*1000</f>
        <v>13592.604808972897</v>
      </c>
      <c r="C58" s="73">
        <f>NP_OP*NPuitkering_leeftijd!H39*1000</f>
        <v>13430.232558139523</v>
      </c>
      <c r="D58" s="62">
        <v>0</v>
      </c>
      <c r="E58" s="62">
        <v>0</v>
      </c>
      <c r="F58">
        <v>0</v>
      </c>
      <c r="G58" s="62">
        <f>B58</f>
        <v>13592.604808972897</v>
      </c>
      <c r="H58" s="73"/>
      <c r="I58" s="73"/>
      <c r="J58" s="73"/>
      <c r="K58" s="73"/>
      <c r="L58" s="73"/>
      <c r="M58" s="73"/>
      <c r="N58" s="73"/>
      <c r="O58" s="73"/>
      <c r="P58" s="73"/>
      <c r="Q58" s="73"/>
      <c r="AA58"/>
    </row>
    <row r="59" spans="1:27" x14ac:dyDescent="0.25">
      <c r="A59" s="128" t="str">
        <f>A55</f>
        <v>Uitkering vanaf pensioenleeftijd</v>
      </c>
      <c r="B59" s="128">
        <f>B58</f>
        <v>13592.604808972897</v>
      </c>
      <c r="C59" s="73">
        <f>C58</f>
        <v>13430.232558139523</v>
      </c>
      <c r="D59" s="62">
        <v>0</v>
      </c>
      <c r="E59" s="62">
        <v>0</v>
      </c>
      <c r="F59">
        <f>B59</f>
        <v>13592.604808972897</v>
      </c>
      <c r="G59" s="62">
        <f>G58</f>
        <v>13592.604808972897</v>
      </c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</row>
    <row r="60" spans="1:27" x14ac:dyDescent="0.25">
      <c r="A60" s="128"/>
      <c r="B60" s="128"/>
      <c r="C60" s="73"/>
      <c r="D60" s="62"/>
      <c r="E60" s="62"/>
      <c r="F60" s="73"/>
      <c r="G60" s="62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</row>
    <row r="61" spans="1:27" x14ac:dyDescent="0.25">
      <c r="A61" s="128" t="str">
        <f>A27</f>
        <v>Overlijden na pensioenleeftijd</v>
      </c>
      <c r="B61" s="128"/>
      <c r="C61" s="73"/>
      <c r="D61" s="62"/>
      <c r="E61" s="62"/>
      <c r="F61" s="73"/>
      <c r="G61" s="62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</row>
    <row r="62" spans="1:27" x14ac:dyDescent="0.25">
      <c r="A62" s="128" t="str">
        <f>A28</f>
        <v>Uitkering</v>
      </c>
      <c r="B62" s="128">
        <f>NPuitkering_leeftijd!AB50*1000</f>
        <v>17500.000000000004</v>
      </c>
      <c r="C62" s="73">
        <f>NPuitkering_leeftijd!AC50*1000</f>
        <v>17499.999999999982</v>
      </c>
      <c r="D62" s="62">
        <f>NPuitkering_leeftijd!AD50*1000</f>
        <v>17500.000000000004</v>
      </c>
      <c r="E62" s="62">
        <f>NPuitkering_leeftijd!AE50*1000</f>
        <v>17500.000000000004</v>
      </c>
      <c r="F62" s="73">
        <f>NPuitkering_leeftijd!AF50*1000</f>
        <v>17500.000000000004</v>
      </c>
      <c r="G62" s="62">
        <f>NPuitkering_leeftijd!AG50*1000</f>
        <v>17500.000000000004</v>
      </c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</row>
    <row r="63" spans="1:27" x14ac:dyDescent="0.25">
      <c r="A63" s="128"/>
      <c r="B63" s="128"/>
      <c r="N63" s="73"/>
      <c r="O63" s="73"/>
      <c r="P63" s="73"/>
      <c r="Q63" s="73"/>
      <c r="R63" s="73"/>
    </row>
    <row r="64" spans="1:27" x14ac:dyDescent="0.25">
      <c r="A64" s="128"/>
      <c r="B64" s="128"/>
      <c r="C64" s="73"/>
      <c r="D64" s="73"/>
      <c r="E64" s="73"/>
      <c r="F64" s="73"/>
      <c r="G64" s="73"/>
      <c r="H64" s="73"/>
      <c r="I64" s="73"/>
      <c r="N64" s="73"/>
      <c r="O64" s="73"/>
      <c r="P64" s="73"/>
      <c r="Q64" s="73"/>
      <c r="R64" s="73"/>
    </row>
    <row r="65" spans="1:28" x14ac:dyDescent="0.25">
      <c r="A65" s="128" t="s">
        <v>306</v>
      </c>
      <c r="B65" s="129"/>
      <c r="N65" s="73"/>
      <c r="O65" s="73"/>
      <c r="P65" s="73"/>
      <c r="Q65" s="73"/>
      <c r="R65" s="73"/>
    </row>
    <row r="66" spans="1:28" x14ac:dyDescent="0.25">
      <c r="A66" s="127"/>
      <c r="B66" s="127" t="str">
        <f>B32</f>
        <v>Uitkeringsregeling (DSS)</v>
      </c>
      <c r="C66" s="3" t="str">
        <f t="shared" ref="C66:H66" si="1">C40</f>
        <v>Uitkeringsregeling (degr)</v>
      </c>
      <c r="D66" s="126" t="str">
        <f t="shared" si="1"/>
        <v>MvT</v>
      </c>
      <c r="E66" s="126" t="str">
        <f t="shared" si="1"/>
        <v>MvT met overbrugging</v>
      </c>
      <c r="F66" s="126" t="str">
        <f t="shared" si="1"/>
        <v>Uitkeringsknip</v>
      </c>
      <c r="G66" s="126" t="str">
        <f t="shared" si="1"/>
        <v>Saldomethode</v>
      </c>
      <c r="H66" s="3" t="str">
        <f t="shared" si="1"/>
        <v>fondspensioengrondslag</v>
      </c>
      <c r="I66" s="73"/>
      <c r="J66" s="3"/>
      <c r="K66" s="3" t="str">
        <f t="shared" ref="K66:P66" si="2">B66</f>
        <v>Uitkeringsregeling (DSS)</v>
      </c>
      <c r="L66" s="3" t="str">
        <f t="shared" si="2"/>
        <v>Uitkeringsregeling (degr)</v>
      </c>
      <c r="M66" s="3" t="str">
        <f t="shared" si="2"/>
        <v>MvT</v>
      </c>
      <c r="N66" s="3" t="str">
        <f t="shared" si="2"/>
        <v>MvT met overbrugging</v>
      </c>
      <c r="O66" s="3" t="str">
        <f t="shared" si="2"/>
        <v>Uitkeringsknip</v>
      </c>
      <c r="P66" s="3" t="str">
        <f t="shared" si="2"/>
        <v>Saldomethode</v>
      </c>
      <c r="Q66" s="73"/>
      <c r="Z66" s="73"/>
      <c r="AA66"/>
    </row>
    <row r="67" spans="1:28" x14ac:dyDescent="0.25">
      <c r="A67" s="133" t="s">
        <v>312</v>
      </c>
      <c r="B67" s="125">
        <f>Premie_leeftijd!$CM$6</f>
        <v>3.9159687171057347E-2</v>
      </c>
      <c r="C67" s="134">
        <f>Premie_leeftijd!$CM$6</f>
        <v>3.9159687171057347E-2</v>
      </c>
      <c r="D67" s="134">
        <f>Premie_leeftijd!$CP$6</f>
        <v>2.3794373702957207E-2</v>
      </c>
      <c r="E67" s="134">
        <f>Premie_leeftijd!$CP$6</f>
        <v>2.3794373702957207E-2</v>
      </c>
      <c r="F67" s="134">
        <f>Premie_leeftijd!$CU$6</f>
        <v>3.4197010420295985E-2</v>
      </c>
      <c r="G67" s="134">
        <f>Premie_leeftijd!$CX$6</f>
        <v>3.9159687171057347E-2</v>
      </c>
      <c r="H67" s="18"/>
      <c r="I67" s="73"/>
      <c r="J67" s="73" t="str">
        <f>A67</f>
        <v>NP-opbouwpremie</v>
      </c>
      <c r="K67" s="131">
        <f t="shared" ref="K67:K71" si="3">B67</f>
        <v>3.9159687171057347E-2</v>
      </c>
      <c r="L67" s="131">
        <f>C67</f>
        <v>3.9159687171057347E-2</v>
      </c>
      <c r="M67" s="131">
        <f>D67</f>
        <v>2.3794373702957207E-2</v>
      </c>
      <c r="N67" s="131">
        <f>E67</f>
        <v>2.3794373702957207E-2</v>
      </c>
      <c r="O67" s="131">
        <f>F67</f>
        <v>3.4197010420295985E-2</v>
      </c>
      <c r="P67" s="131">
        <f>G67</f>
        <v>3.9159687171057347E-2</v>
      </c>
      <c r="Q67" s="73"/>
      <c r="Z67" s="73"/>
      <c r="AA67"/>
    </row>
    <row r="68" spans="1:28" x14ac:dyDescent="0.25">
      <c r="A68" s="133"/>
      <c r="B68" s="133"/>
      <c r="C68" s="18"/>
      <c r="D68" s="132"/>
      <c r="E68" s="132"/>
      <c r="F68" s="132"/>
      <c r="G68" s="132"/>
      <c r="H68" s="18"/>
      <c r="I68" s="73"/>
      <c r="J68" s="73"/>
      <c r="K68" s="73"/>
      <c r="L68" s="73"/>
      <c r="M68" s="73"/>
      <c r="N68" s="73"/>
      <c r="O68" s="73"/>
      <c r="P68" s="73"/>
      <c r="Q68" s="73"/>
      <c r="Z68" s="73"/>
      <c r="AA68"/>
    </row>
    <row r="69" spans="1:28" x14ac:dyDescent="0.25">
      <c r="A69" s="128">
        <f t="shared" ref="A69:H71" si="4">A33</f>
        <v>25</v>
      </c>
      <c r="B69" s="131">
        <f t="shared" si="4"/>
        <v>4.5700051526845489E-2</v>
      </c>
      <c r="C69" s="14">
        <f t="shared" si="4"/>
        <v>5.0675735144536854E-2</v>
      </c>
      <c r="D69" s="130">
        <f t="shared" si="4"/>
        <v>4.0696695897628268E-2</v>
      </c>
      <c r="E69" s="130">
        <f t="shared" si="4"/>
        <v>3.9643135577268722E-2</v>
      </c>
      <c r="F69" s="130">
        <f t="shared" si="4"/>
        <v>4.9971916844998215E-2</v>
      </c>
      <c r="G69" s="130">
        <f t="shared" si="4"/>
        <v>5.4684584932185726E-2</v>
      </c>
      <c r="H69" s="73">
        <f t="shared" si="4"/>
        <v>35</v>
      </c>
      <c r="I69" s="73"/>
      <c r="J69" s="73">
        <f t="shared" ref="J69:J71" si="5">A69</f>
        <v>25</v>
      </c>
      <c r="K69" s="131">
        <f t="shared" si="3"/>
        <v>4.5700051526845489E-2</v>
      </c>
      <c r="L69" s="131">
        <f t="shared" ref="L69:L71" si="6">C69</f>
        <v>5.0675735144536854E-2</v>
      </c>
      <c r="M69" s="131">
        <f t="shared" ref="M69:P71" si="7">D69</f>
        <v>4.0696695897628268E-2</v>
      </c>
      <c r="N69" s="131">
        <f t="shared" si="7"/>
        <v>3.9643135577268722E-2</v>
      </c>
      <c r="O69" s="131">
        <f t="shared" si="7"/>
        <v>4.9971916844998215E-2</v>
      </c>
      <c r="P69" s="131">
        <f t="shared" si="7"/>
        <v>5.4684584932185726E-2</v>
      </c>
      <c r="Z69" s="73"/>
      <c r="AA69"/>
    </row>
    <row r="70" spans="1:28" x14ac:dyDescent="0.25">
      <c r="A70" s="128">
        <f t="shared" si="4"/>
        <v>45</v>
      </c>
      <c r="B70" s="131">
        <f t="shared" si="4"/>
        <v>5.1454971603119043E-2</v>
      </c>
      <c r="C70" s="14">
        <f t="shared" si="4"/>
        <v>4.9618088784986858E-2</v>
      </c>
      <c r="D70" s="130">
        <f t="shared" si="4"/>
        <v>5.456713871834995E-2</v>
      </c>
      <c r="E70" s="130">
        <f t="shared" si="4"/>
        <v>5.1141983623296756E-2</v>
      </c>
      <c r="F70" s="130">
        <f t="shared" si="4"/>
        <v>5.7141342678005788E-2</v>
      </c>
      <c r="G70" s="130">
        <f t="shared" si="4"/>
        <v>5.5142648973086572E-2</v>
      </c>
      <c r="H70" s="73">
        <f t="shared" si="4"/>
        <v>35</v>
      </c>
      <c r="I70" s="73"/>
      <c r="J70" s="73">
        <f t="shared" si="5"/>
        <v>45</v>
      </c>
      <c r="K70" s="131">
        <f t="shared" si="3"/>
        <v>5.1454971603119043E-2</v>
      </c>
      <c r="L70" s="131">
        <f t="shared" si="6"/>
        <v>4.9618088784986858E-2</v>
      </c>
      <c r="M70" s="131">
        <f t="shared" si="7"/>
        <v>5.456713871834995E-2</v>
      </c>
      <c r="N70" s="131">
        <f t="shared" si="7"/>
        <v>5.1141983623296756E-2</v>
      </c>
      <c r="O70" s="131">
        <f t="shared" si="7"/>
        <v>5.7141342678005788E-2</v>
      </c>
      <c r="P70" s="131">
        <f t="shared" si="7"/>
        <v>5.5142648973086572E-2</v>
      </c>
      <c r="Z70" s="73"/>
      <c r="AA70"/>
    </row>
    <row r="71" spans="1:28" x14ac:dyDescent="0.25">
      <c r="A71" s="128">
        <f t="shared" si="4"/>
        <v>65</v>
      </c>
      <c r="B71" s="131">
        <f t="shared" si="4"/>
        <v>4.323048684922931E-2</v>
      </c>
      <c r="C71" s="14">
        <f t="shared" si="4"/>
        <v>4.2299003334825648E-2</v>
      </c>
      <c r="D71" s="130">
        <f t="shared" si="4"/>
        <v>0.12161152984546195</v>
      </c>
      <c r="E71" s="130">
        <f t="shared" si="4"/>
        <v>9.6744185909758917E-2</v>
      </c>
      <c r="F71" s="130">
        <f t="shared" si="4"/>
        <v>5.1389121030631084E-2</v>
      </c>
      <c r="G71" s="130">
        <f t="shared" si="4"/>
        <v>4.6386019924676197E-2</v>
      </c>
      <c r="H71" s="73">
        <f t="shared" si="4"/>
        <v>35</v>
      </c>
      <c r="I71" s="73"/>
      <c r="J71" s="73">
        <f t="shared" si="5"/>
        <v>65</v>
      </c>
      <c r="K71" s="131">
        <f t="shared" si="3"/>
        <v>4.323048684922931E-2</v>
      </c>
      <c r="L71" s="131">
        <f t="shared" si="6"/>
        <v>4.2299003334825648E-2</v>
      </c>
      <c r="M71" s="131">
        <f t="shared" si="7"/>
        <v>0.12161152984546195</v>
      </c>
      <c r="N71" s="131">
        <f t="shared" si="7"/>
        <v>9.6744185909758917E-2</v>
      </c>
      <c r="O71" s="131">
        <f t="shared" si="7"/>
        <v>5.1389121030631084E-2</v>
      </c>
      <c r="P71" s="131">
        <f t="shared" si="7"/>
        <v>4.6386019924676197E-2</v>
      </c>
      <c r="Z71" s="73"/>
      <c r="AA71"/>
    </row>
    <row r="72" spans="1:28" x14ac:dyDescent="0.25">
      <c r="A72" s="128"/>
      <c r="B72" s="131"/>
      <c r="C72" s="14"/>
      <c r="D72" s="130"/>
      <c r="E72" s="131"/>
      <c r="F72" s="130"/>
      <c r="G72" s="130"/>
      <c r="H72" s="130"/>
      <c r="I72" s="73"/>
      <c r="J72" s="73"/>
      <c r="K72" s="73"/>
      <c r="L72" s="73"/>
      <c r="M72" s="73"/>
      <c r="AA72"/>
      <c r="AB72" s="73"/>
    </row>
    <row r="73" spans="1:28" s="73" customFormat="1" x14ac:dyDescent="0.25">
      <c r="A73" s="128"/>
      <c r="B73" s="128"/>
      <c r="J73"/>
      <c r="K73"/>
      <c r="L73"/>
      <c r="M73"/>
      <c r="N73"/>
      <c r="O73"/>
      <c r="P73"/>
      <c r="Q73"/>
      <c r="R73"/>
      <c r="S73"/>
    </row>
    <row r="74" spans="1:28" s="73" customFormat="1" x14ac:dyDescent="0.25">
      <c r="A74" s="128"/>
      <c r="B74" s="128"/>
      <c r="J74"/>
      <c r="K74"/>
      <c r="L74"/>
      <c r="M74"/>
      <c r="Q74"/>
      <c r="R74"/>
      <c r="S74"/>
    </row>
    <row r="75" spans="1:28" x14ac:dyDescent="0.25">
      <c r="A75" s="128" t="s">
        <v>307</v>
      </c>
      <c r="B75" s="110" t="s">
        <v>310</v>
      </c>
      <c r="N75" s="73"/>
      <c r="O75" s="73"/>
      <c r="P75" s="73"/>
      <c r="AA75"/>
      <c r="AB75" s="73"/>
    </row>
    <row r="76" spans="1:28" x14ac:dyDescent="0.25">
      <c r="A76" s="128"/>
      <c r="B76" s="128"/>
      <c r="N76" s="73"/>
      <c r="O76" s="73"/>
      <c r="P76" s="73"/>
      <c r="AA76"/>
      <c r="AB76" s="73"/>
    </row>
    <row r="77" spans="1:28" x14ac:dyDescent="0.25">
      <c r="A77" s="128"/>
      <c r="B77" s="128"/>
    </row>
    <row r="78" spans="1:28" x14ac:dyDescent="0.25">
      <c r="A78" s="128"/>
      <c r="B78" s="128"/>
    </row>
    <row r="108" spans="1:1" x14ac:dyDescent="0.25">
      <c r="A108" s="73"/>
    </row>
    <row r="109" spans="1:1" x14ac:dyDescent="0.25">
      <c r="A109" s="73"/>
    </row>
    <row r="110" spans="1:1" x14ac:dyDescent="0.25">
      <c r="A110" s="73"/>
    </row>
    <row r="111" spans="1:1" x14ac:dyDescent="0.25">
      <c r="A111" s="73"/>
    </row>
    <row r="112" spans="1:1" x14ac:dyDescent="0.25">
      <c r="A112" s="73"/>
    </row>
    <row r="113" spans="1:1" x14ac:dyDescent="0.25">
      <c r="A113" s="73"/>
    </row>
    <row r="114" spans="1:1" x14ac:dyDescent="0.25">
      <c r="A114" s="73"/>
    </row>
    <row r="115" spans="1:1" x14ac:dyDescent="0.25">
      <c r="A115" s="73"/>
    </row>
    <row r="116" spans="1:1" x14ac:dyDescent="0.25">
      <c r="A116" s="73"/>
    </row>
    <row r="117" spans="1:1" x14ac:dyDescent="0.25">
      <c r="A117" s="73"/>
    </row>
  </sheetData>
  <mergeCells count="7">
    <mergeCell ref="U5:V5"/>
    <mergeCell ref="U3:V3"/>
    <mergeCell ref="U2:V2"/>
    <mergeCell ref="H1:I1"/>
    <mergeCell ref="N1:O1"/>
    <mergeCell ref="T1:U1"/>
    <mergeCell ref="U4:V4"/>
  </mergeCells>
  <conditionalFormatting sqref="U13:U56">
    <cfRule type="expression" dxfId="5" priority="7">
      <formula>$U$5&lt;&gt;"handmatige deeltijdfactor"</formula>
    </cfRule>
  </conditionalFormatting>
  <conditionalFormatting sqref="T10:U11">
    <cfRule type="expression" dxfId="4" priority="5">
      <formula>$U$5&lt;&gt;"vanaf bepaald leeftijdsjaar"</formula>
    </cfRule>
  </conditionalFormatting>
  <conditionalFormatting sqref="T6:U8">
    <cfRule type="expression" dxfId="3" priority="4">
      <formula>$U$2&lt;&gt;"Belastingdienst"</formula>
    </cfRule>
  </conditionalFormatting>
  <conditionalFormatting sqref="C7:C8">
    <cfRule type="expression" dxfId="2" priority="3">
      <formula>ISNUMBER($C$6)</formula>
    </cfRule>
  </conditionalFormatting>
  <conditionalFormatting sqref="D7">
    <cfRule type="expression" dxfId="1" priority="2">
      <formula>ISNUMBER($D$6)</formula>
    </cfRule>
  </conditionalFormatting>
  <conditionalFormatting sqref="D8">
    <cfRule type="expression" dxfId="0" priority="1">
      <formula>ISNUMBER($C$6)</formula>
    </cfRule>
  </conditionalFormatting>
  <dataValidations count="5">
    <dataValidation type="list" allowBlank="1" showInputMessage="1" promptTitle="franchise" prompt="wettelijke franchise: 14544 euro/jaar_x000a_https://centraalaanspreekpuntpensioenen.belastingdienst.nl/publicaties/va-20-009-v201130/" sqref="D2:F2" xr:uid="{00000000-0002-0000-0000-000001000000}">
      <formula1>"14544"</formula1>
    </dataValidation>
    <dataValidation type="list" allowBlank="1" showInputMessage="1" sqref="C6:D6" xr:uid="{39E44731-E6E1-4A91-BFD2-C829B804F5D3}">
      <formula1>"AG, CBS"</formula1>
    </dataValidation>
    <dataValidation type="list" allowBlank="1" showInputMessage="1" promptTitle="urenstaffel" prompt="CBS: urenstaffel obv Statlnie_x000a_cijfer: uren/week" sqref="U5:V5" xr:uid="{FC950C85-EFA5-49D1-9E88-2A9E23545971}">
      <formula1>"CBS, handmatige deeltijdfactor, vanaf bepaald leeftijdsjaar"</formula1>
    </dataValidation>
    <dataValidation type="list" allowBlank="1" showInputMessage="1" promptTitle="loonstaffel" prompt="CBS: staffel obv Statline_x000a_bedrag: loon (in dzd euro/jaar)_x000a__x000a_Belastingdienst: staffel obv art.18a Wet LB 1964_x000a_55-jarige leeftijd is referentiebrutoloon (in dzd euro/jaar)" sqref="U2:V2" xr:uid="{2250D9D1-2E3D-4572-9B82-7DF2CB90C9BD}">
      <formula1>"CBS, Belastingdienst"</formula1>
    </dataValidation>
    <dataValidation type="list" allowBlank="1" showInputMessage="1" showErrorMessage="1" sqref="C7:D7" xr:uid="{F0150F77-8134-4F78-B850-F4EE16978D7D}">
      <formula1>"Unisex, Man, Vrouw"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C5D430-5D79-4C45-8347-F15E2DD338EF}">
          <x14:formula1>
            <xm:f>CBStafelMan!$B$5:$CW$5</xm:f>
          </x14:formula1>
          <xm:sqref>C8:D8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11905-BDD4-411A-BC55-F4B1FAA8D852}">
  <sheetPr>
    <tabColor theme="0" tint="-0.499984740745262"/>
  </sheetPr>
  <dimension ref="A1:CW107"/>
  <sheetViews>
    <sheetView workbookViewId="0">
      <pane xSplit="1" ySplit="6" topLeftCell="B25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sheetData>
    <row r="1" spans="1:101" x14ac:dyDescent="0.25">
      <c r="A1" t="s">
        <v>132</v>
      </c>
    </row>
    <row r="2" spans="1:101" x14ac:dyDescent="0.25">
      <c r="A2" t="s">
        <v>220</v>
      </c>
    </row>
    <row r="3" spans="1:101" x14ac:dyDescent="0.25">
      <c r="A3" t="s">
        <v>219</v>
      </c>
    </row>
    <row r="4" spans="1:101" x14ac:dyDescent="0.25">
      <c r="B4" t="s">
        <v>131</v>
      </c>
    </row>
    <row r="5" spans="1:101" x14ac:dyDescent="0.25">
      <c r="B5">
        <v>1900</v>
      </c>
      <c r="C5">
        <v>1901</v>
      </c>
      <c r="D5">
        <v>1902</v>
      </c>
      <c r="E5">
        <v>1903</v>
      </c>
      <c r="F5">
        <v>1904</v>
      </c>
      <c r="G5">
        <v>1905</v>
      </c>
      <c r="H5">
        <v>1906</v>
      </c>
      <c r="I5">
        <v>1907</v>
      </c>
      <c r="J5">
        <v>1908</v>
      </c>
      <c r="K5">
        <v>1909</v>
      </c>
      <c r="L5">
        <v>1910</v>
      </c>
      <c r="M5">
        <v>1911</v>
      </c>
      <c r="N5">
        <v>1912</v>
      </c>
      <c r="O5">
        <v>1913</v>
      </c>
      <c r="P5">
        <v>1914</v>
      </c>
      <c r="Q5">
        <v>1915</v>
      </c>
      <c r="R5">
        <v>1916</v>
      </c>
      <c r="S5">
        <v>1917</v>
      </c>
      <c r="T5">
        <v>1918</v>
      </c>
      <c r="U5">
        <v>1919</v>
      </c>
      <c r="V5">
        <v>1920</v>
      </c>
      <c r="W5">
        <v>1921</v>
      </c>
      <c r="X5">
        <v>1922</v>
      </c>
      <c r="Y5">
        <v>1923</v>
      </c>
      <c r="Z5">
        <v>1924</v>
      </c>
      <c r="AA5">
        <v>1925</v>
      </c>
      <c r="AB5">
        <v>1926</v>
      </c>
      <c r="AC5">
        <v>1927</v>
      </c>
      <c r="AD5">
        <v>1928</v>
      </c>
      <c r="AE5">
        <v>1929</v>
      </c>
      <c r="AF5">
        <v>1930</v>
      </c>
      <c r="AG5">
        <v>1931</v>
      </c>
      <c r="AH5">
        <v>1932</v>
      </c>
      <c r="AI5">
        <v>1933</v>
      </c>
      <c r="AJ5">
        <v>1934</v>
      </c>
      <c r="AK5">
        <v>1935</v>
      </c>
      <c r="AL5">
        <v>1936</v>
      </c>
      <c r="AM5">
        <v>1937</v>
      </c>
      <c r="AN5">
        <v>1938</v>
      </c>
      <c r="AO5">
        <v>1939</v>
      </c>
      <c r="AP5">
        <v>1940</v>
      </c>
      <c r="AQ5">
        <v>1941</v>
      </c>
      <c r="AR5">
        <v>1942</v>
      </c>
      <c r="AS5">
        <v>1943</v>
      </c>
      <c r="AT5">
        <v>1944</v>
      </c>
      <c r="AU5">
        <v>1945</v>
      </c>
      <c r="AV5">
        <v>1946</v>
      </c>
      <c r="AW5">
        <v>1947</v>
      </c>
      <c r="AX5">
        <v>1948</v>
      </c>
      <c r="AY5">
        <v>1949</v>
      </c>
      <c r="AZ5">
        <v>1950</v>
      </c>
      <c r="BA5">
        <v>1951</v>
      </c>
      <c r="BB5">
        <v>1952</v>
      </c>
      <c r="BC5">
        <v>1953</v>
      </c>
      <c r="BD5">
        <v>1954</v>
      </c>
      <c r="BE5">
        <v>1955</v>
      </c>
      <c r="BF5">
        <v>1956</v>
      </c>
      <c r="BG5">
        <v>1957</v>
      </c>
      <c r="BH5">
        <v>1958</v>
      </c>
      <c r="BI5">
        <v>1959</v>
      </c>
      <c r="BJ5">
        <v>1960</v>
      </c>
      <c r="BK5">
        <v>1961</v>
      </c>
      <c r="BL5">
        <v>1962</v>
      </c>
      <c r="BM5">
        <v>1963</v>
      </c>
      <c r="BN5">
        <v>1964</v>
      </c>
      <c r="BO5">
        <v>1965</v>
      </c>
      <c r="BP5">
        <v>1966</v>
      </c>
      <c r="BQ5">
        <v>1967</v>
      </c>
      <c r="BR5">
        <v>1968</v>
      </c>
      <c r="BS5">
        <v>1969</v>
      </c>
      <c r="BT5">
        <v>1970</v>
      </c>
      <c r="BU5">
        <v>1971</v>
      </c>
      <c r="BV5">
        <v>1972</v>
      </c>
      <c r="BW5">
        <v>1973</v>
      </c>
      <c r="BX5">
        <v>1974</v>
      </c>
      <c r="BY5">
        <v>1975</v>
      </c>
      <c r="BZ5">
        <v>1976</v>
      </c>
      <c r="CA5">
        <v>1977</v>
      </c>
      <c r="CB5">
        <v>1978</v>
      </c>
      <c r="CC5">
        <v>1979</v>
      </c>
      <c r="CD5">
        <v>1980</v>
      </c>
      <c r="CE5">
        <v>1981</v>
      </c>
      <c r="CF5">
        <v>1982</v>
      </c>
      <c r="CG5">
        <v>1983</v>
      </c>
      <c r="CH5">
        <v>1984</v>
      </c>
      <c r="CI5">
        <v>1985</v>
      </c>
      <c r="CJ5">
        <v>1986</v>
      </c>
      <c r="CK5">
        <v>1987</v>
      </c>
      <c r="CL5">
        <v>1988</v>
      </c>
      <c r="CM5">
        <v>1989</v>
      </c>
      <c r="CN5">
        <v>1990</v>
      </c>
      <c r="CO5">
        <v>1991</v>
      </c>
      <c r="CP5">
        <v>1992</v>
      </c>
      <c r="CQ5">
        <v>1993</v>
      </c>
      <c r="CR5">
        <v>1994</v>
      </c>
      <c r="CS5">
        <v>1995</v>
      </c>
      <c r="CT5">
        <v>1996</v>
      </c>
      <c r="CU5">
        <v>1997</v>
      </c>
      <c r="CV5">
        <v>1998</v>
      </c>
      <c r="CW5">
        <v>1999</v>
      </c>
    </row>
    <row r="6" spans="1:101" x14ac:dyDescent="0.25">
      <c r="A6" t="s">
        <v>125</v>
      </c>
      <c r="B6" t="s">
        <v>124</v>
      </c>
      <c r="C6" t="s">
        <v>124</v>
      </c>
      <c r="D6" t="s">
        <v>124</v>
      </c>
      <c r="E6" t="s">
        <v>124</v>
      </c>
      <c r="F6" t="s">
        <v>124</v>
      </c>
      <c r="G6" t="s">
        <v>124</v>
      </c>
      <c r="H6" t="s">
        <v>124</v>
      </c>
      <c r="I6" t="s">
        <v>124</v>
      </c>
      <c r="J6" t="s">
        <v>124</v>
      </c>
      <c r="K6" t="s">
        <v>124</v>
      </c>
      <c r="L6" t="s">
        <v>124</v>
      </c>
      <c r="M6" t="s">
        <v>124</v>
      </c>
      <c r="N6" t="s">
        <v>124</v>
      </c>
      <c r="O6" t="s">
        <v>124</v>
      </c>
      <c r="P6" t="s">
        <v>124</v>
      </c>
      <c r="Q6" t="s">
        <v>124</v>
      </c>
      <c r="R6" t="s">
        <v>124</v>
      </c>
      <c r="S6" t="s">
        <v>124</v>
      </c>
      <c r="T6" t="s">
        <v>124</v>
      </c>
      <c r="U6" t="s">
        <v>124</v>
      </c>
      <c r="V6" t="s">
        <v>124</v>
      </c>
      <c r="W6" t="s">
        <v>124</v>
      </c>
      <c r="X6" t="s">
        <v>124</v>
      </c>
      <c r="Y6" t="s">
        <v>124</v>
      </c>
      <c r="Z6" t="s">
        <v>124</v>
      </c>
      <c r="AA6" t="s">
        <v>124</v>
      </c>
      <c r="AB6" t="s">
        <v>124</v>
      </c>
      <c r="AC6" t="s">
        <v>124</v>
      </c>
      <c r="AD6" t="s">
        <v>124</v>
      </c>
      <c r="AE6" t="s">
        <v>124</v>
      </c>
      <c r="AF6" t="s">
        <v>124</v>
      </c>
      <c r="AG6" t="s">
        <v>124</v>
      </c>
      <c r="AH6" t="s">
        <v>124</v>
      </c>
      <c r="AI6" t="s">
        <v>124</v>
      </c>
      <c r="AJ6" t="s">
        <v>124</v>
      </c>
      <c r="AK6" t="s">
        <v>124</v>
      </c>
      <c r="AL6" t="s">
        <v>124</v>
      </c>
      <c r="AM6" t="s">
        <v>124</v>
      </c>
      <c r="AN6" t="s">
        <v>124</v>
      </c>
      <c r="AO6" t="s">
        <v>124</v>
      </c>
      <c r="AP6" t="s">
        <v>124</v>
      </c>
      <c r="AQ6" t="s">
        <v>124</v>
      </c>
      <c r="AR6" t="s">
        <v>124</v>
      </c>
      <c r="AS6" t="s">
        <v>124</v>
      </c>
      <c r="AT6" t="s">
        <v>124</v>
      </c>
      <c r="AU6" t="s">
        <v>124</v>
      </c>
      <c r="AV6" t="s">
        <v>124</v>
      </c>
      <c r="AW6" t="s">
        <v>124</v>
      </c>
      <c r="AX6" t="s">
        <v>124</v>
      </c>
      <c r="AY6" t="s">
        <v>124</v>
      </c>
      <c r="AZ6" t="s">
        <v>124</v>
      </c>
      <c r="BA6" t="s">
        <v>124</v>
      </c>
      <c r="BB6" t="s">
        <v>124</v>
      </c>
      <c r="BC6" t="s">
        <v>124</v>
      </c>
      <c r="BD6" t="s">
        <v>124</v>
      </c>
      <c r="BE6" t="s">
        <v>124</v>
      </c>
      <c r="BF6" t="s">
        <v>124</v>
      </c>
      <c r="BG6" t="s">
        <v>124</v>
      </c>
      <c r="BH6" t="s">
        <v>124</v>
      </c>
      <c r="BI6" t="s">
        <v>124</v>
      </c>
      <c r="BJ6" t="s">
        <v>124</v>
      </c>
      <c r="BK6" t="s">
        <v>124</v>
      </c>
      <c r="BL6" t="s">
        <v>124</v>
      </c>
      <c r="BM6" t="s">
        <v>124</v>
      </c>
      <c r="BN6" t="s">
        <v>124</v>
      </c>
      <c r="BO6" t="s">
        <v>124</v>
      </c>
      <c r="BP6" t="s">
        <v>124</v>
      </c>
      <c r="BQ6" t="s">
        <v>124</v>
      </c>
      <c r="BR6" t="s">
        <v>124</v>
      </c>
      <c r="BS6" t="s">
        <v>124</v>
      </c>
      <c r="BT6" t="s">
        <v>124</v>
      </c>
      <c r="BU6" t="s">
        <v>124</v>
      </c>
      <c r="BV6" t="s">
        <v>124</v>
      </c>
      <c r="BW6" t="s">
        <v>124</v>
      </c>
      <c r="BX6" t="s">
        <v>124</v>
      </c>
      <c r="BY6" t="s">
        <v>124</v>
      </c>
      <c r="BZ6" t="s">
        <v>124</v>
      </c>
      <c r="CA6" t="s">
        <v>124</v>
      </c>
      <c r="CB6" t="s">
        <v>124</v>
      </c>
      <c r="CC6" t="s">
        <v>124</v>
      </c>
      <c r="CD6" t="s">
        <v>124</v>
      </c>
      <c r="CE6" t="s">
        <v>124</v>
      </c>
      <c r="CF6" t="s">
        <v>124</v>
      </c>
      <c r="CG6" t="s">
        <v>124</v>
      </c>
      <c r="CH6" t="s">
        <v>124</v>
      </c>
      <c r="CI6" t="s">
        <v>124</v>
      </c>
      <c r="CJ6" t="s">
        <v>124</v>
      </c>
      <c r="CK6" t="s">
        <v>124</v>
      </c>
      <c r="CL6" t="s">
        <v>124</v>
      </c>
      <c r="CM6" t="s">
        <v>124</v>
      </c>
      <c r="CN6" t="s">
        <v>124</v>
      </c>
      <c r="CO6" t="s">
        <v>124</v>
      </c>
      <c r="CP6" t="s">
        <v>124</v>
      </c>
      <c r="CQ6" t="s">
        <v>124</v>
      </c>
      <c r="CR6" t="s">
        <v>124</v>
      </c>
      <c r="CS6" t="s">
        <v>124</v>
      </c>
      <c r="CT6" t="s">
        <v>124</v>
      </c>
      <c r="CU6" t="s">
        <v>124</v>
      </c>
      <c r="CV6" t="s">
        <v>124</v>
      </c>
      <c r="CW6" t="s">
        <v>124</v>
      </c>
    </row>
    <row r="7" spans="1:101" x14ac:dyDescent="0.25">
      <c r="A7" t="s">
        <v>123</v>
      </c>
      <c r="B7">
        <v>100000</v>
      </c>
      <c r="C7">
        <v>100000</v>
      </c>
      <c r="D7">
        <v>100000</v>
      </c>
      <c r="E7">
        <v>100000</v>
      </c>
      <c r="F7">
        <v>100000</v>
      </c>
      <c r="G7">
        <v>100000</v>
      </c>
      <c r="H7">
        <v>100000</v>
      </c>
      <c r="I7">
        <v>100000</v>
      </c>
      <c r="J7">
        <v>100000</v>
      </c>
      <c r="K7">
        <v>100000</v>
      </c>
      <c r="L7">
        <v>100000</v>
      </c>
      <c r="M7">
        <v>100000</v>
      </c>
      <c r="N7">
        <v>100000</v>
      </c>
      <c r="O7">
        <v>100000</v>
      </c>
      <c r="P7">
        <v>100000</v>
      </c>
      <c r="Q7">
        <v>100000</v>
      </c>
      <c r="R7">
        <v>100000</v>
      </c>
      <c r="S7">
        <v>100000</v>
      </c>
      <c r="T7">
        <v>100000</v>
      </c>
      <c r="U7">
        <v>100000</v>
      </c>
      <c r="V7">
        <v>100000</v>
      </c>
      <c r="W7">
        <v>100000</v>
      </c>
      <c r="X7">
        <v>100000</v>
      </c>
      <c r="Y7">
        <v>100000</v>
      </c>
      <c r="Z7">
        <v>100000</v>
      </c>
      <c r="AA7">
        <v>100000</v>
      </c>
      <c r="AB7">
        <v>100000</v>
      </c>
      <c r="AC7">
        <v>100000</v>
      </c>
      <c r="AD7">
        <v>100000</v>
      </c>
      <c r="AE7">
        <v>100000</v>
      </c>
      <c r="AF7">
        <v>100000</v>
      </c>
      <c r="AG7">
        <v>100000</v>
      </c>
      <c r="AH7">
        <v>100000</v>
      </c>
      <c r="AI7">
        <v>100000</v>
      </c>
      <c r="AJ7">
        <v>100000</v>
      </c>
      <c r="AK7">
        <v>100000</v>
      </c>
      <c r="AL7">
        <v>100000</v>
      </c>
      <c r="AM7">
        <v>100000</v>
      </c>
      <c r="AN7">
        <v>100000</v>
      </c>
      <c r="AO7">
        <v>100000</v>
      </c>
      <c r="AP7">
        <v>100000</v>
      </c>
      <c r="AQ7">
        <v>100000</v>
      </c>
      <c r="AR7">
        <v>100000</v>
      </c>
      <c r="AS7">
        <v>100000</v>
      </c>
      <c r="AT7">
        <v>100000</v>
      </c>
      <c r="AU7">
        <v>100000</v>
      </c>
      <c r="AV7">
        <v>100000</v>
      </c>
      <c r="AW7">
        <v>100000</v>
      </c>
      <c r="AX7">
        <v>100000</v>
      </c>
      <c r="AY7">
        <v>100000</v>
      </c>
      <c r="AZ7">
        <v>100000</v>
      </c>
      <c r="BA7">
        <v>100000</v>
      </c>
      <c r="BB7">
        <v>100000</v>
      </c>
      <c r="BC7">
        <v>100000</v>
      </c>
      <c r="BD7">
        <v>100000</v>
      </c>
      <c r="BE7">
        <v>100000</v>
      </c>
      <c r="BF7">
        <v>100000</v>
      </c>
      <c r="BG7">
        <v>100000</v>
      </c>
      <c r="BH7">
        <v>100000</v>
      </c>
      <c r="BI7">
        <v>100000</v>
      </c>
      <c r="BJ7">
        <v>100000</v>
      </c>
      <c r="BK7">
        <v>100000</v>
      </c>
      <c r="BL7">
        <v>100000</v>
      </c>
      <c r="BM7">
        <v>100000</v>
      </c>
      <c r="BN7">
        <v>100000</v>
      </c>
      <c r="BO7">
        <v>100000</v>
      </c>
      <c r="BP7">
        <v>100000</v>
      </c>
      <c r="BQ7">
        <v>100000</v>
      </c>
      <c r="BR7">
        <v>100000</v>
      </c>
      <c r="BS7">
        <v>100000</v>
      </c>
      <c r="BT7">
        <v>100000</v>
      </c>
      <c r="BU7">
        <v>100000</v>
      </c>
      <c r="BV7">
        <v>100000</v>
      </c>
      <c r="BW7">
        <v>100000</v>
      </c>
      <c r="BX7">
        <v>100000</v>
      </c>
      <c r="BY7">
        <v>100000</v>
      </c>
      <c r="BZ7">
        <v>100000</v>
      </c>
      <c r="CA7">
        <v>100000</v>
      </c>
      <c r="CB7">
        <v>100000</v>
      </c>
      <c r="CC7">
        <v>100000</v>
      </c>
      <c r="CD7">
        <v>100000</v>
      </c>
      <c r="CE7">
        <v>100000</v>
      </c>
      <c r="CF7">
        <v>100000</v>
      </c>
      <c r="CG7">
        <v>100000</v>
      </c>
      <c r="CH7">
        <v>100000</v>
      </c>
      <c r="CI7">
        <v>100000</v>
      </c>
      <c r="CJ7">
        <v>100000</v>
      </c>
      <c r="CK7">
        <v>100000</v>
      </c>
      <c r="CL7">
        <v>100000</v>
      </c>
      <c r="CM7">
        <v>100000</v>
      </c>
      <c r="CN7">
        <v>100000</v>
      </c>
      <c r="CO7">
        <v>100000</v>
      </c>
      <c r="CP7">
        <v>100000</v>
      </c>
      <c r="CQ7">
        <v>100000</v>
      </c>
      <c r="CR7">
        <v>100000</v>
      </c>
      <c r="CS7">
        <v>100000</v>
      </c>
      <c r="CT7">
        <v>100000</v>
      </c>
      <c r="CU7">
        <v>100000</v>
      </c>
      <c r="CV7">
        <v>100000</v>
      </c>
      <c r="CW7">
        <v>100000</v>
      </c>
    </row>
    <row r="8" spans="1:101" x14ac:dyDescent="0.25">
      <c r="A8" t="s">
        <v>122</v>
      </c>
      <c r="B8">
        <v>87023</v>
      </c>
      <c r="C8">
        <v>87482</v>
      </c>
      <c r="D8">
        <v>89319</v>
      </c>
      <c r="E8">
        <v>88439</v>
      </c>
      <c r="F8">
        <v>88726</v>
      </c>
      <c r="G8">
        <v>88956</v>
      </c>
      <c r="H8">
        <v>89172</v>
      </c>
      <c r="I8">
        <v>90399</v>
      </c>
      <c r="J8">
        <v>89511</v>
      </c>
      <c r="K8">
        <v>91494</v>
      </c>
      <c r="L8">
        <v>90694</v>
      </c>
      <c r="M8">
        <v>88345</v>
      </c>
      <c r="N8">
        <v>92413</v>
      </c>
      <c r="O8">
        <v>91838</v>
      </c>
      <c r="P8">
        <v>91536</v>
      </c>
      <c r="Q8">
        <v>92581</v>
      </c>
      <c r="R8">
        <v>92428</v>
      </c>
      <c r="S8">
        <v>92368</v>
      </c>
      <c r="T8">
        <v>91776</v>
      </c>
      <c r="U8">
        <v>93355</v>
      </c>
      <c r="V8">
        <v>93300</v>
      </c>
      <c r="W8">
        <v>92954</v>
      </c>
      <c r="X8">
        <v>94576</v>
      </c>
      <c r="Y8">
        <v>94781</v>
      </c>
      <c r="Z8">
        <v>95107</v>
      </c>
      <c r="AA8">
        <v>95306</v>
      </c>
      <c r="AB8">
        <v>95189</v>
      </c>
      <c r="AC8">
        <v>95379</v>
      </c>
      <c r="AD8">
        <v>95720</v>
      </c>
      <c r="AE8">
        <v>95519</v>
      </c>
      <c r="AF8">
        <v>95914</v>
      </c>
      <c r="AG8">
        <v>96005</v>
      </c>
      <c r="AH8">
        <v>96122</v>
      </c>
      <c r="AI8">
        <v>96328</v>
      </c>
      <c r="AJ8">
        <v>96406</v>
      </c>
      <c r="AK8">
        <v>96533</v>
      </c>
      <c r="AL8">
        <v>96676</v>
      </c>
      <c r="AM8">
        <v>96765</v>
      </c>
      <c r="AN8">
        <v>96798</v>
      </c>
      <c r="AO8">
        <v>96969</v>
      </c>
      <c r="AP8">
        <v>96729</v>
      </c>
      <c r="AQ8">
        <v>96320</v>
      </c>
      <c r="AR8">
        <v>96509</v>
      </c>
      <c r="AS8">
        <v>96517</v>
      </c>
      <c r="AT8">
        <v>95874</v>
      </c>
      <c r="AU8">
        <v>93596</v>
      </c>
      <c r="AV8">
        <v>96546</v>
      </c>
      <c r="AW8">
        <v>97035</v>
      </c>
      <c r="AX8">
        <v>97340</v>
      </c>
      <c r="AY8">
        <v>97519</v>
      </c>
      <c r="AZ8">
        <v>97465</v>
      </c>
      <c r="BA8">
        <v>97434</v>
      </c>
      <c r="BB8">
        <v>97700</v>
      </c>
      <c r="BC8">
        <v>97668</v>
      </c>
      <c r="BD8">
        <v>97822</v>
      </c>
      <c r="BE8">
        <v>97823</v>
      </c>
      <c r="BF8">
        <v>98010</v>
      </c>
      <c r="BG8">
        <v>98197</v>
      </c>
      <c r="BH8">
        <v>98221</v>
      </c>
      <c r="BI8">
        <v>98222</v>
      </c>
      <c r="BJ8">
        <v>98187</v>
      </c>
      <c r="BK8">
        <v>98253</v>
      </c>
      <c r="BL8">
        <v>98302</v>
      </c>
      <c r="BM8">
        <v>98403</v>
      </c>
      <c r="BN8">
        <v>98497</v>
      </c>
      <c r="BO8">
        <v>98533</v>
      </c>
      <c r="BP8">
        <v>98499</v>
      </c>
      <c r="BQ8">
        <v>98658</v>
      </c>
      <c r="BR8">
        <v>98599</v>
      </c>
      <c r="BS8">
        <v>98638</v>
      </c>
      <c r="BT8">
        <v>98737</v>
      </c>
      <c r="BU8">
        <v>98757</v>
      </c>
      <c r="BV8">
        <v>98805</v>
      </c>
      <c r="BW8">
        <v>98857</v>
      </c>
      <c r="BX8">
        <v>98894</v>
      </c>
      <c r="BY8">
        <v>98933</v>
      </c>
      <c r="BZ8">
        <v>98965</v>
      </c>
      <c r="CA8">
        <v>99028</v>
      </c>
      <c r="CB8">
        <v>99049</v>
      </c>
      <c r="CC8">
        <v>99127</v>
      </c>
      <c r="CD8">
        <v>99173</v>
      </c>
      <c r="CE8">
        <v>99188</v>
      </c>
      <c r="CF8">
        <v>99208</v>
      </c>
      <c r="CG8">
        <v>99220</v>
      </c>
      <c r="CH8">
        <v>99193</v>
      </c>
      <c r="CI8">
        <v>99231</v>
      </c>
      <c r="CJ8">
        <v>99301</v>
      </c>
      <c r="CK8">
        <v>99251</v>
      </c>
      <c r="CL8">
        <v>99299</v>
      </c>
      <c r="CM8">
        <v>99349</v>
      </c>
      <c r="CN8">
        <v>99312</v>
      </c>
      <c r="CO8">
        <v>99322</v>
      </c>
      <c r="CP8">
        <v>99417</v>
      </c>
      <c r="CQ8">
        <v>99382</v>
      </c>
      <c r="CR8">
        <v>99453</v>
      </c>
      <c r="CS8">
        <v>99464</v>
      </c>
      <c r="CT8">
        <v>99459</v>
      </c>
      <c r="CU8">
        <v>99514</v>
      </c>
      <c r="CV8">
        <v>99461</v>
      </c>
      <c r="CW8">
        <v>99506</v>
      </c>
    </row>
    <row r="9" spans="1:101" x14ac:dyDescent="0.25">
      <c r="A9" t="s">
        <v>121</v>
      </c>
      <c r="B9">
        <v>79386</v>
      </c>
      <c r="C9">
        <v>80757</v>
      </c>
      <c r="D9">
        <v>83021</v>
      </c>
      <c r="E9">
        <v>81665</v>
      </c>
      <c r="F9">
        <v>82674</v>
      </c>
      <c r="G9">
        <v>83179</v>
      </c>
      <c r="H9">
        <v>83602</v>
      </c>
      <c r="I9">
        <v>84234</v>
      </c>
      <c r="J9">
        <v>84457</v>
      </c>
      <c r="K9">
        <v>86200</v>
      </c>
      <c r="L9">
        <v>84770</v>
      </c>
      <c r="M9">
        <v>84041</v>
      </c>
      <c r="N9">
        <v>87949</v>
      </c>
      <c r="O9">
        <v>87399</v>
      </c>
      <c r="P9">
        <v>87190</v>
      </c>
      <c r="Q9">
        <v>87884</v>
      </c>
      <c r="R9">
        <v>87972</v>
      </c>
      <c r="S9">
        <v>86599</v>
      </c>
      <c r="T9">
        <v>86561</v>
      </c>
      <c r="U9">
        <v>89282</v>
      </c>
      <c r="V9">
        <v>89774</v>
      </c>
      <c r="W9">
        <v>89090</v>
      </c>
      <c r="X9">
        <v>91406</v>
      </c>
      <c r="Y9">
        <v>92205</v>
      </c>
      <c r="Z9">
        <v>92404</v>
      </c>
      <c r="AA9">
        <v>92497</v>
      </c>
      <c r="AB9">
        <v>92408</v>
      </c>
      <c r="AC9">
        <v>93080</v>
      </c>
      <c r="AD9">
        <v>92844</v>
      </c>
      <c r="AE9">
        <v>93355</v>
      </c>
      <c r="AF9">
        <v>93823</v>
      </c>
      <c r="AG9">
        <v>94166</v>
      </c>
      <c r="AH9">
        <v>94500</v>
      </c>
      <c r="AI9">
        <v>94746</v>
      </c>
      <c r="AJ9">
        <v>95015</v>
      </c>
      <c r="AK9">
        <v>95183</v>
      </c>
      <c r="AL9">
        <v>95311</v>
      </c>
      <c r="AM9">
        <v>95477</v>
      </c>
      <c r="AN9">
        <v>95779</v>
      </c>
      <c r="AO9">
        <v>95482</v>
      </c>
      <c r="AP9">
        <v>95122</v>
      </c>
      <c r="AQ9">
        <v>94990</v>
      </c>
      <c r="AR9">
        <v>95037</v>
      </c>
      <c r="AS9">
        <v>94966</v>
      </c>
      <c r="AT9">
        <v>92988</v>
      </c>
      <c r="AU9">
        <v>92017</v>
      </c>
      <c r="AV9">
        <v>95612</v>
      </c>
      <c r="AW9">
        <v>96296</v>
      </c>
      <c r="AX9">
        <v>96687</v>
      </c>
      <c r="AY9">
        <v>96945</v>
      </c>
      <c r="AZ9">
        <v>96910</v>
      </c>
      <c r="BA9">
        <v>96938</v>
      </c>
      <c r="BB9">
        <v>97208</v>
      </c>
      <c r="BC9">
        <v>97227</v>
      </c>
      <c r="BD9">
        <v>97466</v>
      </c>
      <c r="BE9">
        <v>97427</v>
      </c>
      <c r="BF9">
        <v>97636</v>
      </c>
      <c r="BG9">
        <v>97825</v>
      </c>
      <c r="BH9">
        <v>97859</v>
      </c>
      <c r="BI9">
        <v>97947</v>
      </c>
      <c r="BJ9">
        <v>97897</v>
      </c>
      <c r="BK9">
        <v>97950</v>
      </c>
      <c r="BL9">
        <v>98031</v>
      </c>
      <c r="BM9">
        <v>98173</v>
      </c>
      <c r="BN9">
        <v>98290</v>
      </c>
      <c r="BO9">
        <v>98264</v>
      </c>
      <c r="BP9">
        <v>98282</v>
      </c>
      <c r="BQ9">
        <v>98438</v>
      </c>
      <c r="BR9">
        <v>98381</v>
      </c>
      <c r="BS9">
        <v>98416</v>
      </c>
      <c r="BT9">
        <v>98537</v>
      </c>
      <c r="BU9">
        <v>98568</v>
      </c>
      <c r="BV9">
        <v>98611</v>
      </c>
      <c r="BW9">
        <v>98653</v>
      </c>
      <c r="BX9">
        <v>98715</v>
      </c>
      <c r="BY9">
        <v>98742</v>
      </c>
      <c r="BZ9">
        <v>98805</v>
      </c>
      <c r="CA9">
        <v>98825</v>
      </c>
      <c r="CB9">
        <v>98884</v>
      </c>
      <c r="CC9">
        <v>98937</v>
      </c>
      <c r="CD9">
        <v>99011</v>
      </c>
      <c r="CE9">
        <v>99008</v>
      </c>
      <c r="CF9">
        <v>99038</v>
      </c>
      <c r="CG9">
        <v>99022</v>
      </c>
      <c r="CH9">
        <v>99040</v>
      </c>
      <c r="CI9">
        <v>99037</v>
      </c>
      <c r="CJ9">
        <v>99145</v>
      </c>
      <c r="CK9">
        <v>99123</v>
      </c>
      <c r="CL9">
        <v>99154</v>
      </c>
      <c r="CM9">
        <v>99199</v>
      </c>
      <c r="CN9">
        <v>99185</v>
      </c>
      <c r="CO9">
        <v>99189</v>
      </c>
      <c r="CP9">
        <v>99285</v>
      </c>
      <c r="CQ9">
        <v>99268</v>
      </c>
      <c r="CR9">
        <v>99349</v>
      </c>
      <c r="CS9">
        <v>99347</v>
      </c>
      <c r="CT9">
        <v>99370</v>
      </c>
      <c r="CU9">
        <v>99430</v>
      </c>
      <c r="CV9">
        <v>99391</v>
      </c>
      <c r="CW9">
        <v>99428</v>
      </c>
    </row>
    <row r="10" spans="1:101" x14ac:dyDescent="0.25">
      <c r="A10" t="s">
        <v>120</v>
      </c>
      <c r="B10">
        <v>77423</v>
      </c>
      <c r="C10">
        <v>79058</v>
      </c>
      <c r="D10">
        <v>80819</v>
      </c>
      <c r="E10">
        <v>79905</v>
      </c>
      <c r="F10">
        <v>81082</v>
      </c>
      <c r="G10">
        <v>81503</v>
      </c>
      <c r="H10">
        <v>81798</v>
      </c>
      <c r="I10">
        <v>82690</v>
      </c>
      <c r="J10">
        <v>82932</v>
      </c>
      <c r="K10">
        <v>84675</v>
      </c>
      <c r="L10">
        <v>83475</v>
      </c>
      <c r="M10">
        <v>82734</v>
      </c>
      <c r="N10">
        <v>86576</v>
      </c>
      <c r="O10">
        <v>85968</v>
      </c>
      <c r="P10">
        <v>85585</v>
      </c>
      <c r="Q10">
        <v>86293</v>
      </c>
      <c r="R10">
        <v>85417</v>
      </c>
      <c r="S10">
        <v>84429</v>
      </c>
      <c r="T10">
        <v>85268</v>
      </c>
      <c r="U10">
        <v>88194</v>
      </c>
      <c r="V10">
        <v>88561</v>
      </c>
      <c r="W10">
        <v>88203</v>
      </c>
      <c r="X10">
        <v>90568</v>
      </c>
      <c r="Y10">
        <v>91340</v>
      </c>
      <c r="Z10">
        <v>91449</v>
      </c>
      <c r="AA10">
        <v>91532</v>
      </c>
      <c r="AB10">
        <v>91582</v>
      </c>
      <c r="AC10">
        <v>92162</v>
      </c>
      <c r="AD10">
        <v>92162</v>
      </c>
      <c r="AE10">
        <v>92649</v>
      </c>
      <c r="AF10">
        <v>93200</v>
      </c>
      <c r="AG10">
        <v>93638</v>
      </c>
      <c r="AH10">
        <v>94002</v>
      </c>
      <c r="AI10">
        <v>94305</v>
      </c>
      <c r="AJ10">
        <v>94550</v>
      </c>
      <c r="AK10">
        <v>94748</v>
      </c>
      <c r="AL10">
        <v>94852</v>
      </c>
      <c r="AM10">
        <v>95065</v>
      </c>
      <c r="AN10">
        <v>95292</v>
      </c>
      <c r="AO10">
        <v>94940</v>
      </c>
      <c r="AP10">
        <v>94686</v>
      </c>
      <c r="AQ10">
        <v>94302</v>
      </c>
      <c r="AR10">
        <v>94218</v>
      </c>
      <c r="AS10">
        <v>94057</v>
      </c>
      <c r="AT10">
        <v>92384</v>
      </c>
      <c r="AU10">
        <v>91738</v>
      </c>
      <c r="AV10">
        <v>95349</v>
      </c>
      <c r="AW10">
        <v>96048</v>
      </c>
      <c r="AX10">
        <v>96458</v>
      </c>
      <c r="AY10">
        <v>96732</v>
      </c>
      <c r="AZ10">
        <v>96717</v>
      </c>
      <c r="BA10">
        <v>96722</v>
      </c>
      <c r="BB10">
        <v>97029</v>
      </c>
      <c r="BC10">
        <v>97055</v>
      </c>
      <c r="BD10">
        <v>97311</v>
      </c>
      <c r="BE10">
        <v>97262</v>
      </c>
      <c r="BF10">
        <v>97460</v>
      </c>
      <c r="BG10">
        <v>97625</v>
      </c>
      <c r="BH10">
        <v>97705</v>
      </c>
      <c r="BI10">
        <v>97803</v>
      </c>
      <c r="BJ10">
        <v>97779</v>
      </c>
      <c r="BK10">
        <v>97829</v>
      </c>
      <c r="BL10">
        <v>97898</v>
      </c>
      <c r="BM10">
        <v>98057</v>
      </c>
      <c r="BN10">
        <v>98188</v>
      </c>
      <c r="BO10">
        <v>98142</v>
      </c>
      <c r="BP10">
        <v>98165</v>
      </c>
      <c r="BQ10">
        <v>98322</v>
      </c>
      <c r="BR10">
        <v>98286</v>
      </c>
      <c r="BS10">
        <v>98314</v>
      </c>
      <c r="BT10">
        <v>98435</v>
      </c>
      <c r="BU10">
        <v>98454</v>
      </c>
      <c r="BV10">
        <v>98491</v>
      </c>
      <c r="BW10">
        <v>98551</v>
      </c>
      <c r="BX10">
        <v>98635</v>
      </c>
      <c r="BY10">
        <v>98674</v>
      </c>
      <c r="BZ10">
        <v>98724</v>
      </c>
      <c r="CA10">
        <v>98746</v>
      </c>
      <c r="CB10">
        <v>98811</v>
      </c>
      <c r="CC10">
        <v>98865</v>
      </c>
      <c r="CD10">
        <v>98942</v>
      </c>
      <c r="CE10">
        <v>98933</v>
      </c>
      <c r="CF10">
        <v>98971</v>
      </c>
      <c r="CG10">
        <v>98969</v>
      </c>
      <c r="CH10">
        <v>98981</v>
      </c>
      <c r="CI10">
        <v>98967</v>
      </c>
      <c r="CJ10">
        <v>99074</v>
      </c>
      <c r="CK10">
        <v>99069</v>
      </c>
      <c r="CL10">
        <v>99101</v>
      </c>
      <c r="CM10">
        <v>99136</v>
      </c>
      <c r="CN10">
        <v>99134</v>
      </c>
      <c r="CO10">
        <v>99144</v>
      </c>
      <c r="CP10">
        <v>99241</v>
      </c>
      <c r="CQ10">
        <v>99221</v>
      </c>
      <c r="CR10">
        <v>99305</v>
      </c>
      <c r="CS10">
        <v>99305</v>
      </c>
      <c r="CT10">
        <v>99329</v>
      </c>
      <c r="CU10">
        <v>99391</v>
      </c>
      <c r="CV10">
        <v>99351</v>
      </c>
      <c r="CW10">
        <v>99391</v>
      </c>
    </row>
    <row r="11" spans="1:101" x14ac:dyDescent="0.25">
      <c r="A11" t="s">
        <v>119</v>
      </c>
      <c r="B11">
        <v>76674</v>
      </c>
      <c r="C11">
        <v>78090</v>
      </c>
      <c r="D11">
        <v>79964</v>
      </c>
      <c r="E11">
        <v>79177</v>
      </c>
      <c r="F11">
        <v>80266</v>
      </c>
      <c r="G11">
        <v>80705</v>
      </c>
      <c r="H11">
        <v>81126</v>
      </c>
      <c r="I11">
        <v>82013</v>
      </c>
      <c r="J11">
        <v>82224</v>
      </c>
      <c r="K11">
        <v>83968</v>
      </c>
      <c r="L11">
        <v>82850</v>
      </c>
      <c r="M11">
        <v>82128</v>
      </c>
      <c r="N11">
        <v>85883</v>
      </c>
      <c r="O11">
        <v>85267</v>
      </c>
      <c r="P11">
        <v>84824</v>
      </c>
      <c r="Q11">
        <v>84899</v>
      </c>
      <c r="R11">
        <v>84367</v>
      </c>
      <c r="S11">
        <v>83791</v>
      </c>
      <c r="T11">
        <v>84823</v>
      </c>
      <c r="U11">
        <v>87652</v>
      </c>
      <c r="V11">
        <v>88123</v>
      </c>
      <c r="W11">
        <v>87770</v>
      </c>
      <c r="X11">
        <v>90110</v>
      </c>
      <c r="Y11">
        <v>90851</v>
      </c>
      <c r="Z11">
        <v>90959</v>
      </c>
      <c r="AA11">
        <v>91076</v>
      </c>
      <c r="AB11">
        <v>91096</v>
      </c>
      <c r="AC11">
        <v>91757</v>
      </c>
      <c r="AD11">
        <v>91784</v>
      </c>
      <c r="AE11">
        <v>92292</v>
      </c>
      <c r="AF11">
        <v>92908</v>
      </c>
      <c r="AG11">
        <v>93328</v>
      </c>
      <c r="AH11">
        <v>93732</v>
      </c>
      <c r="AI11">
        <v>93995</v>
      </c>
      <c r="AJ11">
        <v>94303</v>
      </c>
      <c r="AK11">
        <v>94482</v>
      </c>
      <c r="AL11">
        <v>94605</v>
      </c>
      <c r="AM11">
        <v>94782</v>
      </c>
      <c r="AN11">
        <v>94989</v>
      </c>
      <c r="AO11">
        <v>94597</v>
      </c>
      <c r="AP11">
        <v>94208</v>
      </c>
      <c r="AQ11">
        <v>93740</v>
      </c>
      <c r="AR11">
        <v>93527</v>
      </c>
      <c r="AS11">
        <v>93664</v>
      </c>
      <c r="AT11">
        <v>92160</v>
      </c>
      <c r="AU11">
        <v>91564</v>
      </c>
      <c r="AV11">
        <v>95179</v>
      </c>
      <c r="AW11">
        <v>95900</v>
      </c>
      <c r="AX11">
        <v>96294</v>
      </c>
      <c r="AY11">
        <v>96588</v>
      </c>
      <c r="AZ11">
        <v>96553</v>
      </c>
      <c r="BA11">
        <v>96594</v>
      </c>
      <c r="BB11">
        <v>96910</v>
      </c>
      <c r="BC11">
        <v>96938</v>
      </c>
      <c r="BD11">
        <v>97197</v>
      </c>
      <c r="BE11">
        <v>97124</v>
      </c>
      <c r="BF11">
        <v>97328</v>
      </c>
      <c r="BG11">
        <v>97502</v>
      </c>
      <c r="BH11">
        <v>97595</v>
      </c>
      <c r="BI11">
        <v>97685</v>
      </c>
      <c r="BJ11">
        <v>97669</v>
      </c>
      <c r="BK11">
        <v>97713</v>
      </c>
      <c r="BL11">
        <v>97784</v>
      </c>
      <c r="BM11">
        <v>97949</v>
      </c>
      <c r="BN11">
        <v>98088</v>
      </c>
      <c r="BO11">
        <v>98041</v>
      </c>
      <c r="BP11">
        <v>98063</v>
      </c>
      <c r="BQ11">
        <v>98232</v>
      </c>
      <c r="BR11">
        <v>98181</v>
      </c>
      <c r="BS11">
        <v>98224</v>
      </c>
      <c r="BT11">
        <v>98359</v>
      </c>
      <c r="BU11">
        <v>98386</v>
      </c>
      <c r="BV11">
        <v>98416</v>
      </c>
      <c r="BW11">
        <v>98491</v>
      </c>
      <c r="BX11">
        <v>98571</v>
      </c>
      <c r="BY11">
        <v>98615</v>
      </c>
      <c r="BZ11">
        <v>98659</v>
      </c>
      <c r="CA11">
        <v>98701</v>
      </c>
      <c r="CB11">
        <v>98749</v>
      </c>
      <c r="CC11">
        <v>98808</v>
      </c>
      <c r="CD11">
        <v>98895</v>
      </c>
      <c r="CE11">
        <v>98899</v>
      </c>
      <c r="CF11">
        <v>98915</v>
      </c>
      <c r="CG11">
        <v>98925</v>
      </c>
      <c r="CH11">
        <v>98939</v>
      </c>
      <c r="CI11">
        <v>98926</v>
      </c>
      <c r="CJ11">
        <v>99041</v>
      </c>
      <c r="CK11">
        <v>99028</v>
      </c>
      <c r="CL11">
        <v>99058</v>
      </c>
      <c r="CM11">
        <v>99102</v>
      </c>
      <c r="CN11">
        <v>99102</v>
      </c>
      <c r="CO11">
        <v>99117</v>
      </c>
      <c r="CP11">
        <v>99194</v>
      </c>
      <c r="CQ11">
        <v>99192</v>
      </c>
      <c r="CR11">
        <v>99275</v>
      </c>
      <c r="CS11">
        <v>99265</v>
      </c>
      <c r="CT11">
        <v>99297</v>
      </c>
      <c r="CU11">
        <v>99361</v>
      </c>
      <c r="CV11">
        <v>99326</v>
      </c>
      <c r="CW11">
        <v>99361</v>
      </c>
    </row>
    <row r="12" spans="1:101" x14ac:dyDescent="0.25">
      <c r="A12" t="s">
        <v>118</v>
      </c>
      <c r="B12">
        <v>76044</v>
      </c>
      <c r="C12">
        <v>77534</v>
      </c>
      <c r="D12">
        <v>79459</v>
      </c>
      <c r="E12">
        <v>78657</v>
      </c>
      <c r="F12">
        <v>79715</v>
      </c>
      <c r="G12">
        <v>80233</v>
      </c>
      <c r="H12">
        <v>80692</v>
      </c>
      <c r="I12">
        <v>81567</v>
      </c>
      <c r="J12">
        <v>81781</v>
      </c>
      <c r="K12">
        <v>83549</v>
      </c>
      <c r="L12">
        <v>82441</v>
      </c>
      <c r="M12">
        <v>81697</v>
      </c>
      <c r="N12">
        <v>85415</v>
      </c>
      <c r="O12">
        <v>84738</v>
      </c>
      <c r="P12">
        <v>83870</v>
      </c>
      <c r="Q12">
        <v>84264</v>
      </c>
      <c r="R12">
        <v>83963</v>
      </c>
      <c r="S12">
        <v>83462</v>
      </c>
      <c r="T12">
        <v>84483</v>
      </c>
      <c r="U12">
        <v>87341</v>
      </c>
      <c r="V12">
        <v>87852</v>
      </c>
      <c r="W12">
        <v>87453</v>
      </c>
      <c r="X12">
        <v>89781</v>
      </c>
      <c r="Y12">
        <v>90522</v>
      </c>
      <c r="Z12">
        <v>90628</v>
      </c>
      <c r="AA12">
        <v>90746</v>
      </c>
      <c r="AB12">
        <v>90802</v>
      </c>
      <c r="AC12">
        <v>91478</v>
      </c>
      <c r="AD12">
        <v>91573</v>
      </c>
      <c r="AE12">
        <v>92070</v>
      </c>
      <c r="AF12">
        <v>92684</v>
      </c>
      <c r="AG12">
        <v>93101</v>
      </c>
      <c r="AH12">
        <v>93525</v>
      </c>
      <c r="AI12">
        <v>93811</v>
      </c>
      <c r="AJ12">
        <v>94102</v>
      </c>
      <c r="AK12">
        <v>94323</v>
      </c>
      <c r="AL12">
        <v>94404</v>
      </c>
      <c r="AM12">
        <v>94559</v>
      </c>
      <c r="AN12">
        <v>94734</v>
      </c>
      <c r="AO12">
        <v>93738</v>
      </c>
      <c r="AP12">
        <v>93690</v>
      </c>
      <c r="AQ12">
        <v>93207</v>
      </c>
      <c r="AR12">
        <v>92815</v>
      </c>
      <c r="AS12">
        <v>93480</v>
      </c>
      <c r="AT12">
        <v>92016</v>
      </c>
      <c r="AU12">
        <v>91436</v>
      </c>
      <c r="AV12">
        <v>95058</v>
      </c>
      <c r="AW12">
        <v>95776</v>
      </c>
      <c r="AX12">
        <v>96168</v>
      </c>
      <c r="AY12">
        <v>96469</v>
      </c>
      <c r="AZ12">
        <v>96431</v>
      </c>
      <c r="BA12">
        <v>96483</v>
      </c>
      <c r="BB12">
        <v>96812</v>
      </c>
      <c r="BC12">
        <v>96852</v>
      </c>
      <c r="BD12">
        <v>97096</v>
      </c>
      <c r="BE12">
        <v>97010</v>
      </c>
      <c r="BF12">
        <v>97226</v>
      </c>
      <c r="BG12">
        <v>97418</v>
      </c>
      <c r="BH12">
        <v>97488</v>
      </c>
      <c r="BI12">
        <v>97586</v>
      </c>
      <c r="BJ12">
        <v>97590</v>
      </c>
      <c r="BK12">
        <v>97626</v>
      </c>
      <c r="BL12">
        <v>97699</v>
      </c>
      <c r="BM12">
        <v>97859</v>
      </c>
      <c r="BN12">
        <v>98016</v>
      </c>
      <c r="BO12">
        <v>97972</v>
      </c>
      <c r="BP12">
        <v>97977</v>
      </c>
      <c r="BQ12">
        <v>98148</v>
      </c>
      <c r="BR12">
        <v>98109</v>
      </c>
      <c r="BS12">
        <v>98166</v>
      </c>
      <c r="BT12">
        <v>98288</v>
      </c>
      <c r="BU12">
        <v>98323</v>
      </c>
      <c r="BV12">
        <v>98363</v>
      </c>
      <c r="BW12">
        <v>98442</v>
      </c>
      <c r="BX12">
        <v>98517</v>
      </c>
      <c r="BY12">
        <v>98575</v>
      </c>
      <c r="BZ12">
        <v>98623</v>
      </c>
      <c r="CA12">
        <v>98663</v>
      </c>
      <c r="CB12">
        <v>98715</v>
      </c>
      <c r="CC12">
        <v>98767</v>
      </c>
      <c r="CD12">
        <v>98855</v>
      </c>
      <c r="CE12">
        <v>98874</v>
      </c>
      <c r="CF12">
        <v>98875</v>
      </c>
      <c r="CG12">
        <v>98896</v>
      </c>
      <c r="CH12">
        <v>98908</v>
      </c>
      <c r="CI12">
        <v>98894</v>
      </c>
      <c r="CJ12">
        <v>99011</v>
      </c>
      <c r="CK12">
        <v>98997</v>
      </c>
      <c r="CL12">
        <v>99031</v>
      </c>
      <c r="CM12">
        <v>99081</v>
      </c>
      <c r="CN12">
        <v>99073</v>
      </c>
      <c r="CO12">
        <v>99095</v>
      </c>
      <c r="CP12">
        <v>99176</v>
      </c>
      <c r="CQ12">
        <v>99171</v>
      </c>
      <c r="CR12">
        <v>99257</v>
      </c>
      <c r="CS12">
        <v>99243</v>
      </c>
      <c r="CT12">
        <v>99278</v>
      </c>
      <c r="CU12">
        <v>99335</v>
      </c>
      <c r="CV12">
        <v>99305</v>
      </c>
      <c r="CW12">
        <v>99346</v>
      </c>
    </row>
    <row r="13" spans="1:101" x14ac:dyDescent="0.25">
      <c r="A13" t="s">
        <v>117</v>
      </c>
      <c r="B13">
        <v>75682</v>
      </c>
      <c r="C13">
        <v>77161</v>
      </c>
      <c r="D13">
        <v>79053</v>
      </c>
      <c r="E13">
        <v>78226</v>
      </c>
      <c r="F13">
        <v>79344</v>
      </c>
      <c r="G13">
        <v>79893</v>
      </c>
      <c r="H13">
        <v>80342</v>
      </c>
      <c r="I13">
        <v>81278</v>
      </c>
      <c r="J13">
        <v>81477</v>
      </c>
      <c r="K13">
        <v>83228</v>
      </c>
      <c r="L13">
        <v>82101</v>
      </c>
      <c r="M13">
        <v>81375</v>
      </c>
      <c r="N13">
        <v>85002</v>
      </c>
      <c r="O13">
        <v>84047</v>
      </c>
      <c r="P13">
        <v>83417</v>
      </c>
      <c r="Q13">
        <v>83941</v>
      </c>
      <c r="R13">
        <v>83696</v>
      </c>
      <c r="S13">
        <v>83218</v>
      </c>
      <c r="T13">
        <v>84247</v>
      </c>
      <c r="U13">
        <v>87116</v>
      </c>
      <c r="V13">
        <v>87598</v>
      </c>
      <c r="W13">
        <v>87196</v>
      </c>
      <c r="X13">
        <v>89498</v>
      </c>
      <c r="Y13">
        <v>90290</v>
      </c>
      <c r="Z13">
        <v>90375</v>
      </c>
      <c r="AA13">
        <v>90497</v>
      </c>
      <c r="AB13">
        <v>90593</v>
      </c>
      <c r="AC13">
        <v>91279</v>
      </c>
      <c r="AD13">
        <v>91392</v>
      </c>
      <c r="AE13">
        <v>91904</v>
      </c>
      <c r="AF13">
        <v>92514</v>
      </c>
      <c r="AG13">
        <v>92953</v>
      </c>
      <c r="AH13">
        <v>93381</v>
      </c>
      <c r="AI13">
        <v>93665</v>
      </c>
      <c r="AJ13">
        <v>93948</v>
      </c>
      <c r="AK13">
        <v>94151</v>
      </c>
      <c r="AL13">
        <v>94198</v>
      </c>
      <c r="AM13">
        <v>94328</v>
      </c>
      <c r="AN13">
        <v>94406</v>
      </c>
      <c r="AO13">
        <v>93301</v>
      </c>
      <c r="AP13">
        <v>93268</v>
      </c>
      <c r="AQ13">
        <v>92989</v>
      </c>
      <c r="AR13">
        <v>92660</v>
      </c>
      <c r="AS13">
        <v>93377</v>
      </c>
      <c r="AT13">
        <v>91906</v>
      </c>
      <c r="AU13">
        <v>91329</v>
      </c>
      <c r="AV13">
        <v>94952</v>
      </c>
      <c r="AW13">
        <v>95670</v>
      </c>
      <c r="AX13">
        <v>96063</v>
      </c>
      <c r="AY13">
        <v>96395</v>
      </c>
      <c r="AZ13">
        <v>96361</v>
      </c>
      <c r="BA13">
        <v>96414</v>
      </c>
      <c r="BB13">
        <v>96715</v>
      </c>
      <c r="BC13">
        <v>96786</v>
      </c>
      <c r="BD13">
        <v>97001</v>
      </c>
      <c r="BE13">
        <v>96906</v>
      </c>
      <c r="BF13">
        <v>97161</v>
      </c>
      <c r="BG13">
        <v>97337</v>
      </c>
      <c r="BH13">
        <v>97414</v>
      </c>
      <c r="BI13">
        <v>97508</v>
      </c>
      <c r="BJ13">
        <v>97513</v>
      </c>
      <c r="BK13">
        <v>97560</v>
      </c>
      <c r="BL13">
        <v>97638</v>
      </c>
      <c r="BM13">
        <v>97782</v>
      </c>
      <c r="BN13">
        <v>97945</v>
      </c>
      <c r="BO13">
        <v>97902</v>
      </c>
      <c r="BP13">
        <v>97911</v>
      </c>
      <c r="BQ13">
        <v>98091</v>
      </c>
      <c r="BR13">
        <v>98056</v>
      </c>
      <c r="BS13">
        <v>98116</v>
      </c>
      <c r="BT13">
        <v>98246</v>
      </c>
      <c r="BU13">
        <v>98277</v>
      </c>
      <c r="BV13">
        <v>98318</v>
      </c>
      <c r="BW13">
        <v>98396</v>
      </c>
      <c r="BX13">
        <v>98477</v>
      </c>
      <c r="BY13">
        <v>98540</v>
      </c>
      <c r="BZ13">
        <v>98576</v>
      </c>
      <c r="CA13">
        <v>98632</v>
      </c>
      <c r="CB13">
        <v>98681</v>
      </c>
      <c r="CC13">
        <v>98736</v>
      </c>
      <c r="CD13">
        <v>98833</v>
      </c>
      <c r="CE13">
        <v>98852</v>
      </c>
      <c r="CF13">
        <v>98854</v>
      </c>
      <c r="CG13">
        <v>98872</v>
      </c>
      <c r="CH13">
        <v>98880</v>
      </c>
      <c r="CI13">
        <v>98869</v>
      </c>
      <c r="CJ13">
        <v>98991</v>
      </c>
      <c r="CK13">
        <v>98975</v>
      </c>
      <c r="CL13">
        <v>99017</v>
      </c>
      <c r="CM13">
        <v>99062</v>
      </c>
      <c r="CN13">
        <v>99046</v>
      </c>
      <c r="CO13">
        <v>99070</v>
      </c>
      <c r="CP13">
        <v>99160</v>
      </c>
      <c r="CQ13">
        <v>99156</v>
      </c>
      <c r="CR13">
        <v>99234</v>
      </c>
      <c r="CS13">
        <v>99229</v>
      </c>
      <c r="CT13">
        <v>99260</v>
      </c>
      <c r="CU13">
        <v>99321</v>
      </c>
      <c r="CV13">
        <v>99282</v>
      </c>
      <c r="CW13">
        <v>99334</v>
      </c>
    </row>
    <row r="14" spans="1:101" x14ac:dyDescent="0.25">
      <c r="A14" t="s">
        <v>116</v>
      </c>
      <c r="B14">
        <v>75380</v>
      </c>
      <c r="C14">
        <v>76830</v>
      </c>
      <c r="D14">
        <v>78737</v>
      </c>
      <c r="E14">
        <v>77956</v>
      </c>
      <c r="F14">
        <v>79074</v>
      </c>
      <c r="G14">
        <v>79612</v>
      </c>
      <c r="H14">
        <v>80068</v>
      </c>
      <c r="I14">
        <v>81020</v>
      </c>
      <c r="J14">
        <v>81209</v>
      </c>
      <c r="K14">
        <v>82953</v>
      </c>
      <c r="L14">
        <v>81793</v>
      </c>
      <c r="M14">
        <v>81083</v>
      </c>
      <c r="N14">
        <v>84464</v>
      </c>
      <c r="O14">
        <v>83637</v>
      </c>
      <c r="P14">
        <v>83169</v>
      </c>
      <c r="Q14">
        <v>83721</v>
      </c>
      <c r="R14">
        <v>83506</v>
      </c>
      <c r="S14">
        <v>83048</v>
      </c>
      <c r="T14">
        <v>84052</v>
      </c>
      <c r="U14">
        <v>86915</v>
      </c>
      <c r="V14">
        <v>87397</v>
      </c>
      <c r="W14">
        <v>86983</v>
      </c>
      <c r="X14">
        <v>89298</v>
      </c>
      <c r="Y14">
        <v>90078</v>
      </c>
      <c r="Z14">
        <v>90177</v>
      </c>
      <c r="AA14">
        <v>90332</v>
      </c>
      <c r="AB14">
        <v>90422</v>
      </c>
      <c r="AC14">
        <v>91115</v>
      </c>
      <c r="AD14">
        <v>91244</v>
      </c>
      <c r="AE14">
        <v>91753</v>
      </c>
      <c r="AF14">
        <v>92393</v>
      </c>
      <c r="AG14">
        <v>92801</v>
      </c>
      <c r="AH14">
        <v>93215</v>
      </c>
      <c r="AI14">
        <v>93554</v>
      </c>
      <c r="AJ14">
        <v>93802</v>
      </c>
      <c r="AK14">
        <v>93982</v>
      </c>
      <c r="AL14">
        <v>93777</v>
      </c>
      <c r="AM14">
        <v>94045</v>
      </c>
      <c r="AN14">
        <v>94060</v>
      </c>
      <c r="AO14">
        <v>92959</v>
      </c>
      <c r="AP14">
        <v>93061</v>
      </c>
      <c r="AQ14">
        <v>92863</v>
      </c>
      <c r="AR14">
        <v>92569</v>
      </c>
      <c r="AS14">
        <v>93293</v>
      </c>
      <c r="AT14">
        <v>91825</v>
      </c>
      <c r="AU14">
        <v>91242</v>
      </c>
      <c r="AV14">
        <v>94875</v>
      </c>
      <c r="AW14">
        <v>95561</v>
      </c>
      <c r="AX14">
        <v>95986</v>
      </c>
      <c r="AY14">
        <v>96332</v>
      </c>
      <c r="AZ14">
        <v>96285</v>
      </c>
      <c r="BA14">
        <v>96355</v>
      </c>
      <c r="BB14">
        <v>96646</v>
      </c>
      <c r="BC14">
        <v>96699</v>
      </c>
      <c r="BD14">
        <v>96938</v>
      </c>
      <c r="BE14">
        <v>96821</v>
      </c>
      <c r="BF14">
        <v>97095</v>
      </c>
      <c r="BG14">
        <v>97261</v>
      </c>
      <c r="BH14">
        <v>97347</v>
      </c>
      <c r="BI14">
        <v>97454</v>
      </c>
      <c r="BJ14">
        <v>97433</v>
      </c>
      <c r="BK14">
        <v>97493</v>
      </c>
      <c r="BL14">
        <v>97573</v>
      </c>
      <c r="BM14">
        <v>97724</v>
      </c>
      <c r="BN14">
        <v>97888</v>
      </c>
      <c r="BO14">
        <v>97839</v>
      </c>
      <c r="BP14">
        <v>97857</v>
      </c>
      <c r="BQ14">
        <v>98040</v>
      </c>
      <c r="BR14">
        <v>98001</v>
      </c>
      <c r="BS14">
        <v>98071</v>
      </c>
      <c r="BT14">
        <v>98217</v>
      </c>
      <c r="BU14">
        <v>98235</v>
      </c>
      <c r="BV14">
        <v>98267</v>
      </c>
      <c r="BW14">
        <v>98362</v>
      </c>
      <c r="BX14">
        <v>98438</v>
      </c>
      <c r="BY14">
        <v>98507</v>
      </c>
      <c r="BZ14">
        <v>98545</v>
      </c>
      <c r="CA14">
        <v>98595</v>
      </c>
      <c r="CB14">
        <v>98646</v>
      </c>
      <c r="CC14">
        <v>98705</v>
      </c>
      <c r="CD14">
        <v>98806</v>
      </c>
      <c r="CE14">
        <v>98826</v>
      </c>
      <c r="CF14">
        <v>98829</v>
      </c>
      <c r="CG14">
        <v>98853</v>
      </c>
      <c r="CH14">
        <v>98851</v>
      </c>
      <c r="CI14">
        <v>98846</v>
      </c>
      <c r="CJ14">
        <v>98965</v>
      </c>
      <c r="CK14">
        <v>98949</v>
      </c>
      <c r="CL14">
        <v>98997</v>
      </c>
      <c r="CM14">
        <v>99039</v>
      </c>
      <c r="CN14">
        <v>99030</v>
      </c>
      <c r="CO14">
        <v>99045</v>
      </c>
      <c r="CP14">
        <v>99144</v>
      </c>
      <c r="CQ14">
        <v>99135</v>
      </c>
      <c r="CR14">
        <v>99217</v>
      </c>
      <c r="CS14">
        <v>99208</v>
      </c>
      <c r="CT14">
        <v>99253</v>
      </c>
      <c r="CU14">
        <v>99300</v>
      </c>
      <c r="CV14">
        <v>99269</v>
      </c>
      <c r="CW14">
        <v>99319</v>
      </c>
    </row>
    <row r="15" spans="1:101" x14ac:dyDescent="0.25">
      <c r="A15" t="s">
        <v>115</v>
      </c>
      <c r="B15">
        <v>75160</v>
      </c>
      <c r="C15">
        <v>76554</v>
      </c>
      <c r="D15">
        <v>78481</v>
      </c>
      <c r="E15">
        <v>77758</v>
      </c>
      <c r="F15">
        <v>78823</v>
      </c>
      <c r="G15">
        <v>79378</v>
      </c>
      <c r="H15">
        <v>79854</v>
      </c>
      <c r="I15">
        <v>80826</v>
      </c>
      <c r="J15">
        <v>80991</v>
      </c>
      <c r="K15">
        <v>82714</v>
      </c>
      <c r="L15">
        <v>81552</v>
      </c>
      <c r="M15">
        <v>80682</v>
      </c>
      <c r="N15">
        <v>84166</v>
      </c>
      <c r="O15">
        <v>83434</v>
      </c>
      <c r="P15">
        <v>82996</v>
      </c>
      <c r="Q15">
        <v>83568</v>
      </c>
      <c r="R15">
        <v>83338</v>
      </c>
      <c r="S15">
        <v>82910</v>
      </c>
      <c r="T15">
        <v>83870</v>
      </c>
      <c r="U15">
        <v>86754</v>
      </c>
      <c r="V15">
        <v>87218</v>
      </c>
      <c r="W15">
        <v>86785</v>
      </c>
      <c r="X15">
        <v>89100</v>
      </c>
      <c r="Y15">
        <v>89893</v>
      </c>
      <c r="Z15">
        <v>90011</v>
      </c>
      <c r="AA15">
        <v>90167</v>
      </c>
      <c r="AB15">
        <v>90298</v>
      </c>
      <c r="AC15">
        <v>90984</v>
      </c>
      <c r="AD15">
        <v>91112</v>
      </c>
      <c r="AE15">
        <v>91631</v>
      </c>
      <c r="AF15">
        <v>92286</v>
      </c>
      <c r="AG15">
        <v>92675</v>
      </c>
      <c r="AH15">
        <v>93097</v>
      </c>
      <c r="AI15">
        <v>93411</v>
      </c>
      <c r="AJ15">
        <v>93654</v>
      </c>
      <c r="AK15">
        <v>93383</v>
      </c>
      <c r="AL15">
        <v>93519</v>
      </c>
      <c r="AM15">
        <v>93751</v>
      </c>
      <c r="AN15">
        <v>93740</v>
      </c>
      <c r="AO15">
        <v>92797</v>
      </c>
      <c r="AP15">
        <v>92964</v>
      </c>
      <c r="AQ15">
        <v>92784</v>
      </c>
      <c r="AR15">
        <v>92475</v>
      </c>
      <c r="AS15">
        <v>93219</v>
      </c>
      <c r="AT15">
        <v>91748</v>
      </c>
      <c r="AU15">
        <v>91161</v>
      </c>
      <c r="AV15">
        <v>94774</v>
      </c>
      <c r="AW15">
        <v>95491</v>
      </c>
      <c r="AX15">
        <v>95913</v>
      </c>
      <c r="AY15">
        <v>96271</v>
      </c>
      <c r="AZ15">
        <v>96224</v>
      </c>
      <c r="BA15">
        <v>96286</v>
      </c>
      <c r="BB15">
        <v>96570</v>
      </c>
      <c r="BC15">
        <v>96642</v>
      </c>
      <c r="BD15">
        <v>96870</v>
      </c>
      <c r="BE15">
        <v>96760</v>
      </c>
      <c r="BF15">
        <v>97019</v>
      </c>
      <c r="BG15">
        <v>97193</v>
      </c>
      <c r="BH15">
        <v>97282</v>
      </c>
      <c r="BI15">
        <v>97396</v>
      </c>
      <c r="BJ15">
        <v>97367</v>
      </c>
      <c r="BK15">
        <v>97434</v>
      </c>
      <c r="BL15">
        <v>97517</v>
      </c>
      <c r="BM15">
        <v>97662</v>
      </c>
      <c r="BN15">
        <v>97829</v>
      </c>
      <c r="BO15">
        <v>97787</v>
      </c>
      <c r="BP15">
        <v>97813</v>
      </c>
      <c r="BQ15">
        <v>97994</v>
      </c>
      <c r="BR15">
        <v>97968</v>
      </c>
      <c r="BS15">
        <v>98026</v>
      </c>
      <c r="BT15">
        <v>98177</v>
      </c>
      <c r="BU15">
        <v>98198</v>
      </c>
      <c r="BV15">
        <v>98235</v>
      </c>
      <c r="BW15">
        <v>98330</v>
      </c>
      <c r="BX15">
        <v>98406</v>
      </c>
      <c r="BY15">
        <v>98475</v>
      </c>
      <c r="BZ15">
        <v>98516</v>
      </c>
      <c r="CA15">
        <v>98569</v>
      </c>
      <c r="CB15">
        <v>98631</v>
      </c>
      <c r="CC15">
        <v>98673</v>
      </c>
      <c r="CD15">
        <v>98790</v>
      </c>
      <c r="CE15">
        <v>98805</v>
      </c>
      <c r="CF15">
        <v>98809</v>
      </c>
      <c r="CG15">
        <v>98821</v>
      </c>
      <c r="CH15">
        <v>98835</v>
      </c>
      <c r="CI15">
        <v>98828</v>
      </c>
      <c r="CJ15">
        <v>98941</v>
      </c>
      <c r="CK15">
        <v>98934</v>
      </c>
      <c r="CL15">
        <v>98982</v>
      </c>
      <c r="CM15">
        <v>99026</v>
      </c>
      <c r="CN15">
        <v>99012</v>
      </c>
      <c r="CO15">
        <v>99032</v>
      </c>
      <c r="CP15">
        <v>99128</v>
      </c>
      <c r="CQ15">
        <v>99121</v>
      </c>
      <c r="CR15">
        <v>99203</v>
      </c>
      <c r="CS15">
        <v>99193</v>
      </c>
      <c r="CT15">
        <v>99239</v>
      </c>
      <c r="CU15">
        <v>99290</v>
      </c>
      <c r="CV15">
        <v>99255</v>
      </c>
      <c r="CW15">
        <v>99307</v>
      </c>
    </row>
    <row r="16" spans="1:101" x14ac:dyDescent="0.25">
      <c r="A16" t="s">
        <v>114</v>
      </c>
      <c r="B16">
        <v>74954</v>
      </c>
      <c r="C16">
        <v>76368</v>
      </c>
      <c r="D16">
        <v>78304</v>
      </c>
      <c r="E16">
        <v>77566</v>
      </c>
      <c r="F16">
        <v>78627</v>
      </c>
      <c r="G16">
        <v>79209</v>
      </c>
      <c r="H16">
        <v>79695</v>
      </c>
      <c r="I16">
        <v>80634</v>
      </c>
      <c r="J16">
        <v>80811</v>
      </c>
      <c r="K16">
        <v>82474</v>
      </c>
      <c r="L16">
        <v>81225</v>
      </c>
      <c r="M16">
        <v>80433</v>
      </c>
      <c r="N16">
        <v>83998</v>
      </c>
      <c r="O16">
        <v>83292</v>
      </c>
      <c r="P16">
        <v>82878</v>
      </c>
      <c r="Q16">
        <v>83448</v>
      </c>
      <c r="R16">
        <v>83219</v>
      </c>
      <c r="S16">
        <v>82763</v>
      </c>
      <c r="T16">
        <v>83730</v>
      </c>
      <c r="U16">
        <v>86597</v>
      </c>
      <c r="V16">
        <v>87050</v>
      </c>
      <c r="W16">
        <v>86626</v>
      </c>
      <c r="X16">
        <v>88962</v>
      </c>
      <c r="Y16">
        <v>89750</v>
      </c>
      <c r="Z16">
        <v>89883</v>
      </c>
      <c r="AA16">
        <v>90038</v>
      </c>
      <c r="AB16">
        <v>90191</v>
      </c>
      <c r="AC16">
        <v>90859</v>
      </c>
      <c r="AD16">
        <v>91007</v>
      </c>
      <c r="AE16">
        <v>91522</v>
      </c>
      <c r="AF16">
        <v>92172</v>
      </c>
      <c r="AG16">
        <v>92594</v>
      </c>
      <c r="AH16">
        <v>92969</v>
      </c>
      <c r="AI16">
        <v>93264</v>
      </c>
      <c r="AJ16">
        <v>93529</v>
      </c>
      <c r="AK16">
        <v>93202</v>
      </c>
      <c r="AL16">
        <v>93227</v>
      </c>
      <c r="AM16">
        <v>93470</v>
      </c>
      <c r="AN16">
        <v>93597</v>
      </c>
      <c r="AO16">
        <v>92702</v>
      </c>
      <c r="AP16">
        <v>92891</v>
      </c>
      <c r="AQ16">
        <v>92719</v>
      </c>
      <c r="AR16">
        <v>92410</v>
      </c>
      <c r="AS16">
        <v>93147</v>
      </c>
      <c r="AT16">
        <v>91692</v>
      </c>
      <c r="AU16">
        <v>91097</v>
      </c>
      <c r="AV16">
        <v>94719</v>
      </c>
      <c r="AW16">
        <v>95425</v>
      </c>
      <c r="AX16">
        <v>95847</v>
      </c>
      <c r="AY16">
        <v>96198</v>
      </c>
      <c r="AZ16">
        <v>96169</v>
      </c>
      <c r="BA16">
        <v>96226</v>
      </c>
      <c r="BB16">
        <v>96511</v>
      </c>
      <c r="BC16">
        <v>96584</v>
      </c>
      <c r="BD16">
        <v>96815</v>
      </c>
      <c r="BE16">
        <v>96713</v>
      </c>
      <c r="BF16">
        <v>96971</v>
      </c>
      <c r="BG16">
        <v>97145</v>
      </c>
      <c r="BH16">
        <v>97230</v>
      </c>
      <c r="BI16">
        <v>97349</v>
      </c>
      <c r="BJ16">
        <v>97311</v>
      </c>
      <c r="BK16">
        <v>97380</v>
      </c>
      <c r="BL16">
        <v>97460</v>
      </c>
      <c r="BM16">
        <v>97624</v>
      </c>
      <c r="BN16">
        <v>97777</v>
      </c>
      <c r="BO16">
        <v>97735</v>
      </c>
      <c r="BP16">
        <v>97779</v>
      </c>
      <c r="BQ16">
        <v>97960</v>
      </c>
      <c r="BR16">
        <v>97921</v>
      </c>
      <c r="BS16">
        <v>97985</v>
      </c>
      <c r="BT16">
        <v>98129</v>
      </c>
      <c r="BU16">
        <v>98174</v>
      </c>
      <c r="BV16">
        <v>98198</v>
      </c>
      <c r="BW16">
        <v>98305</v>
      </c>
      <c r="BX16">
        <v>98380</v>
      </c>
      <c r="BY16">
        <v>98456</v>
      </c>
      <c r="BZ16">
        <v>98496</v>
      </c>
      <c r="CA16">
        <v>98548</v>
      </c>
      <c r="CB16">
        <v>98617</v>
      </c>
      <c r="CC16">
        <v>98649</v>
      </c>
      <c r="CD16">
        <v>98761</v>
      </c>
      <c r="CE16">
        <v>98785</v>
      </c>
      <c r="CF16">
        <v>98796</v>
      </c>
      <c r="CG16">
        <v>98806</v>
      </c>
      <c r="CH16">
        <v>98816</v>
      </c>
      <c r="CI16">
        <v>98815</v>
      </c>
      <c r="CJ16">
        <v>98922</v>
      </c>
      <c r="CK16">
        <v>98914</v>
      </c>
      <c r="CL16">
        <v>98970</v>
      </c>
      <c r="CM16">
        <v>99012</v>
      </c>
      <c r="CN16">
        <v>98997</v>
      </c>
      <c r="CO16">
        <v>99016</v>
      </c>
      <c r="CP16">
        <v>99113</v>
      </c>
      <c r="CQ16">
        <v>99109</v>
      </c>
      <c r="CR16">
        <v>99187</v>
      </c>
      <c r="CS16">
        <v>99173</v>
      </c>
      <c r="CT16">
        <v>99228</v>
      </c>
      <c r="CU16">
        <v>99279</v>
      </c>
      <c r="CV16">
        <v>99241</v>
      </c>
      <c r="CW16">
        <v>99300</v>
      </c>
    </row>
    <row r="17" spans="1:101" x14ac:dyDescent="0.25">
      <c r="A17" t="s">
        <v>113</v>
      </c>
      <c r="B17">
        <v>74784</v>
      </c>
      <c r="C17">
        <v>76207</v>
      </c>
      <c r="D17">
        <v>78120</v>
      </c>
      <c r="E17">
        <v>77380</v>
      </c>
      <c r="F17">
        <v>78499</v>
      </c>
      <c r="G17">
        <v>79065</v>
      </c>
      <c r="H17">
        <v>79531</v>
      </c>
      <c r="I17">
        <v>80461</v>
      </c>
      <c r="J17">
        <v>80614</v>
      </c>
      <c r="K17">
        <v>82195</v>
      </c>
      <c r="L17">
        <v>81020</v>
      </c>
      <c r="M17">
        <v>80288</v>
      </c>
      <c r="N17">
        <v>83865</v>
      </c>
      <c r="O17">
        <v>83165</v>
      </c>
      <c r="P17">
        <v>82763</v>
      </c>
      <c r="Q17">
        <v>83325</v>
      </c>
      <c r="R17">
        <v>83112</v>
      </c>
      <c r="S17">
        <v>82632</v>
      </c>
      <c r="T17">
        <v>83605</v>
      </c>
      <c r="U17">
        <v>86471</v>
      </c>
      <c r="V17">
        <v>86896</v>
      </c>
      <c r="W17">
        <v>86503</v>
      </c>
      <c r="X17">
        <v>88852</v>
      </c>
      <c r="Y17">
        <v>89640</v>
      </c>
      <c r="Z17">
        <v>89788</v>
      </c>
      <c r="AA17">
        <v>89919</v>
      </c>
      <c r="AB17">
        <v>90081</v>
      </c>
      <c r="AC17">
        <v>90765</v>
      </c>
      <c r="AD17">
        <v>90915</v>
      </c>
      <c r="AE17">
        <v>91415</v>
      </c>
      <c r="AF17">
        <v>92080</v>
      </c>
      <c r="AG17">
        <v>92471</v>
      </c>
      <c r="AH17">
        <v>92861</v>
      </c>
      <c r="AI17">
        <v>93119</v>
      </c>
      <c r="AJ17">
        <v>93345</v>
      </c>
      <c r="AK17">
        <v>92965</v>
      </c>
      <c r="AL17">
        <v>92985</v>
      </c>
      <c r="AM17">
        <v>93339</v>
      </c>
      <c r="AN17">
        <v>93524</v>
      </c>
      <c r="AO17">
        <v>92647</v>
      </c>
      <c r="AP17">
        <v>92840</v>
      </c>
      <c r="AQ17">
        <v>92655</v>
      </c>
      <c r="AR17">
        <v>92353</v>
      </c>
      <c r="AS17">
        <v>93096</v>
      </c>
      <c r="AT17">
        <v>91642</v>
      </c>
      <c r="AU17">
        <v>91044</v>
      </c>
      <c r="AV17">
        <v>94658</v>
      </c>
      <c r="AW17">
        <v>95378</v>
      </c>
      <c r="AX17">
        <v>95797</v>
      </c>
      <c r="AY17">
        <v>96154</v>
      </c>
      <c r="AZ17">
        <v>96116</v>
      </c>
      <c r="BA17">
        <v>96180</v>
      </c>
      <c r="BB17">
        <v>96465</v>
      </c>
      <c r="BC17">
        <v>96534</v>
      </c>
      <c r="BD17">
        <v>96767</v>
      </c>
      <c r="BE17">
        <v>96656</v>
      </c>
      <c r="BF17">
        <v>96931</v>
      </c>
      <c r="BG17">
        <v>97092</v>
      </c>
      <c r="BH17">
        <v>97177</v>
      </c>
      <c r="BI17">
        <v>97305</v>
      </c>
      <c r="BJ17">
        <v>97271</v>
      </c>
      <c r="BK17">
        <v>97329</v>
      </c>
      <c r="BL17">
        <v>97411</v>
      </c>
      <c r="BM17">
        <v>97574</v>
      </c>
      <c r="BN17">
        <v>97729</v>
      </c>
      <c r="BO17">
        <v>97697</v>
      </c>
      <c r="BP17">
        <v>97743</v>
      </c>
      <c r="BQ17">
        <v>97929</v>
      </c>
      <c r="BR17">
        <v>97878</v>
      </c>
      <c r="BS17">
        <v>97953</v>
      </c>
      <c r="BT17">
        <v>98094</v>
      </c>
      <c r="BU17">
        <v>98142</v>
      </c>
      <c r="BV17">
        <v>98171</v>
      </c>
      <c r="BW17">
        <v>98278</v>
      </c>
      <c r="BX17">
        <v>98355</v>
      </c>
      <c r="BY17">
        <v>98427</v>
      </c>
      <c r="BZ17">
        <v>98475</v>
      </c>
      <c r="CA17">
        <v>98529</v>
      </c>
      <c r="CB17">
        <v>98603</v>
      </c>
      <c r="CC17">
        <v>98627</v>
      </c>
      <c r="CD17">
        <v>98741</v>
      </c>
      <c r="CE17">
        <v>98769</v>
      </c>
      <c r="CF17">
        <v>98782</v>
      </c>
      <c r="CG17">
        <v>98781</v>
      </c>
      <c r="CH17">
        <v>98800</v>
      </c>
      <c r="CI17">
        <v>98804</v>
      </c>
      <c r="CJ17">
        <v>98910</v>
      </c>
      <c r="CK17">
        <v>98896</v>
      </c>
      <c r="CL17">
        <v>98956</v>
      </c>
      <c r="CM17">
        <v>98995</v>
      </c>
      <c r="CN17">
        <v>98986</v>
      </c>
      <c r="CO17">
        <v>99002</v>
      </c>
      <c r="CP17">
        <v>99104</v>
      </c>
      <c r="CQ17">
        <v>99099</v>
      </c>
      <c r="CR17">
        <v>99168</v>
      </c>
      <c r="CS17">
        <v>99166</v>
      </c>
      <c r="CT17">
        <v>99219</v>
      </c>
      <c r="CU17">
        <v>99268</v>
      </c>
      <c r="CV17">
        <v>99232</v>
      </c>
      <c r="CW17">
        <v>99294</v>
      </c>
    </row>
    <row r="18" spans="1:101" x14ac:dyDescent="0.25">
      <c r="A18" t="s">
        <v>112</v>
      </c>
      <c r="B18">
        <v>74649</v>
      </c>
      <c r="C18">
        <v>76028</v>
      </c>
      <c r="D18">
        <v>77976</v>
      </c>
      <c r="E18">
        <v>77274</v>
      </c>
      <c r="F18">
        <v>78365</v>
      </c>
      <c r="G18">
        <v>78928</v>
      </c>
      <c r="H18">
        <v>79377</v>
      </c>
      <c r="I18">
        <v>80318</v>
      </c>
      <c r="J18">
        <v>80307</v>
      </c>
      <c r="K18">
        <v>82041</v>
      </c>
      <c r="L18">
        <v>80858</v>
      </c>
      <c r="M18">
        <v>80172</v>
      </c>
      <c r="N18">
        <v>83752</v>
      </c>
      <c r="O18">
        <v>83070</v>
      </c>
      <c r="P18">
        <v>82645</v>
      </c>
      <c r="Q18">
        <v>83219</v>
      </c>
      <c r="R18">
        <v>83009</v>
      </c>
      <c r="S18">
        <v>82512</v>
      </c>
      <c r="T18">
        <v>83488</v>
      </c>
      <c r="U18">
        <v>86352</v>
      </c>
      <c r="V18">
        <v>86792</v>
      </c>
      <c r="W18">
        <v>86417</v>
      </c>
      <c r="X18">
        <v>88755</v>
      </c>
      <c r="Y18">
        <v>89539</v>
      </c>
      <c r="Z18">
        <v>89686</v>
      </c>
      <c r="AA18">
        <v>89832</v>
      </c>
      <c r="AB18">
        <v>89998</v>
      </c>
      <c r="AC18">
        <v>90687</v>
      </c>
      <c r="AD18">
        <v>90829</v>
      </c>
      <c r="AE18">
        <v>91324</v>
      </c>
      <c r="AF18">
        <v>91995</v>
      </c>
      <c r="AG18">
        <v>92356</v>
      </c>
      <c r="AH18">
        <v>92748</v>
      </c>
      <c r="AI18">
        <v>92953</v>
      </c>
      <c r="AJ18">
        <v>93091</v>
      </c>
      <c r="AK18">
        <v>92747</v>
      </c>
      <c r="AL18">
        <v>92881</v>
      </c>
      <c r="AM18">
        <v>93260</v>
      </c>
      <c r="AN18">
        <v>93460</v>
      </c>
      <c r="AO18">
        <v>92598</v>
      </c>
      <c r="AP18">
        <v>92788</v>
      </c>
      <c r="AQ18">
        <v>92617</v>
      </c>
      <c r="AR18">
        <v>92302</v>
      </c>
      <c r="AS18">
        <v>93034</v>
      </c>
      <c r="AT18">
        <v>91597</v>
      </c>
      <c r="AU18">
        <v>90998</v>
      </c>
      <c r="AV18">
        <v>94613</v>
      </c>
      <c r="AW18">
        <v>95320</v>
      </c>
      <c r="AX18">
        <v>95755</v>
      </c>
      <c r="AY18">
        <v>96100</v>
      </c>
      <c r="AZ18">
        <v>96067</v>
      </c>
      <c r="BA18">
        <v>96149</v>
      </c>
      <c r="BB18">
        <v>96426</v>
      </c>
      <c r="BC18">
        <v>96492</v>
      </c>
      <c r="BD18">
        <v>96724</v>
      </c>
      <c r="BE18">
        <v>96606</v>
      </c>
      <c r="BF18">
        <v>96889</v>
      </c>
      <c r="BG18">
        <v>97041</v>
      </c>
      <c r="BH18">
        <v>97126</v>
      </c>
      <c r="BI18">
        <v>97250</v>
      </c>
      <c r="BJ18">
        <v>97217</v>
      </c>
      <c r="BK18">
        <v>97291</v>
      </c>
      <c r="BL18">
        <v>97371</v>
      </c>
      <c r="BM18">
        <v>97541</v>
      </c>
      <c r="BN18">
        <v>97696</v>
      </c>
      <c r="BO18">
        <v>97665</v>
      </c>
      <c r="BP18">
        <v>97715</v>
      </c>
      <c r="BQ18">
        <v>97903</v>
      </c>
      <c r="BR18">
        <v>97859</v>
      </c>
      <c r="BS18">
        <v>97923</v>
      </c>
      <c r="BT18">
        <v>98064</v>
      </c>
      <c r="BU18">
        <v>98130</v>
      </c>
      <c r="BV18">
        <v>98144</v>
      </c>
      <c r="BW18">
        <v>98263</v>
      </c>
      <c r="BX18">
        <v>98332</v>
      </c>
      <c r="BY18">
        <v>98404</v>
      </c>
      <c r="BZ18">
        <v>98452</v>
      </c>
      <c r="CA18">
        <v>98518</v>
      </c>
      <c r="CB18">
        <v>98587</v>
      </c>
      <c r="CC18">
        <v>98599</v>
      </c>
      <c r="CD18">
        <v>98721</v>
      </c>
      <c r="CE18">
        <v>98751</v>
      </c>
      <c r="CF18">
        <v>98765</v>
      </c>
      <c r="CG18">
        <v>98764</v>
      </c>
      <c r="CH18">
        <v>98783</v>
      </c>
      <c r="CI18">
        <v>98786</v>
      </c>
      <c r="CJ18">
        <v>98897</v>
      </c>
      <c r="CK18">
        <v>98879</v>
      </c>
      <c r="CL18">
        <v>98944</v>
      </c>
      <c r="CM18">
        <v>98983</v>
      </c>
      <c r="CN18">
        <v>98974</v>
      </c>
      <c r="CO18">
        <v>98987</v>
      </c>
      <c r="CP18">
        <v>99088</v>
      </c>
      <c r="CQ18">
        <v>99087</v>
      </c>
      <c r="CR18">
        <v>99157</v>
      </c>
      <c r="CS18">
        <v>99158</v>
      </c>
      <c r="CT18">
        <v>99213</v>
      </c>
      <c r="CU18">
        <v>99262</v>
      </c>
      <c r="CV18">
        <v>99224</v>
      </c>
      <c r="CW18">
        <v>99287</v>
      </c>
    </row>
    <row r="19" spans="1:101" x14ac:dyDescent="0.25">
      <c r="A19" t="s">
        <v>111</v>
      </c>
      <c r="B19">
        <v>74509</v>
      </c>
      <c r="C19">
        <v>75889</v>
      </c>
      <c r="D19">
        <v>77846</v>
      </c>
      <c r="E19">
        <v>77150</v>
      </c>
      <c r="F19">
        <v>78219</v>
      </c>
      <c r="G19">
        <v>78786</v>
      </c>
      <c r="H19">
        <v>79225</v>
      </c>
      <c r="I19">
        <v>79994</v>
      </c>
      <c r="J19">
        <v>80159</v>
      </c>
      <c r="K19">
        <v>81891</v>
      </c>
      <c r="L19">
        <v>80755</v>
      </c>
      <c r="M19">
        <v>80053</v>
      </c>
      <c r="N19">
        <v>83646</v>
      </c>
      <c r="O19">
        <v>82968</v>
      </c>
      <c r="P19">
        <v>82530</v>
      </c>
      <c r="Q19">
        <v>83103</v>
      </c>
      <c r="R19">
        <v>82914</v>
      </c>
      <c r="S19">
        <v>82404</v>
      </c>
      <c r="T19">
        <v>83372</v>
      </c>
      <c r="U19">
        <v>86258</v>
      </c>
      <c r="V19">
        <v>86696</v>
      </c>
      <c r="W19">
        <v>86319</v>
      </c>
      <c r="X19">
        <v>88670</v>
      </c>
      <c r="Y19">
        <v>89440</v>
      </c>
      <c r="Z19">
        <v>89599</v>
      </c>
      <c r="AA19">
        <v>89742</v>
      </c>
      <c r="AB19">
        <v>89939</v>
      </c>
      <c r="AC19">
        <v>90615</v>
      </c>
      <c r="AD19">
        <v>90769</v>
      </c>
      <c r="AE19">
        <v>91241</v>
      </c>
      <c r="AF19">
        <v>91892</v>
      </c>
      <c r="AG19">
        <v>92253</v>
      </c>
      <c r="AH19">
        <v>92603</v>
      </c>
      <c r="AI19">
        <v>92722</v>
      </c>
      <c r="AJ19">
        <v>92830</v>
      </c>
      <c r="AK19">
        <v>92657</v>
      </c>
      <c r="AL19">
        <v>92805</v>
      </c>
      <c r="AM19">
        <v>93215</v>
      </c>
      <c r="AN19">
        <v>93415</v>
      </c>
      <c r="AO19">
        <v>92562</v>
      </c>
      <c r="AP19">
        <v>92740</v>
      </c>
      <c r="AQ19">
        <v>92583</v>
      </c>
      <c r="AR19">
        <v>92238</v>
      </c>
      <c r="AS19">
        <v>92987</v>
      </c>
      <c r="AT19">
        <v>91561</v>
      </c>
      <c r="AU19">
        <v>90959</v>
      </c>
      <c r="AV19">
        <v>94575</v>
      </c>
      <c r="AW19">
        <v>95280</v>
      </c>
      <c r="AX19">
        <v>95712</v>
      </c>
      <c r="AY19">
        <v>96063</v>
      </c>
      <c r="AZ19">
        <v>96025</v>
      </c>
      <c r="BA19">
        <v>96107</v>
      </c>
      <c r="BB19">
        <v>96390</v>
      </c>
      <c r="BC19">
        <v>96444</v>
      </c>
      <c r="BD19">
        <v>96686</v>
      </c>
      <c r="BE19">
        <v>96556</v>
      </c>
      <c r="BF19">
        <v>96840</v>
      </c>
      <c r="BG19">
        <v>97014</v>
      </c>
      <c r="BH19">
        <v>97088</v>
      </c>
      <c r="BI19">
        <v>97215</v>
      </c>
      <c r="BJ19">
        <v>97178</v>
      </c>
      <c r="BK19">
        <v>97249</v>
      </c>
      <c r="BL19">
        <v>97331</v>
      </c>
      <c r="BM19">
        <v>97511</v>
      </c>
      <c r="BN19">
        <v>97662</v>
      </c>
      <c r="BO19">
        <v>97637</v>
      </c>
      <c r="BP19">
        <v>97690</v>
      </c>
      <c r="BQ19">
        <v>97872</v>
      </c>
      <c r="BR19">
        <v>97832</v>
      </c>
      <c r="BS19">
        <v>97895</v>
      </c>
      <c r="BT19">
        <v>98036</v>
      </c>
      <c r="BU19">
        <v>98102</v>
      </c>
      <c r="BV19">
        <v>98117</v>
      </c>
      <c r="BW19">
        <v>98239</v>
      </c>
      <c r="BX19">
        <v>98308</v>
      </c>
      <c r="BY19">
        <v>98389</v>
      </c>
      <c r="BZ19">
        <v>98435</v>
      </c>
      <c r="CA19">
        <v>98498</v>
      </c>
      <c r="CB19">
        <v>98566</v>
      </c>
      <c r="CC19">
        <v>98578</v>
      </c>
      <c r="CD19">
        <v>98709</v>
      </c>
      <c r="CE19">
        <v>98736</v>
      </c>
      <c r="CF19">
        <v>98751</v>
      </c>
      <c r="CG19">
        <v>98748</v>
      </c>
      <c r="CH19">
        <v>98766</v>
      </c>
      <c r="CI19">
        <v>98774</v>
      </c>
      <c r="CJ19">
        <v>98886</v>
      </c>
      <c r="CK19">
        <v>98871</v>
      </c>
      <c r="CL19">
        <v>98927</v>
      </c>
      <c r="CM19">
        <v>98971</v>
      </c>
      <c r="CN19">
        <v>98955</v>
      </c>
      <c r="CO19">
        <v>98970</v>
      </c>
      <c r="CP19">
        <v>99074</v>
      </c>
      <c r="CQ19">
        <v>99074</v>
      </c>
      <c r="CR19">
        <v>99149</v>
      </c>
      <c r="CS19">
        <v>99150</v>
      </c>
      <c r="CT19">
        <v>99211</v>
      </c>
      <c r="CU19">
        <v>99254</v>
      </c>
      <c r="CV19">
        <v>99216</v>
      </c>
      <c r="CW19">
        <v>99274</v>
      </c>
    </row>
    <row r="20" spans="1:101" x14ac:dyDescent="0.25">
      <c r="A20" t="s">
        <v>110</v>
      </c>
      <c r="B20">
        <v>74373</v>
      </c>
      <c r="C20">
        <v>75797</v>
      </c>
      <c r="D20">
        <v>77710</v>
      </c>
      <c r="E20">
        <v>77038</v>
      </c>
      <c r="F20">
        <v>78102</v>
      </c>
      <c r="G20">
        <v>78601</v>
      </c>
      <c r="H20">
        <v>78955</v>
      </c>
      <c r="I20">
        <v>79837</v>
      </c>
      <c r="J20">
        <v>80031</v>
      </c>
      <c r="K20">
        <v>81784</v>
      </c>
      <c r="L20">
        <v>80651</v>
      </c>
      <c r="M20">
        <v>79974</v>
      </c>
      <c r="N20">
        <v>83523</v>
      </c>
      <c r="O20">
        <v>82858</v>
      </c>
      <c r="P20">
        <v>82431</v>
      </c>
      <c r="Q20">
        <v>83007</v>
      </c>
      <c r="R20">
        <v>82810</v>
      </c>
      <c r="S20">
        <v>82311</v>
      </c>
      <c r="T20">
        <v>83285</v>
      </c>
      <c r="U20">
        <v>86167</v>
      </c>
      <c r="V20">
        <v>86600</v>
      </c>
      <c r="W20">
        <v>86236</v>
      </c>
      <c r="X20">
        <v>88602</v>
      </c>
      <c r="Y20">
        <v>89362</v>
      </c>
      <c r="Z20">
        <v>89512</v>
      </c>
      <c r="AA20">
        <v>89663</v>
      </c>
      <c r="AB20">
        <v>89857</v>
      </c>
      <c r="AC20">
        <v>90539</v>
      </c>
      <c r="AD20">
        <v>90688</v>
      </c>
      <c r="AE20">
        <v>91127</v>
      </c>
      <c r="AF20">
        <v>91788</v>
      </c>
      <c r="AG20">
        <v>92118</v>
      </c>
      <c r="AH20">
        <v>92384</v>
      </c>
      <c r="AI20">
        <v>92487</v>
      </c>
      <c r="AJ20">
        <v>92743</v>
      </c>
      <c r="AK20">
        <v>92601</v>
      </c>
      <c r="AL20">
        <v>92733</v>
      </c>
      <c r="AM20">
        <v>93158</v>
      </c>
      <c r="AN20">
        <v>93361</v>
      </c>
      <c r="AO20">
        <v>92507</v>
      </c>
      <c r="AP20">
        <v>92700</v>
      </c>
      <c r="AQ20">
        <v>92526</v>
      </c>
      <c r="AR20">
        <v>92197</v>
      </c>
      <c r="AS20">
        <v>92952</v>
      </c>
      <c r="AT20">
        <v>91524</v>
      </c>
      <c r="AU20">
        <v>90911</v>
      </c>
      <c r="AV20">
        <v>94533</v>
      </c>
      <c r="AW20">
        <v>95236</v>
      </c>
      <c r="AX20">
        <v>95685</v>
      </c>
      <c r="AY20">
        <v>96027</v>
      </c>
      <c r="AZ20">
        <v>95986</v>
      </c>
      <c r="BA20">
        <v>96074</v>
      </c>
      <c r="BB20">
        <v>96347</v>
      </c>
      <c r="BC20">
        <v>96411</v>
      </c>
      <c r="BD20">
        <v>96644</v>
      </c>
      <c r="BE20">
        <v>96518</v>
      </c>
      <c r="BF20">
        <v>96801</v>
      </c>
      <c r="BG20">
        <v>96976</v>
      </c>
      <c r="BH20">
        <v>97045</v>
      </c>
      <c r="BI20">
        <v>97167</v>
      </c>
      <c r="BJ20">
        <v>97143</v>
      </c>
      <c r="BK20">
        <v>97212</v>
      </c>
      <c r="BL20">
        <v>97301</v>
      </c>
      <c r="BM20">
        <v>97477</v>
      </c>
      <c r="BN20">
        <v>97623</v>
      </c>
      <c r="BO20">
        <v>97610</v>
      </c>
      <c r="BP20">
        <v>97661</v>
      </c>
      <c r="BQ20">
        <v>97841</v>
      </c>
      <c r="BR20">
        <v>97804</v>
      </c>
      <c r="BS20">
        <v>97866</v>
      </c>
      <c r="BT20">
        <v>98011</v>
      </c>
      <c r="BU20">
        <v>98081</v>
      </c>
      <c r="BV20">
        <v>98098</v>
      </c>
      <c r="BW20">
        <v>98216</v>
      </c>
      <c r="BX20">
        <v>98282</v>
      </c>
      <c r="BY20">
        <v>98374</v>
      </c>
      <c r="BZ20">
        <v>98417</v>
      </c>
      <c r="CA20">
        <v>98485</v>
      </c>
      <c r="CB20">
        <v>98544</v>
      </c>
      <c r="CC20">
        <v>98565</v>
      </c>
      <c r="CD20">
        <v>98692</v>
      </c>
      <c r="CE20">
        <v>98717</v>
      </c>
      <c r="CF20">
        <v>98737</v>
      </c>
      <c r="CG20">
        <v>98730</v>
      </c>
      <c r="CH20">
        <v>98754</v>
      </c>
      <c r="CI20">
        <v>98760</v>
      </c>
      <c r="CJ20">
        <v>98869</v>
      </c>
      <c r="CK20">
        <v>98864</v>
      </c>
      <c r="CL20">
        <v>98912</v>
      </c>
      <c r="CM20">
        <v>98952</v>
      </c>
      <c r="CN20">
        <v>98941</v>
      </c>
      <c r="CO20">
        <v>98951</v>
      </c>
      <c r="CP20">
        <v>99062</v>
      </c>
      <c r="CQ20">
        <v>99062</v>
      </c>
      <c r="CR20">
        <v>99137</v>
      </c>
      <c r="CS20">
        <v>99136</v>
      </c>
      <c r="CT20">
        <v>99199</v>
      </c>
      <c r="CU20">
        <v>99241</v>
      </c>
      <c r="CV20">
        <v>99203</v>
      </c>
      <c r="CW20">
        <v>99263</v>
      </c>
    </row>
    <row r="21" spans="1:101" x14ac:dyDescent="0.25">
      <c r="A21" t="s">
        <v>109</v>
      </c>
      <c r="B21">
        <v>74256</v>
      </c>
      <c r="C21">
        <v>75669</v>
      </c>
      <c r="D21">
        <v>77597</v>
      </c>
      <c r="E21">
        <v>76904</v>
      </c>
      <c r="F21">
        <v>77979</v>
      </c>
      <c r="G21">
        <v>78306</v>
      </c>
      <c r="H21">
        <v>78815</v>
      </c>
      <c r="I21">
        <v>79702</v>
      </c>
      <c r="J21">
        <v>79937</v>
      </c>
      <c r="K21">
        <v>81675</v>
      </c>
      <c r="L21">
        <v>80542</v>
      </c>
      <c r="M21">
        <v>79876</v>
      </c>
      <c r="N21">
        <v>83394</v>
      </c>
      <c r="O21">
        <v>82748</v>
      </c>
      <c r="P21">
        <v>82319</v>
      </c>
      <c r="Q21">
        <v>82917</v>
      </c>
      <c r="R21">
        <v>82702</v>
      </c>
      <c r="S21">
        <v>82224</v>
      </c>
      <c r="T21">
        <v>83184</v>
      </c>
      <c r="U21">
        <v>86088</v>
      </c>
      <c r="V21">
        <v>86531</v>
      </c>
      <c r="W21">
        <v>86153</v>
      </c>
      <c r="X21">
        <v>88528</v>
      </c>
      <c r="Y21">
        <v>89275</v>
      </c>
      <c r="Z21">
        <v>89424</v>
      </c>
      <c r="AA21">
        <v>89593</v>
      </c>
      <c r="AB21">
        <v>89794</v>
      </c>
      <c r="AC21">
        <v>90448</v>
      </c>
      <c r="AD21">
        <v>90604</v>
      </c>
      <c r="AE21">
        <v>91047</v>
      </c>
      <c r="AF21">
        <v>91641</v>
      </c>
      <c r="AG21">
        <v>91881</v>
      </c>
      <c r="AH21">
        <v>92186</v>
      </c>
      <c r="AI21">
        <v>92389</v>
      </c>
      <c r="AJ21">
        <v>92661</v>
      </c>
      <c r="AK21">
        <v>92541</v>
      </c>
      <c r="AL21">
        <v>92691</v>
      </c>
      <c r="AM21">
        <v>93109</v>
      </c>
      <c r="AN21">
        <v>93302</v>
      </c>
      <c r="AO21">
        <v>92461</v>
      </c>
      <c r="AP21">
        <v>92645</v>
      </c>
      <c r="AQ21">
        <v>92480</v>
      </c>
      <c r="AR21">
        <v>92151</v>
      </c>
      <c r="AS21">
        <v>92910</v>
      </c>
      <c r="AT21">
        <v>91486</v>
      </c>
      <c r="AU21">
        <v>90877</v>
      </c>
      <c r="AV21">
        <v>94495</v>
      </c>
      <c r="AW21">
        <v>95195</v>
      </c>
      <c r="AX21">
        <v>95643</v>
      </c>
      <c r="AY21">
        <v>95987</v>
      </c>
      <c r="AZ21">
        <v>95943</v>
      </c>
      <c r="BA21">
        <v>96025</v>
      </c>
      <c r="BB21">
        <v>96314</v>
      </c>
      <c r="BC21">
        <v>96370</v>
      </c>
      <c r="BD21">
        <v>96597</v>
      </c>
      <c r="BE21">
        <v>96474</v>
      </c>
      <c r="BF21">
        <v>96764</v>
      </c>
      <c r="BG21">
        <v>96933</v>
      </c>
      <c r="BH21">
        <v>97009</v>
      </c>
      <c r="BI21">
        <v>97124</v>
      </c>
      <c r="BJ21">
        <v>97107</v>
      </c>
      <c r="BK21">
        <v>97174</v>
      </c>
      <c r="BL21">
        <v>97261</v>
      </c>
      <c r="BM21">
        <v>97447</v>
      </c>
      <c r="BN21">
        <v>97590</v>
      </c>
      <c r="BO21">
        <v>97570</v>
      </c>
      <c r="BP21">
        <v>97630</v>
      </c>
      <c r="BQ21">
        <v>97823</v>
      </c>
      <c r="BR21">
        <v>97769</v>
      </c>
      <c r="BS21">
        <v>97842</v>
      </c>
      <c r="BT21">
        <v>97989</v>
      </c>
      <c r="BU21">
        <v>98050</v>
      </c>
      <c r="BV21">
        <v>98081</v>
      </c>
      <c r="BW21">
        <v>98195</v>
      </c>
      <c r="BX21">
        <v>98252</v>
      </c>
      <c r="BY21">
        <v>98353</v>
      </c>
      <c r="BZ21">
        <v>98398</v>
      </c>
      <c r="CA21">
        <v>98464</v>
      </c>
      <c r="CB21">
        <v>98521</v>
      </c>
      <c r="CC21">
        <v>98544</v>
      </c>
      <c r="CD21">
        <v>98675</v>
      </c>
      <c r="CE21">
        <v>98698</v>
      </c>
      <c r="CF21">
        <v>98719</v>
      </c>
      <c r="CG21">
        <v>98710</v>
      </c>
      <c r="CH21">
        <v>98736</v>
      </c>
      <c r="CI21">
        <v>98745</v>
      </c>
      <c r="CJ21">
        <v>98855</v>
      </c>
      <c r="CK21">
        <v>98840</v>
      </c>
      <c r="CL21">
        <v>98893</v>
      </c>
      <c r="CM21">
        <v>98931</v>
      </c>
      <c r="CN21">
        <v>98927</v>
      </c>
      <c r="CO21">
        <v>98937</v>
      </c>
      <c r="CP21">
        <v>99046</v>
      </c>
      <c r="CQ21">
        <v>99050</v>
      </c>
      <c r="CR21">
        <v>99126</v>
      </c>
      <c r="CS21">
        <v>99125</v>
      </c>
      <c r="CT21">
        <v>99186</v>
      </c>
      <c r="CU21">
        <v>99231</v>
      </c>
      <c r="CV21">
        <v>99189</v>
      </c>
      <c r="CW21">
        <v>99249</v>
      </c>
    </row>
    <row r="22" spans="1:101" x14ac:dyDescent="0.25">
      <c r="A22" t="s">
        <v>108</v>
      </c>
      <c r="B22">
        <v>74133</v>
      </c>
      <c r="C22">
        <v>75545</v>
      </c>
      <c r="D22">
        <v>77452</v>
      </c>
      <c r="E22">
        <v>76753</v>
      </c>
      <c r="F22">
        <v>77680</v>
      </c>
      <c r="G22">
        <v>78158</v>
      </c>
      <c r="H22">
        <v>78669</v>
      </c>
      <c r="I22">
        <v>79567</v>
      </c>
      <c r="J22">
        <v>79822</v>
      </c>
      <c r="K22">
        <v>81586</v>
      </c>
      <c r="L22">
        <v>80452</v>
      </c>
      <c r="M22">
        <v>79775</v>
      </c>
      <c r="N22">
        <v>83293</v>
      </c>
      <c r="O22">
        <v>82649</v>
      </c>
      <c r="P22">
        <v>82182</v>
      </c>
      <c r="Q22">
        <v>82797</v>
      </c>
      <c r="R22">
        <v>82609</v>
      </c>
      <c r="S22">
        <v>82113</v>
      </c>
      <c r="T22">
        <v>83097</v>
      </c>
      <c r="U22">
        <v>85974</v>
      </c>
      <c r="V22">
        <v>86428</v>
      </c>
      <c r="W22">
        <v>86075</v>
      </c>
      <c r="X22">
        <v>88451</v>
      </c>
      <c r="Y22">
        <v>89185</v>
      </c>
      <c r="Z22">
        <v>89327</v>
      </c>
      <c r="AA22">
        <v>89515</v>
      </c>
      <c r="AB22">
        <v>89696</v>
      </c>
      <c r="AC22">
        <v>90346</v>
      </c>
      <c r="AD22">
        <v>90487</v>
      </c>
      <c r="AE22">
        <v>90878</v>
      </c>
      <c r="AF22">
        <v>91411</v>
      </c>
      <c r="AG22">
        <v>91617</v>
      </c>
      <c r="AH22">
        <v>92065</v>
      </c>
      <c r="AI22">
        <v>92314</v>
      </c>
      <c r="AJ22">
        <v>92589</v>
      </c>
      <c r="AK22">
        <v>92480</v>
      </c>
      <c r="AL22">
        <v>92638</v>
      </c>
      <c r="AM22">
        <v>93049</v>
      </c>
      <c r="AN22">
        <v>93243</v>
      </c>
      <c r="AO22">
        <v>92388</v>
      </c>
      <c r="AP22">
        <v>92611</v>
      </c>
      <c r="AQ22">
        <v>92418</v>
      </c>
      <c r="AR22">
        <v>92122</v>
      </c>
      <c r="AS22">
        <v>92848</v>
      </c>
      <c r="AT22">
        <v>91446</v>
      </c>
      <c r="AU22">
        <v>90825</v>
      </c>
      <c r="AV22">
        <v>94464</v>
      </c>
      <c r="AW22">
        <v>95146</v>
      </c>
      <c r="AX22">
        <v>95598</v>
      </c>
      <c r="AY22">
        <v>95944</v>
      </c>
      <c r="AZ22">
        <v>95899</v>
      </c>
      <c r="BA22">
        <v>95977</v>
      </c>
      <c r="BB22">
        <v>96269</v>
      </c>
      <c r="BC22">
        <v>96324</v>
      </c>
      <c r="BD22">
        <v>96555</v>
      </c>
      <c r="BE22">
        <v>96438</v>
      </c>
      <c r="BF22">
        <v>96727</v>
      </c>
      <c r="BG22">
        <v>96903</v>
      </c>
      <c r="BH22">
        <v>96956</v>
      </c>
      <c r="BI22">
        <v>97091</v>
      </c>
      <c r="BJ22">
        <v>97074</v>
      </c>
      <c r="BK22">
        <v>97139</v>
      </c>
      <c r="BL22">
        <v>97226</v>
      </c>
      <c r="BM22">
        <v>97412</v>
      </c>
      <c r="BN22">
        <v>97546</v>
      </c>
      <c r="BO22">
        <v>97544</v>
      </c>
      <c r="BP22">
        <v>97603</v>
      </c>
      <c r="BQ22">
        <v>97797</v>
      </c>
      <c r="BR22">
        <v>97727</v>
      </c>
      <c r="BS22">
        <v>97807</v>
      </c>
      <c r="BT22">
        <v>97958</v>
      </c>
      <c r="BU22">
        <v>98028</v>
      </c>
      <c r="BV22">
        <v>98052</v>
      </c>
      <c r="BW22">
        <v>98174</v>
      </c>
      <c r="BX22">
        <v>98227</v>
      </c>
      <c r="BY22">
        <v>98330</v>
      </c>
      <c r="BZ22">
        <v>98379</v>
      </c>
      <c r="CA22">
        <v>98446</v>
      </c>
      <c r="CB22">
        <v>98497</v>
      </c>
      <c r="CC22">
        <v>98510</v>
      </c>
      <c r="CD22">
        <v>98654</v>
      </c>
      <c r="CE22">
        <v>98675</v>
      </c>
      <c r="CF22">
        <v>98696</v>
      </c>
      <c r="CG22">
        <v>98683</v>
      </c>
      <c r="CH22">
        <v>98716</v>
      </c>
      <c r="CI22">
        <v>98719</v>
      </c>
      <c r="CJ22">
        <v>98838</v>
      </c>
      <c r="CK22">
        <v>98829</v>
      </c>
      <c r="CL22">
        <v>98876</v>
      </c>
      <c r="CM22">
        <v>98911</v>
      </c>
      <c r="CN22">
        <v>98905</v>
      </c>
      <c r="CO22">
        <v>98919</v>
      </c>
      <c r="CP22">
        <v>99032</v>
      </c>
      <c r="CQ22">
        <v>99035</v>
      </c>
      <c r="CR22">
        <v>99113</v>
      </c>
      <c r="CS22">
        <v>99112</v>
      </c>
      <c r="CT22">
        <v>99172</v>
      </c>
      <c r="CU22">
        <v>99217</v>
      </c>
      <c r="CV22">
        <v>99175</v>
      </c>
      <c r="CW22">
        <v>99237</v>
      </c>
    </row>
    <row r="23" spans="1:101" x14ac:dyDescent="0.25">
      <c r="A23" t="s">
        <v>107</v>
      </c>
      <c r="B23">
        <v>73979</v>
      </c>
      <c r="C23">
        <v>75367</v>
      </c>
      <c r="D23">
        <v>77233</v>
      </c>
      <c r="E23">
        <v>76399</v>
      </c>
      <c r="F23">
        <v>77492</v>
      </c>
      <c r="G23">
        <v>78006</v>
      </c>
      <c r="H23">
        <v>78531</v>
      </c>
      <c r="I23">
        <v>79411</v>
      </c>
      <c r="J23">
        <v>79691</v>
      </c>
      <c r="K23">
        <v>81465</v>
      </c>
      <c r="L23">
        <v>80315</v>
      </c>
      <c r="M23">
        <v>79658</v>
      </c>
      <c r="N23">
        <v>83171</v>
      </c>
      <c r="O23">
        <v>82523</v>
      </c>
      <c r="P23">
        <v>82071</v>
      </c>
      <c r="Q23">
        <v>82673</v>
      </c>
      <c r="R23">
        <v>82515</v>
      </c>
      <c r="S23">
        <v>82012</v>
      </c>
      <c r="T23">
        <v>82993</v>
      </c>
      <c r="U23">
        <v>85885</v>
      </c>
      <c r="V23">
        <v>86315</v>
      </c>
      <c r="W23">
        <v>85968</v>
      </c>
      <c r="X23">
        <v>88350</v>
      </c>
      <c r="Y23">
        <v>89078</v>
      </c>
      <c r="Z23">
        <v>89223</v>
      </c>
      <c r="AA23">
        <v>89380</v>
      </c>
      <c r="AB23">
        <v>89583</v>
      </c>
      <c r="AC23">
        <v>90222</v>
      </c>
      <c r="AD23">
        <v>90344</v>
      </c>
      <c r="AE23">
        <v>90593</v>
      </c>
      <c r="AF23">
        <v>91125</v>
      </c>
      <c r="AG23">
        <v>91512</v>
      </c>
      <c r="AH23">
        <v>91971</v>
      </c>
      <c r="AI23">
        <v>92246</v>
      </c>
      <c r="AJ23">
        <v>92527</v>
      </c>
      <c r="AK23">
        <v>92410</v>
      </c>
      <c r="AL23">
        <v>92582</v>
      </c>
      <c r="AM23">
        <v>93008</v>
      </c>
      <c r="AN23">
        <v>93161</v>
      </c>
      <c r="AO23">
        <v>92343</v>
      </c>
      <c r="AP23">
        <v>92551</v>
      </c>
      <c r="AQ23">
        <v>92375</v>
      </c>
      <c r="AR23">
        <v>92067</v>
      </c>
      <c r="AS23">
        <v>92798</v>
      </c>
      <c r="AT23">
        <v>91387</v>
      </c>
      <c r="AU23">
        <v>90777</v>
      </c>
      <c r="AV23">
        <v>94415</v>
      </c>
      <c r="AW23">
        <v>95100</v>
      </c>
      <c r="AX23">
        <v>95556</v>
      </c>
      <c r="AY23">
        <v>95897</v>
      </c>
      <c r="AZ23">
        <v>95859</v>
      </c>
      <c r="BA23">
        <v>95921</v>
      </c>
      <c r="BB23">
        <v>96211</v>
      </c>
      <c r="BC23">
        <v>96277</v>
      </c>
      <c r="BD23">
        <v>96518</v>
      </c>
      <c r="BE23">
        <v>96374</v>
      </c>
      <c r="BF23">
        <v>96686</v>
      </c>
      <c r="BG23">
        <v>96851</v>
      </c>
      <c r="BH23">
        <v>96914</v>
      </c>
      <c r="BI23">
        <v>97039</v>
      </c>
      <c r="BJ23">
        <v>97033</v>
      </c>
      <c r="BK23">
        <v>97105</v>
      </c>
      <c r="BL23">
        <v>97183</v>
      </c>
      <c r="BM23">
        <v>97372</v>
      </c>
      <c r="BN23">
        <v>97508</v>
      </c>
      <c r="BO23">
        <v>97516</v>
      </c>
      <c r="BP23">
        <v>97575</v>
      </c>
      <c r="BQ23">
        <v>97770</v>
      </c>
      <c r="BR23">
        <v>97688</v>
      </c>
      <c r="BS23">
        <v>97775</v>
      </c>
      <c r="BT23">
        <v>97931</v>
      </c>
      <c r="BU23">
        <v>98002</v>
      </c>
      <c r="BV23">
        <v>98023</v>
      </c>
      <c r="BW23">
        <v>98148</v>
      </c>
      <c r="BX23">
        <v>98202</v>
      </c>
      <c r="BY23">
        <v>98293</v>
      </c>
      <c r="BZ23">
        <v>98360</v>
      </c>
      <c r="CA23">
        <v>98418</v>
      </c>
      <c r="CB23">
        <v>98458</v>
      </c>
      <c r="CC23">
        <v>98484</v>
      </c>
      <c r="CD23">
        <v>98634</v>
      </c>
      <c r="CE23">
        <v>98646</v>
      </c>
      <c r="CF23">
        <v>98675</v>
      </c>
      <c r="CG23">
        <v>98659</v>
      </c>
      <c r="CH23">
        <v>98690</v>
      </c>
      <c r="CI23">
        <v>98708</v>
      </c>
      <c r="CJ23">
        <v>98813</v>
      </c>
      <c r="CK23">
        <v>98802</v>
      </c>
      <c r="CL23">
        <v>98860</v>
      </c>
      <c r="CM23">
        <v>98884</v>
      </c>
      <c r="CN23">
        <v>98888</v>
      </c>
      <c r="CO23">
        <v>98905</v>
      </c>
      <c r="CP23">
        <v>99015</v>
      </c>
      <c r="CQ23">
        <v>99025</v>
      </c>
      <c r="CR23">
        <v>99102</v>
      </c>
      <c r="CS23">
        <v>99101</v>
      </c>
      <c r="CT23">
        <v>99157</v>
      </c>
      <c r="CU23">
        <v>99206</v>
      </c>
      <c r="CV23">
        <v>99167</v>
      </c>
      <c r="CW23">
        <v>99226</v>
      </c>
    </row>
    <row r="24" spans="1:101" x14ac:dyDescent="0.25">
      <c r="A24" t="s">
        <v>106</v>
      </c>
      <c r="B24">
        <v>73773</v>
      </c>
      <c r="C24">
        <v>75151</v>
      </c>
      <c r="D24">
        <v>76782</v>
      </c>
      <c r="E24">
        <v>76165</v>
      </c>
      <c r="F24">
        <v>77296</v>
      </c>
      <c r="G24">
        <v>77857</v>
      </c>
      <c r="H24">
        <v>78363</v>
      </c>
      <c r="I24">
        <v>79271</v>
      </c>
      <c r="J24">
        <v>79551</v>
      </c>
      <c r="K24">
        <v>81291</v>
      </c>
      <c r="L24">
        <v>80178</v>
      </c>
      <c r="M24">
        <v>79528</v>
      </c>
      <c r="N24">
        <v>83008</v>
      </c>
      <c r="O24">
        <v>82382</v>
      </c>
      <c r="P24">
        <v>81940</v>
      </c>
      <c r="Q24">
        <v>82556</v>
      </c>
      <c r="R24">
        <v>82407</v>
      </c>
      <c r="S24">
        <v>81914</v>
      </c>
      <c r="T24">
        <v>82862</v>
      </c>
      <c r="U24">
        <v>85784</v>
      </c>
      <c r="V24">
        <v>86221</v>
      </c>
      <c r="W24">
        <v>85861</v>
      </c>
      <c r="X24">
        <v>88246</v>
      </c>
      <c r="Y24">
        <v>88971</v>
      </c>
      <c r="Z24">
        <v>89087</v>
      </c>
      <c r="AA24">
        <v>89232</v>
      </c>
      <c r="AB24">
        <v>89436</v>
      </c>
      <c r="AC24">
        <v>90032</v>
      </c>
      <c r="AD24">
        <v>90048</v>
      </c>
      <c r="AE24">
        <v>90285</v>
      </c>
      <c r="AF24">
        <v>91004</v>
      </c>
      <c r="AG24">
        <v>91405</v>
      </c>
      <c r="AH24">
        <v>91894</v>
      </c>
      <c r="AI24">
        <v>92171</v>
      </c>
      <c r="AJ24">
        <v>92461</v>
      </c>
      <c r="AK24">
        <v>92354</v>
      </c>
      <c r="AL24">
        <v>92514</v>
      </c>
      <c r="AM24">
        <v>92922</v>
      </c>
      <c r="AN24">
        <v>93097</v>
      </c>
      <c r="AO24">
        <v>92285</v>
      </c>
      <c r="AP24">
        <v>92497</v>
      </c>
      <c r="AQ24">
        <v>92306</v>
      </c>
      <c r="AR24">
        <v>92008</v>
      </c>
      <c r="AS24">
        <v>92732</v>
      </c>
      <c r="AT24">
        <v>91333</v>
      </c>
      <c r="AU24">
        <v>90730</v>
      </c>
      <c r="AV24">
        <v>94362</v>
      </c>
      <c r="AW24">
        <v>95046</v>
      </c>
      <c r="AX24">
        <v>95505</v>
      </c>
      <c r="AY24">
        <v>95845</v>
      </c>
      <c r="AZ24">
        <v>95784</v>
      </c>
      <c r="BA24">
        <v>95841</v>
      </c>
      <c r="BB24">
        <v>96138</v>
      </c>
      <c r="BC24">
        <v>96203</v>
      </c>
      <c r="BD24">
        <v>96444</v>
      </c>
      <c r="BE24">
        <v>96289</v>
      </c>
      <c r="BF24">
        <v>96611</v>
      </c>
      <c r="BG24">
        <v>96791</v>
      </c>
      <c r="BH24">
        <v>96822</v>
      </c>
      <c r="BI24">
        <v>96981</v>
      </c>
      <c r="BJ24">
        <v>96975</v>
      </c>
      <c r="BK24">
        <v>97039</v>
      </c>
      <c r="BL24">
        <v>97126</v>
      </c>
      <c r="BM24">
        <v>97321</v>
      </c>
      <c r="BN24">
        <v>97455</v>
      </c>
      <c r="BO24">
        <v>97468</v>
      </c>
      <c r="BP24">
        <v>97526</v>
      </c>
      <c r="BQ24">
        <v>97725</v>
      </c>
      <c r="BR24">
        <v>97636</v>
      </c>
      <c r="BS24">
        <v>97732</v>
      </c>
      <c r="BT24">
        <v>97891</v>
      </c>
      <c r="BU24">
        <v>97957</v>
      </c>
      <c r="BV24">
        <v>97989</v>
      </c>
      <c r="BW24">
        <v>98104</v>
      </c>
      <c r="BX24">
        <v>98154</v>
      </c>
      <c r="BY24">
        <v>98254</v>
      </c>
      <c r="BZ24">
        <v>98318</v>
      </c>
      <c r="CA24">
        <v>98379</v>
      </c>
      <c r="CB24">
        <v>98423</v>
      </c>
      <c r="CC24">
        <v>98426</v>
      </c>
      <c r="CD24">
        <v>98587</v>
      </c>
      <c r="CE24">
        <v>98614</v>
      </c>
      <c r="CF24">
        <v>98639</v>
      </c>
      <c r="CG24">
        <v>98622</v>
      </c>
      <c r="CH24">
        <v>98652</v>
      </c>
      <c r="CI24">
        <v>98666</v>
      </c>
      <c r="CJ24">
        <v>98786</v>
      </c>
      <c r="CK24">
        <v>98771</v>
      </c>
      <c r="CL24">
        <v>98830</v>
      </c>
      <c r="CM24">
        <v>98861</v>
      </c>
      <c r="CN24">
        <v>98863</v>
      </c>
      <c r="CO24">
        <v>98883</v>
      </c>
      <c r="CP24">
        <v>98992</v>
      </c>
      <c r="CQ24">
        <v>99006</v>
      </c>
      <c r="CR24">
        <v>99089</v>
      </c>
      <c r="CS24">
        <v>99072</v>
      </c>
      <c r="CT24">
        <v>99137</v>
      </c>
      <c r="CU24">
        <v>99187</v>
      </c>
      <c r="CV24">
        <v>99144</v>
      </c>
      <c r="CW24">
        <v>99214</v>
      </c>
    </row>
    <row r="25" spans="1:101" x14ac:dyDescent="0.25">
      <c r="A25" t="s">
        <v>105</v>
      </c>
      <c r="B25">
        <v>73524</v>
      </c>
      <c r="C25">
        <v>74646</v>
      </c>
      <c r="D25">
        <v>76519</v>
      </c>
      <c r="E25">
        <v>75962</v>
      </c>
      <c r="F25">
        <v>77109</v>
      </c>
      <c r="G25">
        <v>77677</v>
      </c>
      <c r="H25">
        <v>78201</v>
      </c>
      <c r="I25">
        <v>79119</v>
      </c>
      <c r="J25">
        <v>79373</v>
      </c>
      <c r="K25">
        <v>81125</v>
      </c>
      <c r="L25">
        <v>80016</v>
      </c>
      <c r="M25">
        <v>79374</v>
      </c>
      <c r="N25">
        <v>82835</v>
      </c>
      <c r="O25">
        <v>82230</v>
      </c>
      <c r="P25">
        <v>81801</v>
      </c>
      <c r="Q25">
        <v>82415</v>
      </c>
      <c r="R25">
        <v>82252</v>
      </c>
      <c r="S25">
        <v>81779</v>
      </c>
      <c r="T25">
        <v>82736</v>
      </c>
      <c r="U25">
        <v>85668</v>
      </c>
      <c r="V25">
        <v>86110</v>
      </c>
      <c r="W25">
        <v>85743</v>
      </c>
      <c r="X25">
        <v>88119</v>
      </c>
      <c r="Y25">
        <v>88808</v>
      </c>
      <c r="Z25">
        <v>88920</v>
      </c>
      <c r="AA25">
        <v>89066</v>
      </c>
      <c r="AB25">
        <v>89230</v>
      </c>
      <c r="AC25">
        <v>89678</v>
      </c>
      <c r="AD25">
        <v>89632</v>
      </c>
      <c r="AE25">
        <v>90161</v>
      </c>
      <c r="AF25">
        <v>90916</v>
      </c>
      <c r="AG25">
        <v>91315</v>
      </c>
      <c r="AH25">
        <v>91836</v>
      </c>
      <c r="AI25">
        <v>92084</v>
      </c>
      <c r="AJ25">
        <v>92391</v>
      </c>
      <c r="AK25">
        <v>92306</v>
      </c>
      <c r="AL25">
        <v>92447</v>
      </c>
      <c r="AM25">
        <v>92867</v>
      </c>
      <c r="AN25">
        <v>93040</v>
      </c>
      <c r="AO25">
        <v>92225</v>
      </c>
      <c r="AP25">
        <v>92447</v>
      </c>
      <c r="AQ25">
        <v>92252</v>
      </c>
      <c r="AR25">
        <v>91943</v>
      </c>
      <c r="AS25">
        <v>92671</v>
      </c>
      <c r="AT25">
        <v>91257</v>
      </c>
      <c r="AU25">
        <v>90674</v>
      </c>
      <c r="AV25">
        <v>94296</v>
      </c>
      <c r="AW25">
        <v>94975</v>
      </c>
      <c r="AX25">
        <v>95425</v>
      </c>
      <c r="AY25">
        <v>95757</v>
      </c>
      <c r="AZ25">
        <v>95686</v>
      </c>
      <c r="BA25">
        <v>95757</v>
      </c>
      <c r="BB25">
        <v>96041</v>
      </c>
      <c r="BC25">
        <v>96094</v>
      </c>
      <c r="BD25">
        <v>96343</v>
      </c>
      <c r="BE25">
        <v>96170</v>
      </c>
      <c r="BF25">
        <v>96512</v>
      </c>
      <c r="BG25">
        <v>96697</v>
      </c>
      <c r="BH25">
        <v>96739</v>
      </c>
      <c r="BI25">
        <v>96901</v>
      </c>
      <c r="BJ25">
        <v>96889</v>
      </c>
      <c r="BK25">
        <v>96944</v>
      </c>
      <c r="BL25">
        <v>97042</v>
      </c>
      <c r="BM25">
        <v>97251</v>
      </c>
      <c r="BN25">
        <v>97386</v>
      </c>
      <c r="BO25">
        <v>97403</v>
      </c>
      <c r="BP25">
        <v>97481</v>
      </c>
      <c r="BQ25">
        <v>97670</v>
      </c>
      <c r="BR25">
        <v>97579</v>
      </c>
      <c r="BS25">
        <v>97675</v>
      </c>
      <c r="BT25">
        <v>97831</v>
      </c>
      <c r="BU25">
        <v>97909</v>
      </c>
      <c r="BV25">
        <v>97937</v>
      </c>
      <c r="BW25">
        <v>98043</v>
      </c>
      <c r="BX25">
        <v>98090</v>
      </c>
      <c r="BY25">
        <v>98217</v>
      </c>
      <c r="BZ25">
        <v>98268</v>
      </c>
      <c r="CA25">
        <v>98339</v>
      </c>
      <c r="CB25">
        <v>98363</v>
      </c>
      <c r="CC25">
        <v>98375</v>
      </c>
      <c r="CD25">
        <v>98555</v>
      </c>
      <c r="CE25">
        <v>98569</v>
      </c>
      <c r="CF25">
        <v>98588</v>
      </c>
      <c r="CG25">
        <v>98579</v>
      </c>
      <c r="CH25">
        <v>98618</v>
      </c>
      <c r="CI25">
        <v>98628</v>
      </c>
      <c r="CJ25">
        <v>98743</v>
      </c>
      <c r="CK25">
        <v>98740</v>
      </c>
      <c r="CL25">
        <v>98795</v>
      </c>
      <c r="CM25">
        <v>98826</v>
      </c>
      <c r="CN25">
        <v>98834</v>
      </c>
      <c r="CO25">
        <v>98860</v>
      </c>
      <c r="CP25">
        <v>98966</v>
      </c>
      <c r="CQ25">
        <v>98977</v>
      </c>
      <c r="CR25">
        <v>99066</v>
      </c>
      <c r="CS25">
        <v>99044</v>
      </c>
      <c r="CT25">
        <v>99114</v>
      </c>
      <c r="CU25">
        <v>99161</v>
      </c>
      <c r="CV25">
        <v>99121</v>
      </c>
      <c r="CW25">
        <v>99197</v>
      </c>
    </row>
    <row r="26" spans="1:101" x14ac:dyDescent="0.25">
      <c r="A26" t="s">
        <v>104</v>
      </c>
      <c r="B26">
        <v>72963</v>
      </c>
      <c r="C26">
        <v>74332</v>
      </c>
      <c r="D26">
        <v>76269</v>
      </c>
      <c r="E26">
        <v>75781</v>
      </c>
      <c r="F26">
        <v>76903</v>
      </c>
      <c r="G26">
        <v>77485</v>
      </c>
      <c r="H26">
        <v>78009</v>
      </c>
      <c r="I26">
        <v>78915</v>
      </c>
      <c r="J26">
        <v>79167</v>
      </c>
      <c r="K26">
        <v>80922</v>
      </c>
      <c r="L26">
        <v>79819</v>
      </c>
      <c r="M26">
        <v>79183</v>
      </c>
      <c r="N26">
        <v>82659</v>
      </c>
      <c r="O26">
        <v>82063</v>
      </c>
      <c r="P26">
        <v>81652</v>
      </c>
      <c r="Q26">
        <v>82264</v>
      </c>
      <c r="R26">
        <v>82110</v>
      </c>
      <c r="S26">
        <v>81645</v>
      </c>
      <c r="T26">
        <v>82611</v>
      </c>
      <c r="U26">
        <v>85538</v>
      </c>
      <c r="V26">
        <v>85962</v>
      </c>
      <c r="W26">
        <v>85622</v>
      </c>
      <c r="X26">
        <v>87963</v>
      </c>
      <c r="Y26">
        <v>88613</v>
      </c>
      <c r="Z26">
        <v>88702</v>
      </c>
      <c r="AA26">
        <v>88813</v>
      </c>
      <c r="AB26">
        <v>88806</v>
      </c>
      <c r="AC26">
        <v>89075</v>
      </c>
      <c r="AD26">
        <v>89492</v>
      </c>
      <c r="AE26">
        <v>90039</v>
      </c>
      <c r="AF26">
        <v>90819</v>
      </c>
      <c r="AG26">
        <v>91237</v>
      </c>
      <c r="AH26">
        <v>91760</v>
      </c>
      <c r="AI26">
        <v>92008</v>
      </c>
      <c r="AJ26">
        <v>92322</v>
      </c>
      <c r="AK26">
        <v>92222</v>
      </c>
      <c r="AL26">
        <v>92386</v>
      </c>
      <c r="AM26">
        <v>92797</v>
      </c>
      <c r="AN26">
        <v>92959</v>
      </c>
      <c r="AO26">
        <v>92149</v>
      </c>
      <c r="AP26">
        <v>92377</v>
      </c>
      <c r="AQ26">
        <v>92160</v>
      </c>
      <c r="AR26">
        <v>91867</v>
      </c>
      <c r="AS26">
        <v>92591</v>
      </c>
      <c r="AT26">
        <v>91187</v>
      </c>
      <c r="AU26">
        <v>90607</v>
      </c>
      <c r="AV26">
        <v>94196</v>
      </c>
      <c r="AW26">
        <v>94890</v>
      </c>
      <c r="AX26">
        <v>95345</v>
      </c>
      <c r="AY26">
        <v>95655</v>
      </c>
      <c r="AZ26">
        <v>95581</v>
      </c>
      <c r="BA26">
        <v>95688</v>
      </c>
      <c r="BB26">
        <v>95940</v>
      </c>
      <c r="BC26">
        <v>95990</v>
      </c>
      <c r="BD26">
        <v>96242</v>
      </c>
      <c r="BE26">
        <v>96067</v>
      </c>
      <c r="BF26">
        <v>96387</v>
      </c>
      <c r="BG26">
        <v>96614</v>
      </c>
      <c r="BH26">
        <v>96650</v>
      </c>
      <c r="BI26">
        <v>96809</v>
      </c>
      <c r="BJ26">
        <v>96800</v>
      </c>
      <c r="BK26">
        <v>96869</v>
      </c>
      <c r="BL26">
        <v>96967</v>
      </c>
      <c r="BM26">
        <v>97181</v>
      </c>
      <c r="BN26">
        <v>97293</v>
      </c>
      <c r="BO26">
        <v>97329</v>
      </c>
      <c r="BP26">
        <v>97426</v>
      </c>
      <c r="BQ26">
        <v>97602</v>
      </c>
      <c r="BR26">
        <v>97527</v>
      </c>
      <c r="BS26">
        <v>97615</v>
      </c>
      <c r="BT26">
        <v>97779</v>
      </c>
      <c r="BU26">
        <v>97861</v>
      </c>
      <c r="BV26">
        <v>97891</v>
      </c>
      <c r="BW26">
        <v>97985</v>
      </c>
      <c r="BX26">
        <v>98037</v>
      </c>
      <c r="BY26">
        <v>98157</v>
      </c>
      <c r="BZ26">
        <v>98221</v>
      </c>
      <c r="CA26">
        <v>98284</v>
      </c>
      <c r="CB26">
        <v>98318</v>
      </c>
      <c r="CC26">
        <v>98314</v>
      </c>
      <c r="CD26">
        <v>98503</v>
      </c>
      <c r="CE26">
        <v>98521</v>
      </c>
      <c r="CF26">
        <v>98531</v>
      </c>
      <c r="CG26">
        <v>98532</v>
      </c>
      <c r="CH26">
        <v>98566</v>
      </c>
      <c r="CI26">
        <v>98598</v>
      </c>
      <c r="CJ26">
        <v>98700</v>
      </c>
      <c r="CK26">
        <v>98703</v>
      </c>
      <c r="CL26">
        <v>98759</v>
      </c>
      <c r="CM26">
        <v>98781</v>
      </c>
      <c r="CN26">
        <v>98801</v>
      </c>
      <c r="CO26">
        <v>98826</v>
      </c>
      <c r="CP26">
        <v>98932</v>
      </c>
      <c r="CQ26">
        <v>98946</v>
      </c>
      <c r="CR26">
        <v>99037</v>
      </c>
      <c r="CS26">
        <v>99014</v>
      </c>
      <c r="CT26">
        <v>99087</v>
      </c>
      <c r="CU26">
        <v>99132</v>
      </c>
      <c r="CV26">
        <v>99096</v>
      </c>
      <c r="CW26">
        <v>99163</v>
      </c>
    </row>
    <row r="27" spans="1:101" x14ac:dyDescent="0.25">
      <c r="A27" t="s">
        <v>103</v>
      </c>
      <c r="B27">
        <v>72645</v>
      </c>
      <c r="C27">
        <v>74027</v>
      </c>
      <c r="D27">
        <v>76016</v>
      </c>
      <c r="E27">
        <v>75579</v>
      </c>
      <c r="F27">
        <v>76688</v>
      </c>
      <c r="G27">
        <v>77285</v>
      </c>
      <c r="H27">
        <v>77809</v>
      </c>
      <c r="I27">
        <v>78712</v>
      </c>
      <c r="J27">
        <v>78980</v>
      </c>
      <c r="K27">
        <v>80718</v>
      </c>
      <c r="L27">
        <v>79621</v>
      </c>
      <c r="M27">
        <v>79013</v>
      </c>
      <c r="N27">
        <v>82479</v>
      </c>
      <c r="O27">
        <v>81869</v>
      </c>
      <c r="P27">
        <v>81497</v>
      </c>
      <c r="Q27">
        <v>82117</v>
      </c>
      <c r="R27">
        <v>81957</v>
      </c>
      <c r="S27">
        <v>81496</v>
      </c>
      <c r="T27">
        <v>82459</v>
      </c>
      <c r="U27">
        <v>85406</v>
      </c>
      <c r="V27">
        <v>85819</v>
      </c>
      <c r="W27">
        <v>85446</v>
      </c>
      <c r="X27">
        <v>87713</v>
      </c>
      <c r="Y27">
        <v>88354</v>
      </c>
      <c r="Z27">
        <v>88301</v>
      </c>
      <c r="AA27">
        <v>88359</v>
      </c>
      <c r="AB27">
        <v>88021</v>
      </c>
      <c r="AC27">
        <v>88890</v>
      </c>
      <c r="AD27">
        <v>89347</v>
      </c>
      <c r="AE27">
        <v>89949</v>
      </c>
      <c r="AF27">
        <v>90727</v>
      </c>
      <c r="AG27">
        <v>91149</v>
      </c>
      <c r="AH27">
        <v>91678</v>
      </c>
      <c r="AI27">
        <v>91932</v>
      </c>
      <c r="AJ27">
        <v>92228</v>
      </c>
      <c r="AK27">
        <v>92153</v>
      </c>
      <c r="AL27">
        <v>92307</v>
      </c>
      <c r="AM27">
        <v>92724</v>
      </c>
      <c r="AN27">
        <v>92882</v>
      </c>
      <c r="AO27">
        <v>92062</v>
      </c>
      <c r="AP27">
        <v>92289</v>
      </c>
      <c r="AQ27">
        <v>92083</v>
      </c>
      <c r="AR27">
        <v>91792</v>
      </c>
      <c r="AS27">
        <v>92497</v>
      </c>
      <c r="AT27">
        <v>91113</v>
      </c>
      <c r="AU27">
        <v>90506</v>
      </c>
      <c r="AV27">
        <v>94102</v>
      </c>
      <c r="AW27">
        <v>94778</v>
      </c>
      <c r="AX27">
        <v>95247</v>
      </c>
      <c r="AY27">
        <v>95547</v>
      </c>
      <c r="AZ27">
        <v>95453</v>
      </c>
      <c r="BA27">
        <v>95579</v>
      </c>
      <c r="BB27">
        <v>95809</v>
      </c>
      <c r="BC27">
        <v>95862</v>
      </c>
      <c r="BD27">
        <v>96119</v>
      </c>
      <c r="BE27">
        <v>95935</v>
      </c>
      <c r="BF27">
        <v>96291</v>
      </c>
      <c r="BG27">
        <v>96499</v>
      </c>
      <c r="BH27">
        <v>96521</v>
      </c>
      <c r="BI27">
        <v>96707</v>
      </c>
      <c r="BJ27">
        <v>96696</v>
      </c>
      <c r="BK27">
        <v>96783</v>
      </c>
      <c r="BL27">
        <v>96883</v>
      </c>
      <c r="BM27">
        <v>97113</v>
      </c>
      <c r="BN27">
        <v>97219</v>
      </c>
      <c r="BO27">
        <v>97266</v>
      </c>
      <c r="BP27">
        <v>97353</v>
      </c>
      <c r="BQ27">
        <v>97535</v>
      </c>
      <c r="BR27">
        <v>97467</v>
      </c>
      <c r="BS27">
        <v>97545</v>
      </c>
      <c r="BT27">
        <v>97704</v>
      </c>
      <c r="BU27">
        <v>97804</v>
      </c>
      <c r="BV27">
        <v>97831</v>
      </c>
      <c r="BW27">
        <v>97920</v>
      </c>
      <c r="BX27">
        <v>97969</v>
      </c>
      <c r="BY27">
        <v>98099</v>
      </c>
      <c r="BZ27">
        <v>98171</v>
      </c>
      <c r="CA27">
        <v>98221</v>
      </c>
      <c r="CB27">
        <v>98271</v>
      </c>
      <c r="CC27">
        <v>98245</v>
      </c>
      <c r="CD27">
        <v>98445</v>
      </c>
      <c r="CE27">
        <v>98442</v>
      </c>
      <c r="CF27">
        <v>98467</v>
      </c>
      <c r="CG27">
        <v>98462</v>
      </c>
      <c r="CH27">
        <v>98512</v>
      </c>
      <c r="CI27">
        <v>98549</v>
      </c>
      <c r="CJ27">
        <v>98656</v>
      </c>
      <c r="CK27">
        <v>98674</v>
      </c>
      <c r="CL27">
        <v>98713</v>
      </c>
      <c r="CM27">
        <v>98752</v>
      </c>
      <c r="CN27">
        <v>98765</v>
      </c>
      <c r="CO27">
        <v>98787</v>
      </c>
      <c r="CP27">
        <v>98899</v>
      </c>
      <c r="CQ27">
        <v>98917</v>
      </c>
      <c r="CR27">
        <v>98996</v>
      </c>
      <c r="CS27">
        <v>98980</v>
      </c>
      <c r="CT27">
        <v>99055</v>
      </c>
      <c r="CU27">
        <v>99099</v>
      </c>
      <c r="CV27">
        <v>99065</v>
      </c>
      <c r="CW27">
        <v>99131</v>
      </c>
    </row>
    <row r="28" spans="1:101" x14ac:dyDescent="0.25">
      <c r="A28" t="s">
        <v>102</v>
      </c>
      <c r="B28">
        <v>72305</v>
      </c>
      <c r="C28">
        <v>73810</v>
      </c>
      <c r="D28">
        <v>75751</v>
      </c>
      <c r="E28">
        <v>75350</v>
      </c>
      <c r="F28">
        <v>76473</v>
      </c>
      <c r="G28">
        <v>77073</v>
      </c>
      <c r="H28">
        <v>77604</v>
      </c>
      <c r="I28">
        <v>78519</v>
      </c>
      <c r="J28">
        <v>78778</v>
      </c>
      <c r="K28">
        <v>80511</v>
      </c>
      <c r="L28">
        <v>79438</v>
      </c>
      <c r="M28">
        <v>78824</v>
      </c>
      <c r="N28">
        <v>82304</v>
      </c>
      <c r="O28">
        <v>81703</v>
      </c>
      <c r="P28">
        <v>81320</v>
      </c>
      <c r="Q28">
        <v>81979</v>
      </c>
      <c r="R28">
        <v>81795</v>
      </c>
      <c r="S28">
        <v>81349</v>
      </c>
      <c r="T28">
        <v>82300</v>
      </c>
      <c r="U28">
        <v>85265</v>
      </c>
      <c r="V28">
        <v>85457</v>
      </c>
      <c r="W28">
        <v>85192</v>
      </c>
      <c r="X28">
        <v>87426</v>
      </c>
      <c r="Y28">
        <v>87941</v>
      </c>
      <c r="Z28">
        <v>87654</v>
      </c>
      <c r="AA28">
        <v>87228</v>
      </c>
      <c r="AB28">
        <v>87822</v>
      </c>
      <c r="AC28">
        <v>88686</v>
      </c>
      <c r="AD28">
        <v>89220</v>
      </c>
      <c r="AE28">
        <v>89842</v>
      </c>
      <c r="AF28">
        <v>90638</v>
      </c>
      <c r="AG28">
        <v>91066</v>
      </c>
      <c r="AH28">
        <v>91602</v>
      </c>
      <c r="AI28">
        <v>91846</v>
      </c>
      <c r="AJ28">
        <v>92169</v>
      </c>
      <c r="AK28">
        <v>92068</v>
      </c>
      <c r="AL28">
        <v>92232</v>
      </c>
      <c r="AM28">
        <v>92637</v>
      </c>
      <c r="AN28">
        <v>92810</v>
      </c>
      <c r="AO28">
        <v>91969</v>
      </c>
      <c r="AP28">
        <v>92210</v>
      </c>
      <c r="AQ28">
        <v>91999</v>
      </c>
      <c r="AR28">
        <v>91691</v>
      </c>
      <c r="AS28">
        <v>92400</v>
      </c>
      <c r="AT28">
        <v>91006</v>
      </c>
      <c r="AU28">
        <v>90410</v>
      </c>
      <c r="AV28">
        <v>93994</v>
      </c>
      <c r="AW28">
        <v>94686</v>
      </c>
      <c r="AX28">
        <v>95133</v>
      </c>
      <c r="AY28">
        <v>95445</v>
      </c>
      <c r="AZ28">
        <v>95340</v>
      </c>
      <c r="BA28">
        <v>95464</v>
      </c>
      <c r="BB28">
        <v>95692</v>
      </c>
      <c r="BC28">
        <v>95754</v>
      </c>
      <c r="BD28">
        <v>96010</v>
      </c>
      <c r="BE28">
        <v>95823</v>
      </c>
      <c r="BF28">
        <v>96210</v>
      </c>
      <c r="BG28">
        <v>96387</v>
      </c>
      <c r="BH28">
        <v>96419</v>
      </c>
      <c r="BI28">
        <v>96603</v>
      </c>
      <c r="BJ28">
        <v>96597</v>
      </c>
      <c r="BK28">
        <v>96711</v>
      </c>
      <c r="BL28">
        <v>96804</v>
      </c>
      <c r="BM28">
        <v>97031</v>
      </c>
      <c r="BN28">
        <v>97139</v>
      </c>
      <c r="BO28">
        <v>97191</v>
      </c>
      <c r="BP28">
        <v>97290</v>
      </c>
      <c r="BQ28">
        <v>97459</v>
      </c>
      <c r="BR28">
        <v>97396</v>
      </c>
      <c r="BS28">
        <v>97488</v>
      </c>
      <c r="BT28">
        <v>97638</v>
      </c>
      <c r="BU28">
        <v>97747</v>
      </c>
      <c r="BV28">
        <v>97768</v>
      </c>
      <c r="BW28">
        <v>97844</v>
      </c>
      <c r="BX28">
        <v>97895</v>
      </c>
      <c r="BY28">
        <v>98029</v>
      </c>
      <c r="BZ28">
        <v>98111</v>
      </c>
      <c r="CA28">
        <v>98153</v>
      </c>
      <c r="CB28">
        <v>98204</v>
      </c>
      <c r="CC28">
        <v>98183</v>
      </c>
      <c r="CD28">
        <v>98383</v>
      </c>
      <c r="CE28">
        <v>98375</v>
      </c>
      <c r="CF28">
        <v>98385</v>
      </c>
      <c r="CG28">
        <v>98403</v>
      </c>
      <c r="CH28">
        <v>98459</v>
      </c>
      <c r="CI28">
        <v>98505</v>
      </c>
      <c r="CJ28">
        <v>98617</v>
      </c>
      <c r="CK28">
        <v>98629</v>
      </c>
      <c r="CL28">
        <v>98666</v>
      </c>
      <c r="CM28">
        <v>98713</v>
      </c>
      <c r="CN28">
        <v>98723</v>
      </c>
      <c r="CO28">
        <v>98743</v>
      </c>
      <c r="CP28">
        <v>98866</v>
      </c>
      <c r="CQ28">
        <v>98885</v>
      </c>
      <c r="CR28">
        <v>98965</v>
      </c>
      <c r="CS28">
        <v>98952</v>
      </c>
      <c r="CT28">
        <v>99024</v>
      </c>
      <c r="CU28">
        <v>99054</v>
      </c>
      <c r="CV28">
        <v>99023</v>
      </c>
      <c r="CW28">
        <v>99092</v>
      </c>
    </row>
    <row r="29" spans="1:101" x14ac:dyDescent="0.25">
      <c r="A29" t="s">
        <v>101</v>
      </c>
      <c r="B29">
        <v>72059</v>
      </c>
      <c r="C29">
        <v>73584</v>
      </c>
      <c r="D29">
        <v>75517</v>
      </c>
      <c r="E29">
        <v>75127</v>
      </c>
      <c r="F29">
        <v>76278</v>
      </c>
      <c r="G29">
        <v>76871</v>
      </c>
      <c r="H29">
        <v>77416</v>
      </c>
      <c r="I29">
        <v>78307</v>
      </c>
      <c r="J29">
        <v>78538</v>
      </c>
      <c r="K29">
        <v>80293</v>
      </c>
      <c r="L29">
        <v>79249</v>
      </c>
      <c r="M29">
        <v>78645</v>
      </c>
      <c r="N29">
        <v>82153</v>
      </c>
      <c r="O29">
        <v>81557</v>
      </c>
      <c r="P29">
        <v>81177</v>
      </c>
      <c r="Q29">
        <v>81807</v>
      </c>
      <c r="R29">
        <v>81647</v>
      </c>
      <c r="S29">
        <v>81214</v>
      </c>
      <c r="T29">
        <v>82145</v>
      </c>
      <c r="U29">
        <v>84801</v>
      </c>
      <c r="V29">
        <v>85170</v>
      </c>
      <c r="W29">
        <v>84856</v>
      </c>
      <c r="X29">
        <v>86997</v>
      </c>
      <c r="Y29">
        <v>87294</v>
      </c>
      <c r="Z29">
        <v>86238</v>
      </c>
      <c r="AA29">
        <v>86999</v>
      </c>
      <c r="AB29">
        <v>87533</v>
      </c>
      <c r="AC29">
        <v>88502</v>
      </c>
      <c r="AD29">
        <v>88983</v>
      </c>
      <c r="AE29">
        <v>89745</v>
      </c>
      <c r="AF29">
        <v>90552</v>
      </c>
      <c r="AG29">
        <v>90970</v>
      </c>
      <c r="AH29">
        <v>91515</v>
      </c>
      <c r="AI29">
        <v>91770</v>
      </c>
      <c r="AJ29">
        <v>92075</v>
      </c>
      <c r="AK29">
        <v>91981</v>
      </c>
      <c r="AL29">
        <v>92131</v>
      </c>
      <c r="AM29">
        <v>92557</v>
      </c>
      <c r="AN29">
        <v>92734</v>
      </c>
      <c r="AO29">
        <v>91884</v>
      </c>
      <c r="AP29">
        <v>92103</v>
      </c>
      <c r="AQ29">
        <v>91907</v>
      </c>
      <c r="AR29">
        <v>91609</v>
      </c>
      <c r="AS29">
        <v>92305</v>
      </c>
      <c r="AT29">
        <v>90910</v>
      </c>
      <c r="AU29">
        <v>90329</v>
      </c>
      <c r="AV29">
        <v>93891</v>
      </c>
      <c r="AW29">
        <v>94589</v>
      </c>
      <c r="AX29">
        <v>95023</v>
      </c>
      <c r="AY29">
        <v>95332</v>
      </c>
      <c r="AZ29">
        <v>95226</v>
      </c>
      <c r="BA29">
        <v>95361</v>
      </c>
      <c r="BB29">
        <v>95573</v>
      </c>
      <c r="BC29">
        <v>95651</v>
      </c>
      <c r="BD29">
        <v>95903</v>
      </c>
      <c r="BE29">
        <v>95720</v>
      </c>
      <c r="BF29">
        <v>96101</v>
      </c>
      <c r="BG29">
        <v>96293</v>
      </c>
      <c r="BH29">
        <v>96338</v>
      </c>
      <c r="BI29">
        <v>96507</v>
      </c>
      <c r="BJ29">
        <v>96507</v>
      </c>
      <c r="BK29">
        <v>96640</v>
      </c>
      <c r="BL29">
        <v>96726</v>
      </c>
      <c r="BM29">
        <v>96952</v>
      </c>
      <c r="BN29">
        <v>97057</v>
      </c>
      <c r="BO29">
        <v>97119</v>
      </c>
      <c r="BP29">
        <v>97222</v>
      </c>
      <c r="BQ29">
        <v>97395</v>
      </c>
      <c r="BR29">
        <v>97322</v>
      </c>
      <c r="BS29">
        <v>97407</v>
      </c>
      <c r="BT29">
        <v>97556</v>
      </c>
      <c r="BU29">
        <v>97684</v>
      </c>
      <c r="BV29">
        <v>97703</v>
      </c>
      <c r="BW29">
        <v>97776</v>
      </c>
      <c r="BX29">
        <v>97833</v>
      </c>
      <c r="BY29">
        <v>97963</v>
      </c>
      <c r="BZ29">
        <v>98045</v>
      </c>
      <c r="CA29">
        <v>98077</v>
      </c>
      <c r="CB29">
        <v>98152</v>
      </c>
      <c r="CC29">
        <v>98107</v>
      </c>
      <c r="CD29">
        <v>98329</v>
      </c>
      <c r="CE29">
        <v>98320</v>
      </c>
      <c r="CF29">
        <v>98339</v>
      </c>
      <c r="CG29">
        <v>98351</v>
      </c>
      <c r="CH29">
        <v>98409</v>
      </c>
      <c r="CI29">
        <v>98445</v>
      </c>
      <c r="CJ29">
        <v>98563</v>
      </c>
      <c r="CK29">
        <v>98582</v>
      </c>
      <c r="CL29">
        <v>98620</v>
      </c>
      <c r="CM29">
        <v>98675</v>
      </c>
      <c r="CN29">
        <v>98678</v>
      </c>
      <c r="CO29">
        <v>98699</v>
      </c>
      <c r="CP29">
        <v>98830</v>
      </c>
      <c r="CQ29">
        <v>98859</v>
      </c>
      <c r="CR29">
        <v>98930</v>
      </c>
      <c r="CS29">
        <v>98918</v>
      </c>
      <c r="CT29">
        <v>98991</v>
      </c>
      <c r="CU29">
        <v>99025</v>
      </c>
      <c r="CV29">
        <v>98988</v>
      </c>
      <c r="CW29">
        <v>99057</v>
      </c>
    </row>
    <row r="30" spans="1:101" x14ac:dyDescent="0.25">
      <c r="A30" t="s">
        <v>100</v>
      </c>
      <c r="B30">
        <v>71810</v>
      </c>
      <c r="C30">
        <v>73335</v>
      </c>
      <c r="D30">
        <v>75298</v>
      </c>
      <c r="E30">
        <v>74912</v>
      </c>
      <c r="F30">
        <v>76059</v>
      </c>
      <c r="G30">
        <v>76670</v>
      </c>
      <c r="H30">
        <v>77191</v>
      </c>
      <c r="I30">
        <v>78074</v>
      </c>
      <c r="J30">
        <v>78335</v>
      </c>
      <c r="K30">
        <v>80070</v>
      </c>
      <c r="L30">
        <v>79083</v>
      </c>
      <c r="M30">
        <v>78476</v>
      </c>
      <c r="N30">
        <v>81993</v>
      </c>
      <c r="O30">
        <v>81358</v>
      </c>
      <c r="P30">
        <v>80985</v>
      </c>
      <c r="Q30">
        <v>81655</v>
      </c>
      <c r="R30">
        <v>81477</v>
      </c>
      <c r="S30">
        <v>81072</v>
      </c>
      <c r="T30">
        <v>81787</v>
      </c>
      <c r="U30">
        <v>84506</v>
      </c>
      <c r="V30">
        <v>84900</v>
      </c>
      <c r="W30">
        <v>84471</v>
      </c>
      <c r="X30">
        <v>86404</v>
      </c>
      <c r="Y30">
        <v>85906</v>
      </c>
      <c r="Z30">
        <v>85996</v>
      </c>
      <c r="AA30">
        <v>86655</v>
      </c>
      <c r="AB30">
        <v>87303</v>
      </c>
      <c r="AC30">
        <v>88091</v>
      </c>
      <c r="AD30">
        <v>88874</v>
      </c>
      <c r="AE30">
        <v>89643</v>
      </c>
      <c r="AF30">
        <v>90463</v>
      </c>
      <c r="AG30">
        <v>90863</v>
      </c>
      <c r="AH30">
        <v>91429</v>
      </c>
      <c r="AI30">
        <v>91700</v>
      </c>
      <c r="AJ30">
        <v>91975</v>
      </c>
      <c r="AK30">
        <v>91890</v>
      </c>
      <c r="AL30">
        <v>92032</v>
      </c>
      <c r="AM30">
        <v>92446</v>
      </c>
      <c r="AN30">
        <v>92648</v>
      </c>
      <c r="AO30">
        <v>91789</v>
      </c>
      <c r="AP30">
        <v>92005</v>
      </c>
      <c r="AQ30">
        <v>91825</v>
      </c>
      <c r="AR30">
        <v>91508</v>
      </c>
      <c r="AS30">
        <v>92207</v>
      </c>
      <c r="AT30">
        <v>90810</v>
      </c>
      <c r="AU30">
        <v>90234</v>
      </c>
      <c r="AV30">
        <v>93786</v>
      </c>
      <c r="AW30">
        <v>94484</v>
      </c>
      <c r="AX30">
        <v>94901</v>
      </c>
      <c r="AY30">
        <v>95237</v>
      </c>
      <c r="AZ30">
        <v>95122</v>
      </c>
      <c r="BA30">
        <v>95256</v>
      </c>
      <c r="BB30">
        <v>95459</v>
      </c>
      <c r="BC30">
        <v>95571</v>
      </c>
      <c r="BD30">
        <v>95810</v>
      </c>
      <c r="BE30">
        <v>95619</v>
      </c>
      <c r="BF30">
        <v>96004</v>
      </c>
      <c r="BG30">
        <v>96198</v>
      </c>
      <c r="BH30">
        <v>96233</v>
      </c>
      <c r="BI30">
        <v>96402</v>
      </c>
      <c r="BJ30">
        <v>96416</v>
      </c>
      <c r="BK30">
        <v>96555</v>
      </c>
      <c r="BL30">
        <v>96657</v>
      </c>
      <c r="BM30">
        <v>96880</v>
      </c>
      <c r="BN30">
        <v>96993</v>
      </c>
      <c r="BO30">
        <v>97039</v>
      </c>
      <c r="BP30">
        <v>97146</v>
      </c>
      <c r="BQ30">
        <v>97325</v>
      </c>
      <c r="BR30">
        <v>97265</v>
      </c>
      <c r="BS30">
        <v>97345</v>
      </c>
      <c r="BT30">
        <v>97490</v>
      </c>
      <c r="BU30">
        <v>97617</v>
      </c>
      <c r="BV30">
        <v>97630</v>
      </c>
      <c r="BW30">
        <v>97711</v>
      </c>
      <c r="BX30">
        <v>97770</v>
      </c>
      <c r="BY30">
        <v>97909</v>
      </c>
      <c r="BZ30">
        <v>97980</v>
      </c>
      <c r="CA30">
        <v>98004</v>
      </c>
      <c r="CB30">
        <v>98080</v>
      </c>
      <c r="CC30">
        <v>98057</v>
      </c>
      <c r="CD30">
        <v>98274</v>
      </c>
      <c r="CE30">
        <v>98269</v>
      </c>
      <c r="CF30">
        <v>98290</v>
      </c>
      <c r="CG30">
        <v>98313</v>
      </c>
      <c r="CH30">
        <v>98364</v>
      </c>
      <c r="CI30">
        <v>98399</v>
      </c>
      <c r="CJ30">
        <v>98509</v>
      </c>
      <c r="CK30">
        <v>98540</v>
      </c>
      <c r="CL30">
        <v>98569</v>
      </c>
      <c r="CM30">
        <v>98634</v>
      </c>
      <c r="CN30">
        <v>98640</v>
      </c>
      <c r="CO30">
        <v>98662</v>
      </c>
      <c r="CP30">
        <v>98800</v>
      </c>
      <c r="CQ30">
        <v>98820</v>
      </c>
      <c r="CR30">
        <v>98883</v>
      </c>
      <c r="CS30">
        <v>98892</v>
      </c>
      <c r="CT30">
        <v>98946</v>
      </c>
      <c r="CU30">
        <v>98985</v>
      </c>
      <c r="CV30">
        <v>98951</v>
      </c>
      <c r="CW30">
        <v>99021</v>
      </c>
    </row>
    <row r="31" spans="1:101" x14ac:dyDescent="0.25">
      <c r="A31" t="s">
        <v>99</v>
      </c>
      <c r="B31">
        <v>71563</v>
      </c>
      <c r="C31">
        <v>73112</v>
      </c>
      <c r="D31">
        <v>75079</v>
      </c>
      <c r="E31">
        <v>74711</v>
      </c>
      <c r="F31">
        <v>75849</v>
      </c>
      <c r="G31">
        <v>76474</v>
      </c>
      <c r="H31">
        <v>76952</v>
      </c>
      <c r="I31">
        <v>77867</v>
      </c>
      <c r="J31">
        <v>78144</v>
      </c>
      <c r="K31">
        <v>79900</v>
      </c>
      <c r="L31">
        <v>78894</v>
      </c>
      <c r="M31">
        <v>78310</v>
      </c>
      <c r="N31">
        <v>81842</v>
      </c>
      <c r="O31">
        <v>81198</v>
      </c>
      <c r="P31">
        <v>80849</v>
      </c>
      <c r="Q31">
        <v>81520</v>
      </c>
      <c r="R31">
        <v>81344</v>
      </c>
      <c r="S31">
        <v>80735</v>
      </c>
      <c r="T31">
        <v>81543</v>
      </c>
      <c r="U31">
        <v>84217</v>
      </c>
      <c r="V31">
        <v>84557</v>
      </c>
      <c r="W31">
        <v>83909</v>
      </c>
      <c r="X31">
        <v>85362</v>
      </c>
      <c r="Y31">
        <v>85681</v>
      </c>
      <c r="Z31">
        <v>85786</v>
      </c>
      <c r="AA31">
        <v>86408</v>
      </c>
      <c r="AB31">
        <v>86951</v>
      </c>
      <c r="AC31">
        <v>87979</v>
      </c>
      <c r="AD31">
        <v>88747</v>
      </c>
      <c r="AE31">
        <v>89560</v>
      </c>
      <c r="AF31">
        <v>90373</v>
      </c>
      <c r="AG31">
        <v>90785</v>
      </c>
      <c r="AH31">
        <v>91335</v>
      </c>
      <c r="AI31">
        <v>91610</v>
      </c>
      <c r="AJ31">
        <v>91878</v>
      </c>
      <c r="AK31">
        <v>91794</v>
      </c>
      <c r="AL31">
        <v>91944</v>
      </c>
      <c r="AM31">
        <v>92340</v>
      </c>
      <c r="AN31">
        <v>92560</v>
      </c>
      <c r="AO31">
        <v>91701</v>
      </c>
      <c r="AP31">
        <v>91902</v>
      </c>
      <c r="AQ31">
        <v>91723</v>
      </c>
      <c r="AR31">
        <v>91413</v>
      </c>
      <c r="AS31">
        <v>92113</v>
      </c>
      <c r="AT31">
        <v>90693</v>
      </c>
      <c r="AU31">
        <v>90145</v>
      </c>
      <c r="AV31">
        <v>93688</v>
      </c>
      <c r="AW31">
        <v>94383</v>
      </c>
      <c r="AX31">
        <v>94799</v>
      </c>
      <c r="AY31">
        <v>95133</v>
      </c>
      <c r="AZ31">
        <v>95009</v>
      </c>
      <c r="BA31">
        <v>95174</v>
      </c>
      <c r="BB31">
        <v>95382</v>
      </c>
      <c r="BC31">
        <v>95475</v>
      </c>
      <c r="BD31">
        <v>95716</v>
      </c>
      <c r="BE31">
        <v>95536</v>
      </c>
      <c r="BF31">
        <v>95933</v>
      </c>
      <c r="BG31">
        <v>96108</v>
      </c>
      <c r="BH31">
        <v>96152</v>
      </c>
      <c r="BI31">
        <v>96339</v>
      </c>
      <c r="BJ31">
        <v>96346</v>
      </c>
      <c r="BK31">
        <v>96487</v>
      </c>
      <c r="BL31">
        <v>96572</v>
      </c>
      <c r="BM31">
        <v>96805</v>
      </c>
      <c r="BN31">
        <v>96914</v>
      </c>
      <c r="BO31">
        <v>96958</v>
      </c>
      <c r="BP31">
        <v>97078</v>
      </c>
      <c r="BQ31">
        <v>97267</v>
      </c>
      <c r="BR31">
        <v>97193</v>
      </c>
      <c r="BS31">
        <v>97276</v>
      </c>
      <c r="BT31">
        <v>97425</v>
      </c>
      <c r="BU31">
        <v>97549</v>
      </c>
      <c r="BV31">
        <v>97566</v>
      </c>
      <c r="BW31">
        <v>97634</v>
      </c>
      <c r="BX31">
        <v>97706</v>
      </c>
      <c r="BY31">
        <v>97845</v>
      </c>
      <c r="BZ31">
        <v>97922</v>
      </c>
      <c r="CA31">
        <v>97939</v>
      </c>
      <c r="CB31">
        <v>98005</v>
      </c>
      <c r="CC31">
        <v>98000</v>
      </c>
      <c r="CD31">
        <v>98209</v>
      </c>
      <c r="CE31">
        <v>98229</v>
      </c>
      <c r="CF31">
        <v>98234</v>
      </c>
      <c r="CG31">
        <v>98263</v>
      </c>
      <c r="CH31">
        <v>98328</v>
      </c>
      <c r="CI31">
        <v>98355</v>
      </c>
      <c r="CJ31">
        <v>98464</v>
      </c>
      <c r="CK31">
        <v>98494</v>
      </c>
      <c r="CL31">
        <v>98530</v>
      </c>
      <c r="CM31">
        <v>98591</v>
      </c>
      <c r="CN31">
        <v>98602</v>
      </c>
      <c r="CO31">
        <v>98636</v>
      </c>
      <c r="CP31">
        <v>98769</v>
      </c>
      <c r="CQ31">
        <v>98779</v>
      </c>
      <c r="CR31">
        <v>98842</v>
      </c>
      <c r="CS31">
        <v>98862</v>
      </c>
      <c r="CT31">
        <v>98898</v>
      </c>
      <c r="CU31">
        <v>98947</v>
      </c>
      <c r="CV31">
        <v>98914</v>
      </c>
      <c r="CW31">
        <v>98986</v>
      </c>
    </row>
    <row r="32" spans="1:101" x14ac:dyDescent="0.25">
      <c r="A32" t="s">
        <v>98</v>
      </c>
      <c r="B32">
        <v>71336</v>
      </c>
      <c r="C32">
        <v>72888</v>
      </c>
      <c r="D32">
        <v>74865</v>
      </c>
      <c r="E32">
        <v>74481</v>
      </c>
      <c r="F32">
        <v>75660</v>
      </c>
      <c r="G32">
        <v>76277</v>
      </c>
      <c r="H32">
        <v>76748</v>
      </c>
      <c r="I32">
        <v>77645</v>
      </c>
      <c r="J32">
        <v>77985</v>
      </c>
      <c r="K32">
        <v>79745</v>
      </c>
      <c r="L32">
        <v>78731</v>
      </c>
      <c r="M32">
        <v>78148</v>
      </c>
      <c r="N32">
        <v>81687</v>
      </c>
      <c r="O32">
        <v>81042</v>
      </c>
      <c r="P32">
        <v>80688</v>
      </c>
      <c r="Q32">
        <v>81355</v>
      </c>
      <c r="R32">
        <v>81030</v>
      </c>
      <c r="S32">
        <v>80505</v>
      </c>
      <c r="T32">
        <v>81231</v>
      </c>
      <c r="U32">
        <v>83824</v>
      </c>
      <c r="V32">
        <v>84024</v>
      </c>
      <c r="W32">
        <v>82793</v>
      </c>
      <c r="X32">
        <v>85134</v>
      </c>
      <c r="Y32">
        <v>85497</v>
      </c>
      <c r="Z32">
        <v>85650</v>
      </c>
      <c r="AA32">
        <v>86076</v>
      </c>
      <c r="AB32">
        <v>86831</v>
      </c>
      <c r="AC32">
        <v>87852</v>
      </c>
      <c r="AD32">
        <v>88657</v>
      </c>
      <c r="AE32">
        <v>89442</v>
      </c>
      <c r="AF32">
        <v>90298</v>
      </c>
      <c r="AG32">
        <v>90687</v>
      </c>
      <c r="AH32">
        <v>91247</v>
      </c>
      <c r="AI32">
        <v>91510</v>
      </c>
      <c r="AJ32">
        <v>91798</v>
      </c>
      <c r="AK32">
        <v>91708</v>
      </c>
      <c r="AL32">
        <v>91841</v>
      </c>
      <c r="AM32">
        <v>92242</v>
      </c>
      <c r="AN32">
        <v>92474</v>
      </c>
      <c r="AO32">
        <v>91610</v>
      </c>
      <c r="AP32">
        <v>91834</v>
      </c>
      <c r="AQ32">
        <v>91632</v>
      </c>
      <c r="AR32">
        <v>91317</v>
      </c>
      <c r="AS32">
        <v>92029</v>
      </c>
      <c r="AT32">
        <v>90610</v>
      </c>
      <c r="AU32">
        <v>90063</v>
      </c>
      <c r="AV32">
        <v>93591</v>
      </c>
      <c r="AW32">
        <v>94291</v>
      </c>
      <c r="AX32">
        <v>94712</v>
      </c>
      <c r="AY32">
        <v>95029</v>
      </c>
      <c r="AZ32">
        <v>94928</v>
      </c>
      <c r="BA32">
        <v>95088</v>
      </c>
      <c r="BB32">
        <v>95284</v>
      </c>
      <c r="BC32">
        <v>95393</v>
      </c>
      <c r="BD32">
        <v>95612</v>
      </c>
      <c r="BE32">
        <v>95459</v>
      </c>
      <c r="BF32">
        <v>95852</v>
      </c>
      <c r="BG32">
        <v>96029</v>
      </c>
      <c r="BH32">
        <v>96085</v>
      </c>
      <c r="BI32">
        <v>96255</v>
      </c>
      <c r="BJ32">
        <v>96269</v>
      </c>
      <c r="BK32">
        <v>96412</v>
      </c>
      <c r="BL32">
        <v>96491</v>
      </c>
      <c r="BM32">
        <v>96739</v>
      </c>
      <c r="BN32">
        <v>96845</v>
      </c>
      <c r="BO32">
        <v>96876</v>
      </c>
      <c r="BP32">
        <v>97015</v>
      </c>
      <c r="BQ32">
        <v>97202</v>
      </c>
      <c r="BR32">
        <v>97119</v>
      </c>
      <c r="BS32">
        <v>97198</v>
      </c>
      <c r="BT32">
        <v>97353</v>
      </c>
      <c r="BU32">
        <v>97470</v>
      </c>
      <c r="BV32">
        <v>97500</v>
      </c>
      <c r="BW32">
        <v>97570</v>
      </c>
      <c r="BX32">
        <v>97637</v>
      </c>
      <c r="BY32">
        <v>97765</v>
      </c>
      <c r="BZ32">
        <v>97851</v>
      </c>
      <c r="CA32">
        <v>97887</v>
      </c>
      <c r="CB32">
        <v>97935</v>
      </c>
      <c r="CC32">
        <v>97950</v>
      </c>
      <c r="CD32">
        <v>98154</v>
      </c>
      <c r="CE32">
        <v>98193</v>
      </c>
      <c r="CF32">
        <v>98181</v>
      </c>
      <c r="CG32">
        <v>98209</v>
      </c>
      <c r="CH32">
        <v>98283</v>
      </c>
      <c r="CI32">
        <v>98315</v>
      </c>
      <c r="CJ32">
        <v>98417</v>
      </c>
      <c r="CK32">
        <v>98447</v>
      </c>
      <c r="CL32">
        <v>98480</v>
      </c>
      <c r="CM32">
        <v>98556</v>
      </c>
      <c r="CN32">
        <v>98560</v>
      </c>
      <c r="CO32">
        <v>98595</v>
      </c>
      <c r="CP32">
        <v>98730</v>
      </c>
      <c r="CQ32">
        <v>98729</v>
      </c>
      <c r="CR32">
        <v>98806</v>
      </c>
      <c r="CS32">
        <v>98836</v>
      </c>
      <c r="CT32">
        <v>98860</v>
      </c>
      <c r="CU32">
        <v>98911</v>
      </c>
      <c r="CV32">
        <v>98879</v>
      </c>
      <c r="CW32">
        <v>98950</v>
      </c>
    </row>
    <row r="33" spans="1:101" x14ac:dyDescent="0.25">
      <c r="A33" t="s">
        <v>97</v>
      </c>
      <c r="B33">
        <v>71139</v>
      </c>
      <c r="C33">
        <v>72692</v>
      </c>
      <c r="D33">
        <v>74646</v>
      </c>
      <c r="E33">
        <v>74299</v>
      </c>
      <c r="F33">
        <v>75465</v>
      </c>
      <c r="G33">
        <v>76109</v>
      </c>
      <c r="H33">
        <v>76563</v>
      </c>
      <c r="I33">
        <v>77480</v>
      </c>
      <c r="J33">
        <v>77802</v>
      </c>
      <c r="K33">
        <v>79591</v>
      </c>
      <c r="L33">
        <v>78544</v>
      </c>
      <c r="M33">
        <v>77979</v>
      </c>
      <c r="N33">
        <v>81505</v>
      </c>
      <c r="O33">
        <v>80897</v>
      </c>
      <c r="P33">
        <v>80556</v>
      </c>
      <c r="Q33">
        <v>81041</v>
      </c>
      <c r="R33">
        <v>80785</v>
      </c>
      <c r="S33">
        <v>80277</v>
      </c>
      <c r="T33">
        <v>80926</v>
      </c>
      <c r="U33">
        <v>83299</v>
      </c>
      <c r="V33">
        <v>82963</v>
      </c>
      <c r="W33">
        <v>82585</v>
      </c>
      <c r="X33">
        <v>84952</v>
      </c>
      <c r="Y33">
        <v>85361</v>
      </c>
      <c r="Z33">
        <v>85525</v>
      </c>
      <c r="AA33">
        <v>85976</v>
      </c>
      <c r="AB33">
        <v>86719</v>
      </c>
      <c r="AC33">
        <v>87763</v>
      </c>
      <c r="AD33">
        <v>88546</v>
      </c>
      <c r="AE33">
        <v>89352</v>
      </c>
      <c r="AF33">
        <v>90217</v>
      </c>
      <c r="AG33">
        <v>90587</v>
      </c>
      <c r="AH33">
        <v>91155</v>
      </c>
      <c r="AI33">
        <v>91412</v>
      </c>
      <c r="AJ33">
        <v>91709</v>
      </c>
      <c r="AK33">
        <v>91620</v>
      </c>
      <c r="AL33">
        <v>91744</v>
      </c>
      <c r="AM33">
        <v>92140</v>
      </c>
      <c r="AN33">
        <v>92371</v>
      </c>
      <c r="AO33">
        <v>91504</v>
      </c>
      <c r="AP33">
        <v>91729</v>
      </c>
      <c r="AQ33">
        <v>91546</v>
      </c>
      <c r="AR33">
        <v>91224</v>
      </c>
      <c r="AS33">
        <v>91950</v>
      </c>
      <c r="AT33">
        <v>90517</v>
      </c>
      <c r="AU33">
        <v>90001</v>
      </c>
      <c r="AV33">
        <v>93517</v>
      </c>
      <c r="AW33">
        <v>94208</v>
      </c>
      <c r="AX33">
        <v>94615</v>
      </c>
      <c r="AY33">
        <v>94947</v>
      </c>
      <c r="AZ33">
        <v>94854</v>
      </c>
      <c r="BA33">
        <v>95012</v>
      </c>
      <c r="BB33">
        <v>95207</v>
      </c>
      <c r="BC33">
        <v>95320</v>
      </c>
      <c r="BD33">
        <v>95532</v>
      </c>
      <c r="BE33">
        <v>95367</v>
      </c>
      <c r="BF33">
        <v>95779</v>
      </c>
      <c r="BG33">
        <v>95952</v>
      </c>
      <c r="BH33">
        <v>96021</v>
      </c>
      <c r="BI33">
        <v>96181</v>
      </c>
      <c r="BJ33">
        <v>96204</v>
      </c>
      <c r="BK33">
        <v>96333</v>
      </c>
      <c r="BL33">
        <v>96424</v>
      </c>
      <c r="BM33">
        <v>96668</v>
      </c>
      <c r="BN33">
        <v>96774</v>
      </c>
      <c r="BO33">
        <v>96807</v>
      </c>
      <c r="BP33">
        <v>96956</v>
      </c>
      <c r="BQ33">
        <v>97120</v>
      </c>
      <c r="BR33">
        <v>97053</v>
      </c>
      <c r="BS33">
        <v>97139</v>
      </c>
      <c r="BT33">
        <v>97283</v>
      </c>
      <c r="BU33">
        <v>97406</v>
      </c>
      <c r="BV33">
        <v>97416</v>
      </c>
      <c r="BW33">
        <v>97513</v>
      </c>
      <c r="BX33">
        <v>97568</v>
      </c>
      <c r="BY33">
        <v>97710</v>
      </c>
      <c r="BZ33">
        <v>97783</v>
      </c>
      <c r="CA33">
        <v>97840</v>
      </c>
      <c r="CB33">
        <v>97874</v>
      </c>
      <c r="CC33">
        <v>97901</v>
      </c>
      <c r="CD33">
        <v>98100</v>
      </c>
      <c r="CE33">
        <v>98151</v>
      </c>
      <c r="CF33">
        <v>98143</v>
      </c>
      <c r="CG33">
        <v>98172</v>
      </c>
      <c r="CH33">
        <v>98236</v>
      </c>
      <c r="CI33">
        <v>98285</v>
      </c>
      <c r="CJ33">
        <v>98383</v>
      </c>
      <c r="CK33">
        <v>98396</v>
      </c>
      <c r="CL33">
        <v>98436</v>
      </c>
      <c r="CM33">
        <v>98509</v>
      </c>
      <c r="CN33">
        <v>98512</v>
      </c>
      <c r="CO33">
        <v>98556</v>
      </c>
      <c r="CP33">
        <v>98686</v>
      </c>
      <c r="CQ33">
        <v>98684</v>
      </c>
      <c r="CR33">
        <v>98767</v>
      </c>
      <c r="CS33">
        <v>98798</v>
      </c>
      <c r="CT33">
        <v>98822</v>
      </c>
      <c r="CU33">
        <v>98874</v>
      </c>
      <c r="CV33">
        <v>98843</v>
      </c>
      <c r="CW33">
        <v>98915</v>
      </c>
    </row>
    <row r="34" spans="1:101" x14ac:dyDescent="0.25">
      <c r="A34" t="s">
        <v>96</v>
      </c>
      <c r="B34">
        <v>70939</v>
      </c>
      <c r="C34">
        <v>72479</v>
      </c>
      <c r="D34">
        <v>74463</v>
      </c>
      <c r="E34">
        <v>74083</v>
      </c>
      <c r="F34">
        <v>75290</v>
      </c>
      <c r="G34">
        <v>75916</v>
      </c>
      <c r="H34">
        <v>76384</v>
      </c>
      <c r="I34">
        <v>77310</v>
      </c>
      <c r="J34">
        <v>77643</v>
      </c>
      <c r="K34">
        <v>79419</v>
      </c>
      <c r="L34">
        <v>78401</v>
      </c>
      <c r="M34">
        <v>77834</v>
      </c>
      <c r="N34">
        <v>81355</v>
      </c>
      <c r="O34">
        <v>80764</v>
      </c>
      <c r="P34">
        <v>80257</v>
      </c>
      <c r="Q34">
        <v>80807</v>
      </c>
      <c r="R34">
        <v>80532</v>
      </c>
      <c r="S34">
        <v>79936</v>
      </c>
      <c r="T34">
        <v>80452</v>
      </c>
      <c r="U34">
        <v>82288</v>
      </c>
      <c r="V34">
        <v>82797</v>
      </c>
      <c r="W34">
        <v>82428</v>
      </c>
      <c r="X34">
        <v>84819</v>
      </c>
      <c r="Y34">
        <v>85237</v>
      </c>
      <c r="Z34">
        <v>85428</v>
      </c>
      <c r="AA34">
        <v>85856</v>
      </c>
      <c r="AB34">
        <v>86624</v>
      </c>
      <c r="AC34">
        <v>87662</v>
      </c>
      <c r="AD34">
        <v>88442</v>
      </c>
      <c r="AE34">
        <v>89272</v>
      </c>
      <c r="AF34">
        <v>90123</v>
      </c>
      <c r="AG34">
        <v>90483</v>
      </c>
      <c r="AH34">
        <v>91058</v>
      </c>
      <c r="AI34">
        <v>91324</v>
      </c>
      <c r="AJ34">
        <v>91614</v>
      </c>
      <c r="AK34">
        <v>91520</v>
      </c>
      <c r="AL34">
        <v>91633</v>
      </c>
      <c r="AM34">
        <v>92057</v>
      </c>
      <c r="AN34">
        <v>92275</v>
      </c>
      <c r="AO34">
        <v>91421</v>
      </c>
      <c r="AP34">
        <v>91636</v>
      </c>
      <c r="AQ34">
        <v>91452</v>
      </c>
      <c r="AR34">
        <v>91144</v>
      </c>
      <c r="AS34">
        <v>91863</v>
      </c>
      <c r="AT34">
        <v>90429</v>
      </c>
      <c r="AU34">
        <v>89918</v>
      </c>
      <c r="AV34">
        <v>93427</v>
      </c>
      <c r="AW34">
        <v>94127</v>
      </c>
      <c r="AX34">
        <v>94529</v>
      </c>
      <c r="AY34">
        <v>94862</v>
      </c>
      <c r="AZ34">
        <v>94771</v>
      </c>
      <c r="BA34">
        <v>94919</v>
      </c>
      <c r="BB34">
        <v>95133</v>
      </c>
      <c r="BC34">
        <v>95232</v>
      </c>
      <c r="BD34">
        <v>95453</v>
      </c>
      <c r="BE34">
        <v>95288</v>
      </c>
      <c r="BF34">
        <v>95713</v>
      </c>
      <c r="BG34">
        <v>95875</v>
      </c>
      <c r="BH34">
        <v>95945</v>
      </c>
      <c r="BI34">
        <v>96119</v>
      </c>
      <c r="BJ34">
        <v>96130</v>
      </c>
      <c r="BK34">
        <v>96272</v>
      </c>
      <c r="BL34">
        <v>96354</v>
      </c>
      <c r="BM34">
        <v>96603</v>
      </c>
      <c r="BN34">
        <v>96702</v>
      </c>
      <c r="BO34">
        <v>96734</v>
      </c>
      <c r="BP34">
        <v>96890</v>
      </c>
      <c r="BQ34">
        <v>97049</v>
      </c>
      <c r="BR34">
        <v>96976</v>
      </c>
      <c r="BS34">
        <v>97081</v>
      </c>
      <c r="BT34">
        <v>97192</v>
      </c>
      <c r="BU34">
        <v>97340</v>
      </c>
      <c r="BV34">
        <v>97348</v>
      </c>
      <c r="BW34">
        <v>97454</v>
      </c>
      <c r="BX34">
        <v>97502</v>
      </c>
      <c r="BY34">
        <v>97651</v>
      </c>
      <c r="BZ34">
        <v>97722</v>
      </c>
      <c r="CA34">
        <v>97788</v>
      </c>
      <c r="CB34">
        <v>97820</v>
      </c>
      <c r="CC34">
        <v>97855</v>
      </c>
      <c r="CD34">
        <v>98053</v>
      </c>
      <c r="CE34">
        <v>98108</v>
      </c>
      <c r="CF34">
        <v>98106</v>
      </c>
      <c r="CG34">
        <v>98111</v>
      </c>
      <c r="CH34">
        <v>98190</v>
      </c>
      <c r="CI34">
        <v>98246</v>
      </c>
      <c r="CJ34">
        <v>98349</v>
      </c>
      <c r="CK34">
        <v>98352</v>
      </c>
      <c r="CL34">
        <v>98400</v>
      </c>
      <c r="CM34">
        <v>98462</v>
      </c>
      <c r="CN34">
        <v>98480</v>
      </c>
      <c r="CO34">
        <v>98509</v>
      </c>
      <c r="CP34">
        <v>98646</v>
      </c>
      <c r="CQ34">
        <v>98646</v>
      </c>
      <c r="CR34">
        <v>98728</v>
      </c>
      <c r="CS34">
        <v>98759</v>
      </c>
      <c r="CT34">
        <v>98785</v>
      </c>
      <c r="CU34">
        <v>98837</v>
      </c>
      <c r="CV34">
        <v>98807</v>
      </c>
      <c r="CW34">
        <v>98879</v>
      </c>
    </row>
    <row r="35" spans="1:101" x14ac:dyDescent="0.25">
      <c r="A35" t="s">
        <v>95</v>
      </c>
      <c r="B35">
        <v>70752</v>
      </c>
      <c r="C35">
        <v>72313</v>
      </c>
      <c r="D35">
        <v>74264</v>
      </c>
      <c r="E35">
        <v>73889</v>
      </c>
      <c r="F35">
        <v>75119</v>
      </c>
      <c r="G35">
        <v>75743</v>
      </c>
      <c r="H35">
        <v>76225</v>
      </c>
      <c r="I35">
        <v>77163</v>
      </c>
      <c r="J35">
        <v>77477</v>
      </c>
      <c r="K35">
        <v>79247</v>
      </c>
      <c r="L35">
        <v>78272</v>
      </c>
      <c r="M35">
        <v>77695</v>
      </c>
      <c r="N35">
        <v>81205</v>
      </c>
      <c r="O35">
        <v>80473</v>
      </c>
      <c r="P35">
        <v>80037</v>
      </c>
      <c r="Q35">
        <v>80541</v>
      </c>
      <c r="R35">
        <v>80220</v>
      </c>
      <c r="S35">
        <v>79484</v>
      </c>
      <c r="T35">
        <v>79444</v>
      </c>
      <c r="U35">
        <v>82094</v>
      </c>
      <c r="V35">
        <v>82638</v>
      </c>
      <c r="W35">
        <v>82303</v>
      </c>
      <c r="X35">
        <v>84690</v>
      </c>
      <c r="Y35">
        <v>85123</v>
      </c>
      <c r="Z35">
        <v>85311</v>
      </c>
      <c r="AA35">
        <v>85743</v>
      </c>
      <c r="AB35">
        <v>86519</v>
      </c>
      <c r="AC35">
        <v>87565</v>
      </c>
      <c r="AD35">
        <v>88348</v>
      </c>
      <c r="AE35">
        <v>89185</v>
      </c>
      <c r="AF35">
        <v>90044</v>
      </c>
      <c r="AG35">
        <v>90396</v>
      </c>
      <c r="AH35">
        <v>90973</v>
      </c>
      <c r="AI35">
        <v>91226</v>
      </c>
      <c r="AJ35">
        <v>91524</v>
      </c>
      <c r="AK35">
        <v>91421</v>
      </c>
      <c r="AL35">
        <v>91528</v>
      </c>
      <c r="AM35">
        <v>91952</v>
      </c>
      <c r="AN35">
        <v>92186</v>
      </c>
      <c r="AO35">
        <v>91341</v>
      </c>
      <c r="AP35">
        <v>91529</v>
      </c>
      <c r="AQ35">
        <v>91361</v>
      </c>
      <c r="AR35">
        <v>91069</v>
      </c>
      <c r="AS35">
        <v>91779</v>
      </c>
      <c r="AT35">
        <v>90333</v>
      </c>
      <c r="AU35">
        <v>89841</v>
      </c>
      <c r="AV35">
        <v>93352</v>
      </c>
      <c r="AW35">
        <v>94047</v>
      </c>
      <c r="AX35">
        <v>94458</v>
      </c>
      <c r="AY35">
        <v>94797</v>
      </c>
      <c r="AZ35">
        <v>94689</v>
      </c>
      <c r="BA35">
        <v>94849</v>
      </c>
      <c r="BB35">
        <v>95066</v>
      </c>
      <c r="BC35">
        <v>95154</v>
      </c>
      <c r="BD35">
        <v>95378</v>
      </c>
      <c r="BE35">
        <v>95208</v>
      </c>
      <c r="BF35">
        <v>95656</v>
      </c>
      <c r="BG35">
        <v>95803</v>
      </c>
      <c r="BH35">
        <v>95879</v>
      </c>
      <c r="BI35">
        <v>96035</v>
      </c>
      <c r="BJ35">
        <v>96081</v>
      </c>
      <c r="BK35">
        <v>96189</v>
      </c>
      <c r="BL35">
        <v>96292</v>
      </c>
      <c r="BM35">
        <v>96526</v>
      </c>
      <c r="BN35">
        <v>96641</v>
      </c>
      <c r="BO35">
        <v>96662</v>
      </c>
      <c r="BP35">
        <v>96831</v>
      </c>
      <c r="BQ35">
        <v>96994</v>
      </c>
      <c r="BR35">
        <v>96925</v>
      </c>
      <c r="BS35">
        <v>97020</v>
      </c>
      <c r="BT35">
        <v>97131</v>
      </c>
      <c r="BU35">
        <v>97272</v>
      </c>
      <c r="BV35">
        <v>97274</v>
      </c>
      <c r="BW35">
        <v>97397</v>
      </c>
      <c r="BX35">
        <v>97435</v>
      </c>
      <c r="BY35">
        <v>97596</v>
      </c>
      <c r="BZ35">
        <v>97667</v>
      </c>
      <c r="CA35">
        <v>97742</v>
      </c>
      <c r="CB35">
        <v>97771</v>
      </c>
      <c r="CC35">
        <v>97801</v>
      </c>
      <c r="CD35">
        <v>98011</v>
      </c>
      <c r="CE35">
        <v>98062</v>
      </c>
      <c r="CF35">
        <v>98052</v>
      </c>
      <c r="CG35">
        <v>98076</v>
      </c>
      <c r="CH35">
        <v>98147</v>
      </c>
      <c r="CI35">
        <v>98198</v>
      </c>
      <c r="CJ35">
        <v>98298</v>
      </c>
      <c r="CK35">
        <v>98308</v>
      </c>
      <c r="CL35">
        <v>98346</v>
      </c>
      <c r="CM35">
        <v>98414</v>
      </c>
      <c r="CN35">
        <v>98438</v>
      </c>
      <c r="CO35">
        <v>98472</v>
      </c>
      <c r="CP35">
        <v>98597</v>
      </c>
      <c r="CQ35">
        <v>98606</v>
      </c>
      <c r="CR35">
        <v>98688</v>
      </c>
      <c r="CS35">
        <v>98721</v>
      </c>
      <c r="CT35">
        <v>98746</v>
      </c>
      <c r="CU35">
        <v>98800</v>
      </c>
      <c r="CV35">
        <v>98770</v>
      </c>
      <c r="CW35">
        <v>98842</v>
      </c>
    </row>
    <row r="36" spans="1:101" x14ac:dyDescent="0.25">
      <c r="A36" t="s">
        <v>94</v>
      </c>
      <c r="B36">
        <v>70575</v>
      </c>
      <c r="C36">
        <v>72120</v>
      </c>
      <c r="D36">
        <v>74072</v>
      </c>
      <c r="E36">
        <v>73716</v>
      </c>
      <c r="F36">
        <v>74953</v>
      </c>
      <c r="G36">
        <v>75570</v>
      </c>
      <c r="H36">
        <v>76067</v>
      </c>
      <c r="I36">
        <v>77008</v>
      </c>
      <c r="J36">
        <v>77312</v>
      </c>
      <c r="K36">
        <v>79096</v>
      </c>
      <c r="L36">
        <v>78121</v>
      </c>
      <c r="M36">
        <v>77552</v>
      </c>
      <c r="N36">
        <v>80864</v>
      </c>
      <c r="O36">
        <v>80237</v>
      </c>
      <c r="P36">
        <v>79785</v>
      </c>
      <c r="Q36">
        <v>80243</v>
      </c>
      <c r="R36">
        <v>79821</v>
      </c>
      <c r="S36">
        <v>78672</v>
      </c>
      <c r="T36">
        <v>79269</v>
      </c>
      <c r="U36">
        <v>81940</v>
      </c>
      <c r="V36">
        <v>82530</v>
      </c>
      <c r="W36">
        <v>82203</v>
      </c>
      <c r="X36">
        <v>84586</v>
      </c>
      <c r="Y36">
        <v>85002</v>
      </c>
      <c r="Z36">
        <v>85223</v>
      </c>
      <c r="AA36">
        <v>85644</v>
      </c>
      <c r="AB36">
        <v>86438</v>
      </c>
      <c r="AC36">
        <v>87477</v>
      </c>
      <c r="AD36">
        <v>88259</v>
      </c>
      <c r="AE36">
        <v>89104</v>
      </c>
      <c r="AF36">
        <v>89970</v>
      </c>
      <c r="AG36">
        <v>90327</v>
      </c>
      <c r="AH36">
        <v>90880</v>
      </c>
      <c r="AI36">
        <v>91138</v>
      </c>
      <c r="AJ36">
        <v>91426</v>
      </c>
      <c r="AK36">
        <v>91334</v>
      </c>
      <c r="AL36">
        <v>91458</v>
      </c>
      <c r="AM36">
        <v>91874</v>
      </c>
      <c r="AN36">
        <v>92119</v>
      </c>
      <c r="AO36">
        <v>91250</v>
      </c>
      <c r="AP36">
        <v>91443</v>
      </c>
      <c r="AQ36">
        <v>91273</v>
      </c>
      <c r="AR36">
        <v>90987</v>
      </c>
      <c r="AS36">
        <v>91704</v>
      </c>
      <c r="AT36">
        <v>90239</v>
      </c>
      <c r="AU36">
        <v>89759</v>
      </c>
      <c r="AV36">
        <v>93279</v>
      </c>
      <c r="AW36">
        <v>93972</v>
      </c>
      <c r="AX36">
        <v>94380</v>
      </c>
      <c r="AY36">
        <v>94714</v>
      </c>
      <c r="AZ36">
        <v>94613</v>
      </c>
      <c r="BA36">
        <v>94774</v>
      </c>
      <c r="BB36">
        <v>94967</v>
      </c>
      <c r="BC36">
        <v>95079</v>
      </c>
      <c r="BD36">
        <v>95312</v>
      </c>
      <c r="BE36">
        <v>95135</v>
      </c>
      <c r="BF36">
        <v>95585</v>
      </c>
      <c r="BG36">
        <v>95727</v>
      </c>
      <c r="BH36">
        <v>95801</v>
      </c>
      <c r="BI36">
        <v>95963</v>
      </c>
      <c r="BJ36">
        <v>96004</v>
      </c>
      <c r="BK36">
        <v>96114</v>
      </c>
      <c r="BL36">
        <v>96219</v>
      </c>
      <c r="BM36">
        <v>96443</v>
      </c>
      <c r="BN36">
        <v>96554</v>
      </c>
      <c r="BO36">
        <v>96596</v>
      </c>
      <c r="BP36">
        <v>96770</v>
      </c>
      <c r="BQ36">
        <v>96949</v>
      </c>
      <c r="BR36">
        <v>96850</v>
      </c>
      <c r="BS36">
        <v>96951</v>
      </c>
      <c r="BT36">
        <v>97055</v>
      </c>
      <c r="BU36">
        <v>97198</v>
      </c>
      <c r="BV36">
        <v>97214</v>
      </c>
      <c r="BW36">
        <v>97336</v>
      </c>
      <c r="BX36">
        <v>97387</v>
      </c>
      <c r="BY36">
        <v>97532</v>
      </c>
      <c r="BZ36">
        <v>97609</v>
      </c>
      <c r="CA36">
        <v>97693</v>
      </c>
      <c r="CB36">
        <v>97729</v>
      </c>
      <c r="CC36">
        <v>97749</v>
      </c>
      <c r="CD36">
        <v>97953</v>
      </c>
      <c r="CE36">
        <v>98032</v>
      </c>
      <c r="CF36">
        <v>98011</v>
      </c>
      <c r="CG36">
        <v>98032</v>
      </c>
      <c r="CH36">
        <v>98106</v>
      </c>
      <c r="CI36">
        <v>98157</v>
      </c>
      <c r="CJ36">
        <v>98255</v>
      </c>
      <c r="CK36">
        <v>98268</v>
      </c>
      <c r="CL36">
        <v>98308</v>
      </c>
      <c r="CM36">
        <v>98368</v>
      </c>
      <c r="CN36">
        <v>98382</v>
      </c>
      <c r="CO36">
        <v>98430</v>
      </c>
      <c r="CP36">
        <v>98556</v>
      </c>
      <c r="CQ36">
        <v>98564</v>
      </c>
      <c r="CR36">
        <v>98648</v>
      </c>
      <c r="CS36">
        <v>98681</v>
      </c>
      <c r="CT36">
        <v>98708</v>
      </c>
      <c r="CU36">
        <v>98761</v>
      </c>
      <c r="CV36">
        <v>98733</v>
      </c>
      <c r="CW36">
        <v>98806</v>
      </c>
    </row>
    <row r="37" spans="1:101" x14ac:dyDescent="0.25">
      <c r="A37" t="s">
        <v>93</v>
      </c>
      <c r="B37">
        <v>70359</v>
      </c>
      <c r="C37">
        <v>71960</v>
      </c>
      <c r="D37">
        <v>73906</v>
      </c>
      <c r="E37">
        <v>73566</v>
      </c>
      <c r="F37">
        <v>74793</v>
      </c>
      <c r="G37">
        <v>75405</v>
      </c>
      <c r="H37">
        <v>75907</v>
      </c>
      <c r="I37">
        <v>76875</v>
      </c>
      <c r="J37">
        <v>77179</v>
      </c>
      <c r="K37">
        <v>78926</v>
      </c>
      <c r="L37">
        <v>78000</v>
      </c>
      <c r="M37">
        <v>77255</v>
      </c>
      <c r="N37">
        <v>80654</v>
      </c>
      <c r="O37">
        <v>79990</v>
      </c>
      <c r="P37">
        <v>79487</v>
      </c>
      <c r="Q37">
        <v>79807</v>
      </c>
      <c r="R37">
        <v>79025</v>
      </c>
      <c r="S37">
        <v>78502</v>
      </c>
      <c r="T37">
        <v>79125</v>
      </c>
      <c r="U37">
        <v>81827</v>
      </c>
      <c r="V37">
        <v>82397</v>
      </c>
      <c r="W37">
        <v>82097</v>
      </c>
      <c r="X37">
        <v>84470</v>
      </c>
      <c r="Y37">
        <v>84898</v>
      </c>
      <c r="Z37">
        <v>85148</v>
      </c>
      <c r="AA37">
        <v>85558</v>
      </c>
      <c r="AB37">
        <v>86359</v>
      </c>
      <c r="AC37">
        <v>87392</v>
      </c>
      <c r="AD37">
        <v>88172</v>
      </c>
      <c r="AE37">
        <v>89016</v>
      </c>
      <c r="AF37">
        <v>89872</v>
      </c>
      <c r="AG37">
        <v>90231</v>
      </c>
      <c r="AH37">
        <v>90790</v>
      </c>
      <c r="AI37">
        <v>91037</v>
      </c>
      <c r="AJ37">
        <v>91347</v>
      </c>
      <c r="AK37">
        <v>91237</v>
      </c>
      <c r="AL37">
        <v>91367</v>
      </c>
      <c r="AM37">
        <v>91786</v>
      </c>
      <c r="AN37">
        <v>92035</v>
      </c>
      <c r="AO37">
        <v>91141</v>
      </c>
      <c r="AP37">
        <v>91366</v>
      </c>
      <c r="AQ37">
        <v>91173</v>
      </c>
      <c r="AR37">
        <v>90911</v>
      </c>
      <c r="AS37">
        <v>91616</v>
      </c>
      <c r="AT37">
        <v>90163</v>
      </c>
      <c r="AU37">
        <v>89693</v>
      </c>
      <c r="AV37">
        <v>93208</v>
      </c>
      <c r="AW37">
        <v>93889</v>
      </c>
      <c r="AX37">
        <v>94300</v>
      </c>
      <c r="AY37">
        <v>94636</v>
      </c>
      <c r="AZ37">
        <v>94536</v>
      </c>
      <c r="BA37">
        <v>94703</v>
      </c>
      <c r="BB37">
        <v>94891</v>
      </c>
      <c r="BC37">
        <v>94986</v>
      </c>
      <c r="BD37">
        <v>95234</v>
      </c>
      <c r="BE37">
        <v>95046</v>
      </c>
      <c r="BF37">
        <v>95503</v>
      </c>
      <c r="BG37">
        <v>95659</v>
      </c>
      <c r="BH37">
        <v>95737</v>
      </c>
      <c r="BI37">
        <v>95896</v>
      </c>
      <c r="BJ37">
        <v>95929</v>
      </c>
      <c r="BK37">
        <v>96043</v>
      </c>
      <c r="BL37">
        <v>96146</v>
      </c>
      <c r="BM37">
        <v>96370</v>
      </c>
      <c r="BN37">
        <v>96471</v>
      </c>
      <c r="BO37">
        <v>96520</v>
      </c>
      <c r="BP37">
        <v>96706</v>
      </c>
      <c r="BQ37">
        <v>96878</v>
      </c>
      <c r="BR37">
        <v>96794</v>
      </c>
      <c r="BS37">
        <v>96889</v>
      </c>
      <c r="BT37">
        <v>96995</v>
      </c>
      <c r="BU37">
        <v>97143</v>
      </c>
      <c r="BV37">
        <v>97147</v>
      </c>
      <c r="BW37">
        <v>97278</v>
      </c>
      <c r="BX37">
        <v>97323</v>
      </c>
      <c r="BY37">
        <v>97461</v>
      </c>
      <c r="BZ37">
        <v>97554</v>
      </c>
      <c r="CA37">
        <v>97646</v>
      </c>
      <c r="CB37">
        <v>97679</v>
      </c>
      <c r="CC37">
        <v>97700</v>
      </c>
      <c r="CD37">
        <v>97909</v>
      </c>
      <c r="CE37">
        <v>97999</v>
      </c>
      <c r="CF37">
        <v>97961</v>
      </c>
      <c r="CG37">
        <v>97986</v>
      </c>
      <c r="CH37">
        <v>98049</v>
      </c>
      <c r="CI37">
        <v>98117</v>
      </c>
      <c r="CJ37">
        <v>98215</v>
      </c>
      <c r="CK37">
        <v>98225</v>
      </c>
      <c r="CL37">
        <v>98253</v>
      </c>
      <c r="CM37">
        <v>98323</v>
      </c>
      <c r="CN37">
        <v>98350</v>
      </c>
      <c r="CO37">
        <v>98387</v>
      </c>
      <c r="CP37">
        <v>98513</v>
      </c>
      <c r="CQ37">
        <v>98523</v>
      </c>
      <c r="CR37">
        <v>98606</v>
      </c>
      <c r="CS37">
        <v>98641</v>
      </c>
      <c r="CT37">
        <v>98668</v>
      </c>
      <c r="CU37">
        <v>98722</v>
      </c>
      <c r="CV37">
        <v>98694</v>
      </c>
      <c r="CW37">
        <v>98768</v>
      </c>
    </row>
    <row r="38" spans="1:101" x14ac:dyDescent="0.25">
      <c r="A38" t="s">
        <v>92</v>
      </c>
      <c r="B38">
        <v>70189</v>
      </c>
      <c r="C38">
        <v>71781</v>
      </c>
      <c r="D38">
        <v>73743</v>
      </c>
      <c r="E38">
        <v>73396</v>
      </c>
      <c r="F38">
        <v>74615</v>
      </c>
      <c r="G38">
        <v>75248</v>
      </c>
      <c r="H38">
        <v>75731</v>
      </c>
      <c r="I38">
        <v>76720</v>
      </c>
      <c r="J38">
        <v>77030</v>
      </c>
      <c r="K38">
        <v>78781</v>
      </c>
      <c r="L38">
        <v>77722</v>
      </c>
      <c r="M38">
        <v>77017</v>
      </c>
      <c r="N38">
        <v>80406</v>
      </c>
      <c r="O38">
        <v>79678</v>
      </c>
      <c r="P38">
        <v>79016</v>
      </c>
      <c r="Q38">
        <v>79019</v>
      </c>
      <c r="R38">
        <v>78879</v>
      </c>
      <c r="S38">
        <v>78342</v>
      </c>
      <c r="T38">
        <v>79007</v>
      </c>
      <c r="U38">
        <v>81686</v>
      </c>
      <c r="V38">
        <v>82286</v>
      </c>
      <c r="W38">
        <v>82004</v>
      </c>
      <c r="X38">
        <v>84380</v>
      </c>
      <c r="Y38">
        <v>84783</v>
      </c>
      <c r="Z38">
        <v>85056</v>
      </c>
      <c r="AA38">
        <v>85466</v>
      </c>
      <c r="AB38">
        <v>86264</v>
      </c>
      <c r="AC38">
        <v>87306</v>
      </c>
      <c r="AD38">
        <v>88083</v>
      </c>
      <c r="AE38">
        <v>88908</v>
      </c>
      <c r="AF38">
        <v>89789</v>
      </c>
      <c r="AG38">
        <v>90141</v>
      </c>
      <c r="AH38">
        <v>90700</v>
      </c>
      <c r="AI38">
        <v>90948</v>
      </c>
      <c r="AJ38">
        <v>91256</v>
      </c>
      <c r="AK38">
        <v>91146</v>
      </c>
      <c r="AL38">
        <v>91265</v>
      </c>
      <c r="AM38">
        <v>91694</v>
      </c>
      <c r="AN38">
        <v>91925</v>
      </c>
      <c r="AO38">
        <v>91046</v>
      </c>
      <c r="AP38">
        <v>91277</v>
      </c>
      <c r="AQ38">
        <v>91072</v>
      </c>
      <c r="AR38">
        <v>90816</v>
      </c>
      <c r="AS38">
        <v>91508</v>
      </c>
      <c r="AT38">
        <v>90104</v>
      </c>
      <c r="AU38">
        <v>89602</v>
      </c>
      <c r="AV38">
        <v>93131</v>
      </c>
      <c r="AW38">
        <v>93823</v>
      </c>
      <c r="AX38">
        <v>94240</v>
      </c>
      <c r="AY38">
        <v>94555</v>
      </c>
      <c r="AZ38">
        <v>94455</v>
      </c>
      <c r="BA38">
        <v>94622</v>
      </c>
      <c r="BB38">
        <v>94813</v>
      </c>
      <c r="BC38">
        <v>94915</v>
      </c>
      <c r="BD38">
        <v>95144</v>
      </c>
      <c r="BE38">
        <v>94965</v>
      </c>
      <c r="BF38">
        <v>95429</v>
      </c>
      <c r="BG38">
        <v>95585</v>
      </c>
      <c r="BH38">
        <v>95662</v>
      </c>
      <c r="BI38">
        <v>95824</v>
      </c>
      <c r="BJ38">
        <v>95845</v>
      </c>
      <c r="BK38">
        <v>95970</v>
      </c>
      <c r="BL38">
        <v>96072</v>
      </c>
      <c r="BM38">
        <v>96287</v>
      </c>
      <c r="BN38">
        <v>96396</v>
      </c>
      <c r="BO38">
        <v>96445</v>
      </c>
      <c r="BP38">
        <v>96628</v>
      </c>
      <c r="BQ38">
        <v>96805</v>
      </c>
      <c r="BR38">
        <v>96733</v>
      </c>
      <c r="BS38">
        <v>96823</v>
      </c>
      <c r="BT38">
        <v>96930</v>
      </c>
      <c r="BU38">
        <v>97077</v>
      </c>
      <c r="BV38">
        <v>97070</v>
      </c>
      <c r="BW38">
        <v>97213</v>
      </c>
      <c r="BX38">
        <v>97262</v>
      </c>
      <c r="BY38">
        <v>97402</v>
      </c>
      <c r="BZ38">
        <v>97493</v>
      </c>
      <c r="CA38">
        <v>97578</v>
      </c>
      <c r="CB38">
        <v>97615</v>
      </c>
      <c r="CC38">
        <v>97650</v>
      </c>
      <c r="CD38">
        <v>97862</v>
      </c>
      <c r="CE38">
        <v>97945</v>
      </c>
      <c r="CF38">
        <v>97908</v>
      </c>
      <c r="CG38">
        <v>97931</v>
      </c>
      <c r="CH38">
        <v>98005</v>
      </c>
      <c r="CI38">
        <v>98070</v>
      </c>
      <c r="CJ38">
        <v>98172</v>
      </c>
      <c r="CK38">
        <v>98185</v>
      </c>
      <c r="CL38">
        <v>98205</v>
      </c>
      <c r="CM38">
        <v>98272</v>
      </c>
      <c r="CN38">
        <v>98305</v>
      </c>
      <c r="CO38">
        <v>98342</v>
      </c>
      <c r="CP38">
        <v>98470</v>
      </c>
      <c r="CQ38">
        <v>98481</v>
      </c>
      <c r="CR38">
        <v>98564</v>
      </c>
      <c r="CS38">
        <v>98599</v>
      </c>
      <c r="CT38">
        <v>98628</v>
      </c>
      <c r="CU38">
        <v>98682</v>
      </c>
      <c r="CV38">
        <v>98655</v>
      </c>
      <c r="CW38">
        <v>98730</v>
      </c>
    </row>
    <row r="39" spans="1:101" x14ac:dyDescent="0.25">
      <c r="A39" t="s">
        <v>91</v>
      </c>
      <c r="B39">
        <v>70010</v>
      </c>
      <c r="C39">
        <v>71622</v>
      </c>
      <c r="D39">
        <v>73563</v>
      </c>
      <c r="E39">
        <v>73256</v>
      </c>
      <c r="F39">
        <v>74465</v>
      </c>
      <c r="G39">
        <v>75099</v>
      </c>
      <c r="H39">
        <v>75601</v>
      </c>
      <c r="I39">
        <v>76547</v>
      </c>
      <c r="J39">
        <v>76878</v>
      </c>
      <c r="K39">
        <v>78474</v>
      </c>
      <c r="L39">
        <v>77510</v>
      </c>
      <c r="M39">
        <v>76832</v>
      </c>
      <c r="N39">
        <v>80076</v>
      </c>
      <c r="O39">
        <v>79279</v>
      </c>
      <c r="P39">
        <v>78233</v>
      </c>
      <c r="Q39">
        <v>78861</v>
      </c>
      <c r="R39">
        <v>78750</v>
      </c>
      <c r="S39">
        <v>78228</v>
      </c>
      <c r="T39">
        <v>78908</v>
      </c>
      <c r="U39">
        <v>81585</v>
      </c>
      <c r="V39">
        <v>82192</v>
      </c>
      <c r="W39">
        <v>81918</v>
      </c>
      <c r="X39">
        <v>84286</v>
      </c>
      <c r="Y39">
        <v>84673</v>
      </c>
      <c r="Z39">
        <v>84959</v>
      </c>
      <c r="AA39">
        <v>85376</v>
      </c>
      <c r="AB39">
        <v>86164</v>
      </c>
      <c r="AC39">
        <v>87211</v>
      </c>
      <c r="AD39">
        <v>87975</v>
      </c>
      <c r="AE39">
        <v>88806</v>
      </c>
      <c r="AF39">
        <v>89702</v>
      </c>
      <c r="AG39">
        <v>90028</v>
      </c>
      <c r="AH39">
        <v>90607</v>
      </c>
      <c r="AI39">
        <v>90853</v>
      </c>
      <c r="AJ39">
        <v>91170</v>
      </c>
      <c r="AK39">
        <v>91051</v>
      </c>
      <c r="AL39">
        <v>91152</v>
      </c>
      <c r="AM39">
        <v>91593</v>
      </c>
      <c r="AN39">
        <v>91838</v>
      </c>
      <c r="AO39">
        <v>90959</v>
      </c>
      <c r="AP39">
        <v>91176</v>
      </c>
      <c r="AQ39">
        <v>90983</v>
      </c>
      <c r="AR39">
        <v>90731</v>
      </c>
      <c r="AS39">
        <v>91439</v>
      </c>
      <c r="AT39">
        <v>90013</v>
      </c>
      <c r="AU39">
        <v>89514</v>
      </c>
      <c r="AV39">
        <v>93050</v>
      </c>
      <c r="AW39">
        <v>93742</v>
      </c>
      <c r="AX39">
        <v>94153</v>
      </c>
      <c r="AY39">
        <v>94457</v>
      </c>
      <c r="AZ39">
        <v>94364</v>
      </c>
      <c r="BA39">
        <v>94543</v>
      </c>
      <c r="BB39">
        <v>94737</v>
      </c>
      <c r="BC39">
        <v>94846</v>
      </c>
      <c r="BD39">
        <v>95072</v>
      </c>
      <c r="BE39">
        <v>94892</v>
      </c>
      <c r="BF39">
        <v>95364</v>
      </c>
      <c r="BG39">
        <v>95512</v>
      </c>
      <c r="BH39">
        <v>95599</v>
      </c>
      <c r="BI39">
        <v>95743</v>
      </c>
      <c r="BJ39">
        <v>95756</v>
      </c>
      <c r="BK39">
        <v>95876</v>
      </c>
      <c r="BL39">
        <v>95995</v>
      </c>
      <c r="BM39">
        <v>96218</v>
      </c>
      <c r="BN39">
        <v>96320</v>
      </c>
      <c r="BO39">
        <v>96368</v>
      </c>
      <c r="BP39">
        <v>96555</v>
      </c>
      <c r="BQ39">
        <v>96732</v>
      </c>
      <c r="BR39">
        <v>96665</v>
      </c>
      <c r="BS39">
        <v>96755</v>
      </c>
      <c r="BT39">
        <v>96849</v>
      </c>
      <c r="BU39">
        <v>97014</v>
      </c>
      <c r="BV39">
        <v>97004</v>
      </c>
      <c r="BW39">
        <v>97150</v>
      </c>
      <c r="BX39">
        <v>97209</v>
      </c>
      <c r="BY39">
        <v>97343</v>
      </c>
      <c r="BZ39">
        <v>97434</v>
      </c>
      <c r="CA39">
        <v>97528</v>
      </c>
      <c r="CB39">
        <v>97571</v>
      </c>
      <c r="CC39">
        <v>97597</v>
      </c>
      <c r="CD39">
        <v>97822</v>
      </c>
      <c r="CE39">
        <v>97902</v>
      </c>
      <c r="CF39">
        <v>97865</v>
      </c>
      <c r="CG39">
        <v>97871</v>
      </c>
      <c r="CH39">
        <v>97954</v>
      </c>
      <c r="CI39">
        <v>98017</v>
      </c>
      <c r="CJ39">
        <v>98137</v>
      </c>
      <c r="CK39">
        <v>98121</v>
      </c>
      <c r="CL39">
        <v>98166</v>
      </c>
      <c r="CM39">
        <v>98224</v>
      </c>
      <c r="CN39">
        <v>98259</v>
      </c>
      <c r="CO39">
        <v>98297</v>
      </c>
      <c r="CP39">
        <v>98426</v>
      </c>
      <c r="CQ39">
        <v>98436</v>
      </c>
      <c r="CR39">
        <v>98520</v>
      </c>
      <c r="CS39">
        <v>98557</v>
      </c>
      <c r="CT39">
        <v>98586</v>
      </c>
      <c r="CU39">
        <v>98641</v>
      </c>
      <c r="CV39">
        <v>98614</v>
      </c>
      <c r="CW39">
        <v>98690</v>
      </c>
    </row>
    <row r="40" spans="1:101" x14ac:dyDescent="0.25">
      <c r="A40" t="s">
        <v>90</v>
      </c>
      <c r="B40">
        <v>69856</v>
      </c>
      <c r="C40">
        <v>71458</v>
      </c>
      <c r="D40">
        <v>73397</v>
      </c>
      <c r="E40">
        <v>73112</v>
      </c>
      <c r="F40">
        <v>74302</v>
      </c>
      <c r="G40">
        <v>74936</v>
      </c>
      <c r="H40">
        <v>75466</v>
      </c>
      <c r="I40">
        <v>76395</v>
      </c>
      <c r="J40">
        <v>76583</v>
      </c>
      <c r="K40">
        <v>78244</v>
      </c>
      <c r="L40">
        <v>77269</v>
      </c>
      <c r="M40">
        <v>76551</v>
      </c>
      <c r="N40">
        <v>79699</v>
      </c>
      <c r="O40">
        <v>78565</v>
      </c>
      <c r="P40">
        <v>78061</v>
      </c>
      <c r="Q40">
        <v>78711</v>
      </c>
      <c r="R40">
        <v>78628</v>
      </c>
      <c r="S40">
        <v>78100</v>
      </c>
      <c r="T40">
        <v>78806</v>
      </c>
      <c r="U40">
        <v>81485</v>
      </c>
      <c r="V40">
        <v>82086</v>
      </c>
      <c r="W40">
        <v>81806</v>
      </c>
      <c r="X40">
        <v>84180</v>
      </c>
      <c r="Y40">
        <v>84577</v>
      </c>
      <c r="Z40">
        <v>84871</v>
      </c>
      <c r="AA40">
        <v>85287</v>
      </c>
      <c r="AB40">
        <v>86053</v>
      </c>
      <c r="AC40">
        <v>87106</v>
      </c>
      <c r="AD40">
        <v>87888</v>
      </c>
      <c r="AE40">
        <v>88701</v>
      </c>
      <c r="AF40">
        <v>89614</v>
      </c>
      <c r="AG40">
        <v>89935</v>
      </c>
      <c r="AH40">
        <v>90504</v>
      </c>
      <c r="AI40">
        <v>90765</v>
      </c>
      <c r="AJ40">
        <v>91077</v>
      </c>
      <c r="AK40">
        <v>90971</v>
      </c>
      <c r="AL40">
        <v>91057</v>
      </c>
      <c r="AM40">
        <v>91490</v>
      </c>
      <c r="AN40">
        <v>91731</v>
      </c>
      <c r="AO40">
        <v>90851</v>
      </c>
      <c r="AP40">
        <v>91082</v>
      </c>
      <c r="AQ40">
        <v>90897</v>
      </c>
      <c r="AR40">
        <v>90655</v>
      </c>
      <c r="AS40">
        <v>91365</v>
      </c>
      <c r="AT40">
        <v>89930</v>
      </c>
      <c r="AU40">
        <v>89431</v>
      </c>
      <c r="AV40">
        <v>92976</v>
      </c>
      <c r="AW40">
        <v>93671</v>
      </c>
      <c r="AX40">
        <v>94079</v>
      </c>
      <c r="AY40">
        <v>94361</v>
      </c>
      <c r="AZ40">
        <v>94290</v>
      </c>
      <c r="BA40">
        <v>94456</v>
      </c>
      <c r="BB40">
        <v>94646</v>
      </c>
      <c r="BC40">
        <v>94768</v>
      </c>
      <c r="BD40">
        <v>94988</v>
      </c>
      <c r="BE40">
        <v>94819</v>
      </c>
      <c r="BF40">
        <v>95278</v>
      </c>
      <c r="BG40">
        <v>95425</v>
      </c>
      <c r="BH40">
        <v>95520</v>
      </c>
      <c r="BI40">
        <v>95648</v>
      </c>
      <c r="BJ40">
        <v>95667</v>
      </c>
      <c r="BK40">
        <v>95797</v>
      </c>
      <c r="BL40">
        <v>95901</v>
      </c>
      <c r="BM40">
        <v>96137</v>
      </c>
      <c r="BN40">
        <v>96246</v>
      </c>
      <c r="BO40">
        <v>96290</v>
      </c>
      <c r="BP40">
        <v>96483</v>
      </c>
      <c r="BQ40">
        <v>96652</v>
      </c>
      <c r="BR40">
        <v>96595</v>
      </c>
      <c r="BS40">
        <v>96681</v>
      </c>
      <c r="BT40">
        <v>96781</v>
      </c>
      <c r="BU40">
        <v>96944</v>
      </c>
      <c r="BV40">
        <v>96940</v>
      </c>
      <c r="BW40">
        <v>97094</v>
      </c>
      <c r="BX40">
        <v>97151</v>
      </c>
      <c r="BY40">
        <v>97291</v>
      </c>
      <c r="BZ40">
        <v>97368</v>
      </c>
      <c r="CA40">
        <v>97478</v>
      </c>
      <c r="CB40">
        <v>97521</v>
      </c>
      <c r="CC40">
        <v>97539</v>
      </c>
      <c r="CD40">
        <v>97761</v>
      </c>
      <c r="CE40">
        <v>97857</v>
      </c>
      <c r="CF40">
        <v>97813</v>
      </c>
      <c r="CG40">
        <v>97820</v>
      </c>
      <c r="CH40">
        <v>97902</v>
      </c>
      <c r="CI40">
        <v>97962</v>
      </c>
      <c r="CJ40">
        <v>98090</v>
      </c>
      <c r="CK40">
        <v>98071</v>
      </c>
      <c r="CL40">
        <v>98116</v>
      </c>
      <c r="CM40">
        <v>98175</v>
      </c>
      <c r="CN40">
        <v>98212</v>
      </c>
      <c r="CO40">
        <v>98251</v>
      </c>
      <c r="CP40">
        <v>98379</v>
      </c>
      <c r="CQ40">
        <v>98391</v>
      </c>
      <c r="CR40">
        <v>98476</v>
      </c>
      <c r="CS40">
        <v>98514</v>
      </c>
      <c r="CT40">
        <v>98543</v>
      </c>
      <c r="CU40">
        <v>98599</v>
      </c>
      <c r="CV40">
        <v>98573</v>
      </c>
      <c r="CW40">
        <v>98650</v>
      </c>
    </row>
    <row r="41" spans="1:101" x14ac:dyDescent="0.25">
      <c r="A41" t="s">
        <v>89</v>
      </c>
      <c r="B41">
        <v>69657</v>
      </c>
      <c r="C41">
        <v>71323</v>
      </c>
      <c r="D41">
        <v>73237</v>
      </c>
      <c r="E41">
        <v>72943</v>
      </c>
      <c r="F41">
        <v>74132</v>
      </c>
      <c r="G41">
        <v>74760</v>
      </c>
      <c r="H41">
        <v>75319</v>
      </c>
      <c r="I41">
        <v>76107</v>
      </c>
      <c r="J41">
        <v>76362</v>
      </c>
      <c r="K41">
        <v>78016</v>
      </c>
      <c r="L41">
        <v>76962</v>
      </c>
      <c r="M41">
        <v>76168</v>
      </c>
      <c r="N41">
        <v>78950</v>
      </c>
      <c r="O41">
        <v>78407</v>
      </c>
      <c r="P41">
        <v>77917</v>
      </c>
      <c r="Q41">
        <v>78567</v>
      </c>
      <c r="R41">
        <v>78513</v>
      </c>
      <c r="S41">
        <v>78007</v>
      </c>
      <c r="T41">
        <v>78704</v>
      </c>
      <c r="U41">
        <v>81371</v>
      </c>
      <c r="V41">
        <v>81972</v>
      </c>
      <c r="W41">
        <v>81706</v>
      </c>
      <c r="X41">
        <v>84088</v>
      </c>
      <c r="Y41">
        <v>84483</v>
      </c>
      <c r="Z41">
        <v>84773</v>
      </c>
      <c r="AA41">
        <v>85192</v>
      </c>
      <c r="AB41">
        <v>85961</v>
      </c>
      <c r="AC41">
        <v>87032</v>
      </c>
      <c r="AD41">
        <v>87800</v>
      </c>
      <c r="AE41">
        <v>88586</v>
      </c>
      <c r="AF41">
        <v>89512</v>
      </c>
      <c r="AG41">
        <v>89831</v>
      </c>
      <c r="AH41">
        <v>90418</v>
      </c>
      <c r="AI41">
        <v>90674</v>
      </c>
      <c r="AJ41">
        <v>90969</v>
      </c>
      <c r="AK41">
        <v>90871</v>
      </c>
      <c r="AL41">
        <v>90961</v>
      </c>
      <c r="AM41">
        <v>91376</v>
      </c>
      <c r="AN41">
        <v>91639</v>
      </c>
      <c r="AO41">
        <v>90733</v>
      </c>
      <c r="AP41">
        <v>90971</v>
      </c>
      <c r="AQ41">
        <v>90800</v>
      </c>
      <c r="AR41">
        <v>90567</v>
      </c>
      <c r="AS41">
        <v>91267</v>
      </c>
      <c r="AT41">
        <v>89844</v>
      </c>
      <c r="AU41">
        <v>89345</v>
      </c>
      <c r="AV41">
        <v>92885</v>
      </c>
      <c r="AW41">
        <v>93585</v>
      </c>
      <c r="AX41">
        <v>94004</v>
      </c>
      <c r="AY41">
        <v>94286</v>
      </c>
      <c r="AZ41">
        <v>94197</v>
      </c>
      <c r="BA41">
        <v>94372</v>
      </c>
      <c r="BB41">
        <v>94557</v>
      </c>
      <c r="BC41">
        <v>94690</v>
      </c>
      <c r="BD41">
        <v>94898</v>
      </c>
      <c r="BE41">
        <v>94733</v>
      </c>
      <c r="BF41">
        <v>95187</v>
      </c>
      <c r="BG41">
        <v>95338</v>
      </c>
      <c r="BH41">
        <v>95451</v>
      </c>
      <c r="BI41">
        <v>95559</v>
      </c>
      <c r="BJ41">
        <v>95574</v>
      </c>
      <c r="BK41">
        <v>95711</v>
      </c>
      <c r="BL41">
        <v>95809</v>
      </c>
      <c r="BM41">
        <v>96056</v>
      </c>
      <c r="BN41">
        <v>96156</v>
      </c>
      <c r="BO41">
        <v>96211</v>
      </c>
      <c r="BP41">
        <v>96412</v>
      </c>
      <c r="BQ41">
        <v>96578</v>
      </c>
      <c r="BR41">
        <v>96531</v>
      </c>
      <c r="BS41">
        <v>96596</v>
      </c>
      <c r="BT41">
        <v>96730</v>
      </c>
      <c r="BU41">
        <v>96889</v>
      </c>
      <c r="BV41">
        <v>96881</v>
      </c>
      <c r="BW41">
        <v>97030</v>
      </c>
      <c r="BX41">
        <v>97087</v>
      </c>
      <c r="BY41">
        <v>97230</v>
      </c>
      <c r="BZ41">
        <v>97309</v>
      </c>
      <c r="CA41">
        <v>97416</v>
      </c>
      <c r="CB41">
        <v>97474</v>
      </c>
      <c r="CC41">
        <v>97464</v>
      </c>
      <c r="CD41">
        <v>97724</v>
      </c>
      <c r="CE41">
        <v>97797</v>
      </c>
      <c r="CF41">
        <v>97753</v>
      </c>
      <c r="CG41">
        <v>97752</v>
      </c>
      <c r="CH41">
        <v>97829</v>
      </c>
      <c r="CI41">
        <v>97909</v>
      </c>
      <c r="CJ41">
        <v>98043</v>
      </c>
      <c r="CK41">
        <v>98018</v>
      </c>
      <c r="CL41">
        <v>98065</v>
      </c>
      <c r="CM41">
        <v>98125</v>
      </c>
      <c r="CN41">
        <v>98162</v>
      </c>
      <c r="CO41">
        <v>98203</v>
      </c>
      <c r="CP41">
        <v>98331</v>
      </c>
      <c r="CQ41">
        <v>98344</v>
      </c>
      <c r="CR41">
        <v>98430</v>
      </c>
      <c r="CS41">
        <v>98468</v>
      </c>
      <c r="CT41">
        <v>98499</v>
      </c>
      <c r="CU41">
        <v>98554</v>
      </c>
      <c r="CV41">
        <v>98529</v>
      </c>
      <c r="CW41">
        <v>98607</v>
      </c>
    </row>
    <row r="42" spans="1:101" x14ac:dyDescent="0.25">
      <c r="A42" t="s">
        <v>88</v>
      </c>
      <c r="B42">
        <v>69489</v>
      </c>
      <c r="C42">
        <v>71139</v>
      </c>
      <c r="D42">
        <v>73056</v>
      </c>
      <c r="E42">
        <v>72768</v>
      </c>
      <c r="F42">
        <v>73930</v>
      </c>
      <c r="G42">
        <v>74569</v>
      </c>
      <c r="H42">
        <v>75027</v>
      </c>
      <c r="I42">
        <v>75855</v>
      </c>
      <c r="J42">
        <v>76126</v>
      </c>
      <c r="K42">
        <v>77743</v>
      </c>
      <c r="L42">
        <v>76576</v>
      </c>
      <c r="M42">
        <v>75443</v>
      </c>
      <c r="N42">
        <v>78784</v>
      </c>
      <c r="O42">
        <v>78253</v>
      </c>
      <c r="P42">
        <v>77807</v>
      </c>
      <c r="Q42">
        <v>78435</v>
      </c>
      <c r="R42">
        <v>78417</v>
      </c>
      <c r="S42">
        <v>77873</v>
      </c>
      <c r="T42">
        <v>78589</v>
      </c>
      <c r="U42">
        <v>81271</v>
      </c>
      <c r="V42">
        <v>81856</v>
      </c>
      <c r="W42">
        <v>81603</v>
      </c>
      <c r="X42">
        <v>84008</v>
      </c>
      <c r="Y42">
        <v>84364</v>
      </c>
      <c r="Z42">
        <v>84681</v>
      </c>
      <c r="AA42">
        <v>85086</v>
      </c>
      <c r="AB42">
        <v>85863</v>
      </c>
      <c r="AC42">
        <v>86943</v>
      </c>
      <c r="AD42">
        <v>87697</v>
      </c>
      <c r="AE42">
        <v>88463</v>
      </c>
      <c r="AF42">
        <v>89409</v>
      </c>
      <c r="AG42">
        <v>89709</v>
      </c>
      <c r="AH42">
        <v>90318</v>
      </c>
      <c r="AI42">
        <v>90534</v>
      </c>
      <c r="AJ42">
        <v>90836</v>
      </c>
      <c r="AK42">
        <v>90770</v>
      </c>
      <c r="AL42">
        <v>90857</v>
      </c>
      <c r="AM42">
        <v>91278</v>
      </c>
      <c r="AN42">
        <v>91541</v>
      </c>
      <c r="AO42">
        <v>90610</v>
      </c>
      <c r="AP42">
        <v>90880</v>
      </c>
      <c r="AQ42">
        <v>90692</v>
      </c>
      <c r="AR42">
        <v>90469</v>
      </c>
      <c r="AS42">
        <v>91176</v>
      </c>
      <c r="AT42">
        <v>89744</v>
      </c>
      <c r="AU42">
        <v>89266</v>
      </c>
      <c r="AV42">
        <v>92801</v>
      </c>
      <c r="AW42">
        <v>93493</v>
      </c>
      <c r="AX42">
        <v>93926</v>
      </c>
      <c r="AY42">
        <v>94192</v>
      </c>
      <c r="AZ42">
        <v>94111</v>
      </c>
      <c r="BA42">
        <v>94277</v>
      </c>
      <c r="BB42">
        <v>94471</v>
      </c>
      <c r="BC42">
        <v>94598</v>
      </c>
      <c r="BD42">
        <v>94805</v>
      </c>
      <c r="BE42">
        <v>94656</v>
      </c>
      <c r="BF42">
        <v>95087</v>
      </c>
      <c r="BG42">
        <v>95241</v>
      </c>
      <c r="BH42">
        <v>95362</v>
      </c>
      <c r="BI42">
        <v>95447</v>
      </c>
      <c r="BJ42">
        <v>95474</v>
      </c>
      <c r="BK42">
        <v>95610</v>
      </c>
      <c r="BL42">
        <v>95738</v>
      </c>
      <c r="BM42">
        <v>95978</v>
      </c>
      <c r="BN42">
        <v>96065</v>
      </c>
      <c r="BO42">
        <v>96138</v>
      </c>
      <c r="BP42">
        <v>96336</v>
      </c>
      <c r="BQ42">
        <v>96497</v>
      </c>
      <c r="BR42">
        <v>96461</v>
      </c>
      <c r="BS42">
        <v>96503</v>
      </c>
      <c r="BT42">
        <v>96659</v>
      </c>
      <c r="BU42">
        <v>96824</v>
      </c>
      <c r="BV42">
        <v>96816</v>
      </c>
      <c r="BW42">
        <v>96975</v>
      </c>
      <c r="BX42">
        <v>97023</v>
      </c>
      <c r="BY42">
        <v>97168</v>
      </c>
      <c r="BZ42">
        <v>97242</v>
      </c>
      <c r="CA42">
        <v>97350</v>
      </c>
      <c r="CB42">
        <v>97414</v>
      </c>
      <c r="CC42">
        <v>97413</v>
      </c>
      <c r="CD42">
        <v>97668</v>
      </c>
      <c r="CE42">
        <v>97745</v>
      </c>
      <c r="CF42">
        <v>97699</v>
      </c>
      <c r="CG42">
        <v>97706</v>
      </c>
      <c r="CH42">
        <v>97780</v>
      </c>
      <c r="CI42">
        <v>97850</v>
      </c>
      <c r="CJ42">
        <v>97986</v>
      </c>
      <c r="CK42">
        <v>97963</v>
      </c>
      <c r="CL42">
        <v>98011</v>
      </c>
      <c r="CM42">
        <v>98072</v>
      </c>
      <c r="CN42">
        <v>98110</v>
      </c>
      <c r="CO42">
        <v>98152</v>
      </c>
      <c r="CP42">
        <v>98281</v>
      </c>
      <c r="CQ42">
        <v>98295</v>
      </c>
      <c r="CR42">
        <v>98382</v>
      </c>
      <c r="CS42">
        <v>98420</v>
      </c>
      <c r="CT42">
        <v>98451</v>
      </c>
      <c r="CU42">
        <v>98508</v>
      </c>
      <c r="CV42">
        <v>98484</v>
      </c>
      <c r="CW42">
        <v>98562</v>
      </c>
    </row>
    <row r="43" spans="1:101" x14ac:dyDescent="0.25">
      <c r="A43" t="s">
        <v>87</v>
      </c>
      <c r="B43">
        <v>69295</v>
      </c>
      <c r="C43">
        <v>70955</v>
      </c>
      <c r="D43">
        <v>72883</v>
      </c>
      <c r="E43">
        <v>72607</v>
      </c>
      <c r="F43">
        <v>73793</v>
      </c>
      <c r="G43">
        <v>74250</v>
      </c>
      <c r="H43">
        <v>74792</v>
      </c>
      <c r="I43">
        <v>75602</v>
      </c>
      <c r="J43">
        <v>75834</v>
      </c>
      <c r="K43">
        <v>77318</v>
      </c>
      <c r="L43">
        <v>75886</v>
      </c>
      <c r="M43">
        <v>75272</v>
      </c>
      <c r="N43">
        <v>78607</v>
      </c>
      <c r="O43">
        <v>78113</v>
      </c>
      <c r="P43">
        <v>77656</v>
      </c>
      <c r="Q43">
        <v>78309</v>
      </c>
      <c r="R43">
        <v>78300</v>
      </c>
      <c r="S43">
        <v>77763</v>
      </c>
      <c r="T43">
        <v>78467</v>
      </c>
      <c r="U43">
        <v>81173</v>
      </c>
      <c r="V43">
        <v>81755</v>
      </c>
      <c r="W43">
        <v>81486</v>
      </c>
      <c r="X43">
        <v>83921</v>
      </c>
      <c r="Y43">
        <v>84255</v>
      </c>
      <c r="Z43">
        <v>84574</v>
      </c>
      <c r="AA43">
        <v>84965</v>
      </c>
      <c r="AB43">
        <v>85749</v>
      </c>
      <c r="AC43">
        <v>86817</v>
      </c>
      <c r="AD43">
        <v>87608</v>
      </c>
      <c r="AE43">
        <v>88346</v>
      </c>
      <c r="AF43">
        <v>89290</v>
      </c>
      <c r="AG43">
        <v>89596</v>
      </c>
      <c r="AH43">
        <v>90208</v>
      </c>
      <c r="AI43">
        <v>90426</v>
      </c>
      <c r="AJ43">
        <v>90732</v>
      </c>
      <c r="AK43">
        <v>90677</v>
      </c>
      <c r="AL43">
        <v>90770</v>
      </c>
      <c r="AM43">
        <v>91168</v>
      </c>
      <c r="AN43">
        <v>91434</v>
      </c>
      <c r="AO43">
        <v>90513</v>
      </c>
      <c r="AP43">
        <v>90790</v>
      </c>
      <c r="AQ43">
        <v>90593</v>
      </c>
      <c r="AR43">
        <v>90367</v>
      </c>
      <c r="AS43">
        <v>91072</v>
      </c>
      <c r="AT43">
        <v>89649</v>
      </c>
      <c r="AU43">
        <v>89183</v>
      </c>
      <c r="AV43">
        <v>92715</v>
      </c>
      <c r="AW43">
        <v>93393</v>
      </c>
      <c r="AX43">
        <v>93824</v>
      </c>
      <c r="AY43">
        <v>94090</v>
      </c>
      <c r="AZ43">
        <v>94006</v>
      </c>
      <c r="BA43">
        <v>94194</v>
      </c>
      <c r="BB43">
        <v>94374</v>
      </c>
      <c r="BC43">
        <v>94503</v>
      </c>
      <c r="BD43">
        <v>94707</v>
      </c>
      <c r="BE43">
        <v>94560</v>
      </c>
      <c r="BF43">
        <v>94991</v>
      </c>
      <c r="BG43">
        <v>95135</v>
      </c>
      <c r="BH43">
        <v>95263</v>
      </c>
      <c r="BI43">
        <v>95350</v>
      </c>
      <c r="BJ43">
        <v>95360</v>
      </c>
      <c r="BK43">
        <v>95496</v>
      </c>
      <c r="BL43">
        <v>95656</v>
      </c>
      <c r="BM43">
        <v>95912</v>
      </c>
      <c r="BN43">
        <v>95979</v>
      </c>
      <c r="BO43">
        <v>96063</v>
      </c>
      <c r="BP43">
        <v>96254</v>
      </c>
      <c r="BQ43">
        <v>96413</v>
      </c>
      <c r="BR43">
        <v>96383</v>
      </c>
      <c r="BS43">
        <v>96426</v>
      </c>
      <c r="BT43">
        <v>96583</v>
      </c>
      <c r="BU43">
        <v>96764</v>
      </c>
      <c r="BV43">
        <v>96742</v>
      </c>
      <c r="BW43">
        <v>96908</v>
      </c>
      <c r="BX43">
        <v>96967</v>
      </c>
      <c r="BY43">
        <v>97105</v>
      </c>
      <c r="BZ43">
        <v>97188</v>
      </c>
      <c r="CA43">
        <v>97285</v>
      </c>
      <c r="CB43">
        <v>97351</v>
      </c>
      <c r="CC43">
        <v>97342</v>
      </c>
      <c r="CD43">
        <v>97609</v>
      </c>
      <c r="CE43">
        <v>97679</v>
      </c>
      <c r="CF43">
        <v>97654</v>
      </c>
      <c r="CG43">
        <v>97642</v>
      </c>
      <c r="CH43">
        <v>97714</v>
      </c>
      <c r="CI43">
        <v>97789</v>
      </c>
      <c r="CJ43">
        <v>97927</v>
      </c>
      <c r="CK43">
        <v>97905</v>
      </c>
      <c r="CL43">
        <v>97954</v>
      </c>
      <c r="CM43">
        <v>98016</v>
      </c>
      <c r="CN43">
        <v>98055</v>
      </c>
      <c r="CO43">
        <v>98098</v>
      </c>
      <c r="CP43">
        <v>98228</v>
      </c>
      <c r="CQ43">
        <v>98242</v>
      </c>
      <c r="CR43">
        <v>98330</v>
      </c>
      <c r="CS43">
        <v>98370</v>
      </c>
      <c r="CT43">
        <v>98401</v>
      </c>
      <c r="CU43">
        <v>98459</v>
      </c>
      <c r="CV43">
        <v>98436</v>
      </c>
      <c r="CW43">
        <v>98515</v>
      </c>
    </row>
    <row r="44" spans="1:101" x14ac:dyDescent="0.25">
      <c r="A44" t="s">
        <v>86</v>
      </c>
      <c r="B44">
        <v>69111</v>
      </c>
      <c r="C44">
        <v>70777</v>
      </c>
      <c r="D44">
        <v>72696</v>
      </c>
      <c r="E44">
        <v>72425</v>
      </c>
      <c r="F44">
        <v>73483</v>
      </c>
      <c r="G44">
        <v>74032</v>
      </c>
      <c r="H44">
        <v>74519</v>
      </c>
      <c r="I44">
        <v>75339</v>
      </c>
      <c r="J44">
        <v>75455</v>
      </c>
      <c r="K44">
        <v>76566</v>
      </c>
      <c r="L44">
        <v>75708</v>
      </c>
      <c r="M44">
        <v>75134</v>
      </c>
      <c r="N44">
        <v>78469</v>
      </c>
      <c r="O44">
        <v>77992</v>
      </c>
      <c r="P44">
        <v>77552</v>
      </c>
      <c r="Q44">
        <v>78195</v>
      </c>
      <c r="R44">
        <v>78179</v>
      </c>
      <c r="S44">
        <v>77637</v>
      </c>
      <c r="T44">
        <v>78349</v>
      </c>
      <c r="U44">
        <v>81084</v>
      </c>
      <c r="V44">
        <v>81663</v>
      </c>
      <c r="W44">
        <v>81382</v>
      </c>
      <c r="X44">
        <v>83817</v>
      </c>
      <c r="Y44">
        <v>84133</v>
      </c>
      <c r="Z44">
        <v>84466</v>
      </c>
      <c r="AA44">
        <v>84861</v>
      </c>
      <c r="AB44">
        <v>85634</v>
      </c>
      <c r="AC44">
        <v>86687</v>
      </c>
      <c r="AD44">
        <v>87475</v>
      </c>
      <c r="AE44">
        <v>88229</v>
      </c>
      <c r="AF44">
        <v>89157</v>
      </c>
      <c r="AG44">
        <v>89470</v>
      </c>
      <c r="AH44">
        <v>90057</v>
      </c>
      <c r="AI44">
        <v>90296</v>
      </c>
      <c r="AJ44">
        <v>90608</v>
      </c>
      <c r="AK44">
        <v>90540</v>
      </c>
      <c r="AL44">
        <v>90636</v>
      </c>
      <c r="AM44">
        <v>91047</v>
      </c>
      <c r="AN44">
        <v>91288</v>
      </c>
      <c r="AO44">
        <v>90408</v>
      </c>
      <c r="AP44">
        <v>90669</v>
      </c>
      <c r="AQ44">
        <v>90488</v>
      </c>
      <c r="AR44">
        <v>90257</v>
      </c>
      <c r="AS44">
        <v>90972</v>
      </c>
      <c r="AT44">
        <v>89541</v>
      </c>
      <c r="AU44">
        <v>89065</v>
      </c>
      <c r="AV44">
        <v>92596</v>
      </c>
      <c r="AW44">
        <v>93306</v>
      </c>
      <c r="AX44">
        <v>93713</v>
      </c>
      <c r="AY44">
        <v>93983</v>
      </c>
      <c r="AZ44">
        <v>93909</v>
      </c>
      <c r="BA44">
        <v>94087</v>
      </c>
      <c r="BB44">
        <v>94269</v>
      </c>
      <c r="BC44">
        <v>94401</v>
      </c>
      <c r="BD44">
        <v>94595</v>
      </c>
      <c r="BE44">
        <v>94450</v>
      </c>
      <c r="BF44">
        <v>94880</v>
      </c>
      <c r="BG44">
        <v>95032</v>
      </c>
      <c r="BH44">
        <v>95153</v>
      </c>
      <c r="BI44">
        <v>95232</v>
      </c>
      <c r="BJ44">
        <v>95273</v>
      </c>
      <c r="BK44">
        <v>95396</v>
      </c>
      <c r="BL44">
        <v>95588</v>
      </c>
      <c r="BM44">
        <v>95820</v>
      </c>
      <c r="BN44">
        <v>95885</v>
      </c>
      <c r="BO44">
        <v>95979</v>
      </c>
      <c r="BP44">
        <v>96165</v>
      </c>
      <c r="BQ44">
        <v>96334</v>
      </c>
      <c r="BR44">
        <v>96306</v>
      </c>
      <c r="BS44">
        <v>96333</v>
      </c>
      <c r="BT44">
        <v>96505</v>
      </c>
      <c r="BU44">
        <v>96681</v>
      </c>
      <c r="BV44">
        <v>96675</v>
      </c>
      <c r="BW44">
        <v>96838</v>
      </c>
      <c r="BX44">
        <v>96910</v>
      </c>
      <c r="BY44">
        <v>97047</v>
      </c>
      <c r="BZ44">
        <v>97128</v>
      </c>
      <c r="CA44">
        <v>97201</v>
      </c>
      <c r="CB44">
        <v>97286</v>
      </c>
      <c r="CC44">
        <v>97279</v>
      </c>
      <c r="CD44">
        <v>97549</v>
      </c>
      <c r="CE44">
        <v>97607</v>
      </c>
      <c r="CF44">
        <v>97594</v>
      </c>
      <c r="CG44">
        <v>97572</v>
      </c>
      <c r="CH44">
        <v>97648</v>
      </c>
      <c r="CI44">
        <v>97726</v>
      </c>
      <c r="CJ44">
        <v>97864</v>
      </c>
      <c r="CK44">
        <v>97844</v>
      </c>
      <c r="CL44">
        <v>97895</v>
      </c>
      <c r="CM44">
        <v>97958</v>
      </c>
      <c r="CN44">
        <v>97998</v>
      </c>
      <c r="CO44">
        <v>98041</v>
      </c>
      <c r="CP44">
        <v>98172</v>
      </c>
      <c r="CQ44">
        <v>98187</v>
      </c>
      <c r="CR44">
        <v>98276</v>
      </c>
      <c r="CS44">
        <v>98317</v>
      </c>
      <c r="CT44">
        <v>98349</v>
      </c>
      <c r="CU44">
        <v>98407</v>
      </c>
      <c r="CV44">
        <v>98385</v>
      </c>
      <c r="CW44">
        <v>98464</v>
      </c>
    </row>
    <row r="45" spans="1:101" x14ac:dyDescent="0.25">
      <c r="A45" t="s">
        <v>85</v>
      </c>
      <c r="B45">
        <v>68927</v>
      </c>
      <c r="C45">
        <v>70569</v>
      </c>
      <c r="D45">
        <v>72526</v>
      </c>
      <c r="E45">
        <v>72184</v>
      </c>
      <c r="F45">
        <v>73257</v>
      </c>
      <c r="G45">
        <v>73784</v>
      </c>
      <c r="H45">
        <v>74170</v>
      </c>
      <c r="I45">
        <v>74926</v>
      </c>
      <c r="J45">
        <v>74746</v>
      </c>
      <c r="K45">
        <v>76385</v>
      </c>
      <c r="L45">
        <v>75547</v>
      </c>
      <c r="M45">
        <v>75003</v>
      </c>
      <c r="N45">
        <v>78321</v>
      </c>
      <c r="O45">
        <v>77847</v>
      </c>
      <c r="P45">
        <v>77429</v>
      </c>
      <c r="Q45">
        <v>78085</v>
      </c>
      <c r="R45">
        <v>78051</v>
      </c>
      <c r="S45">
        <v>77520</v>
      </c>
      <c r="T45">
        <v>78226</v>
      </c>
      <c r="U45">
        <v>80943</v>
      </c>
      <c r="V45">
        <v>81557</v>
      </c>
      <c r="W45">
        <v>81284</v>
      </c>
      <c r="X45">
        <v>83680</v>
      </c>
      <c r="Y45">
        <v>84007</v>
      </c>
      <c r="Z45">
        <v>84339</v>
      </c>
      <c r="AA45">
        <v>84735</v>
      </c>
      <c r="AB45">
        <v>85506</v>
      </c>
      <c r="AC45">
        <v>86579</v>
      </c>
      <c r="AD45">
        <v>87333</v>
      </c>
      <c r="AE45">
        <v>88110</v>
      </c>
      <c r="AF45">
        <v>89034</v>
      </c>
      <c r="AG45">
        <v>89339</v>
      </c>
      <c r="AH45">
        <v>89925</v>
      </c>
      <c r="AI45">
        <v>90165</v>
      </c>
      <c r="AJ45">
        <v>90484</v>
      </c>
      <c r="AK45">
        <v>90405</v>
      </c>
      <c r="AL45">
        <v>90520</v>
      </c>
      <c r="AM45">
        <v>90949</v>
      </c>
      <c r="AN45">
        <v>91178</v>
      </c>
      <c r="AO45">
        <v>90275</v>
      </c>
      <c r="AP45">
        <v>90555</v>
      </c>
      <c r="AQ45">
        <v>90377</v>
      </c>
      <c r="AR45">
        <v>90141</v>
      </c>
      <c r="AS45">
        <v>90857</v>
      </c>
      <c r="AT45">
        <v>89432</v>
      </c>
      <c r="AU45">
        <v>88954</v>
      </c>
      <c r="AV45">
        <v>92488</v>
      </c>
      <c r="AW45">
        <v>93195</v>
      </c>
      <c r="AX45">
        <v>93605</v>
      </c>
      <c r="AY45">
        <v>93867</v>
      </c>
      <c r="AZ45">
        <v>93793</v>
      </c>
      <c r="BA45">
        <v>93981</v>
      </c>
      <c r="BB45">
        <v>94164</v>
      </c>
      <c r="BC45">
        <v>94288</v>
      </c>
      <c r="BD45">
        <v>94459</v>
      </c>
      <c r="BE45">
        <v>94337</v>
      </c>
      <c r="BF45">
        <v>94777</v>
      </c>
      <c r="BG45">
        <v>94916</v>
      </c>
      <c r="BH45">
        <v>95053</v>
      </c>
      <c r="BI45">
        <v>95117</v>
      </c>
      <c r="BJ45">
        <v>95171</v>
      </c>
      <c r="BK45">
        <v>95297</v>
      </c>
      <c r="BL45">
        <v>95496</v>
      </c>
      <c r="BM45">
        <v>95728</v>
      </c>
      <c r="BN45">
        <v>95793</v>
      </c>
      <c r="BO45">
        <v>95879</v>
      </c>
      <c r="BP45">
        <v>96078</v>
      </c>
      <c r="BQ45">
        <v>96241</v>
      </c>
      <c r="BR45">
        <v>96235</v>
      </c>
      <c r="BS45">
        <v>96247</v>
      </c>
      <c r="BT45">
        <v>96430</v>
      </c>
      <c r="BU45">
        <v>96600</v>
      </c>
      <c r="BV45">
        <v>96606</v>
      </c>
      <c r="BW45">
        <v>96781</v>
      </c>
      <c r="BX45">
        <v>96830</v>
      </c>
      <c r="BY45">
        <v>96983</v>
      </c>
      <c r="BZ45">
        <v>97062</v>
      </c>
      <c r="CA45">
        <v>97129</v>
      </c>
      <c r="CB45">
        <v>97214</v>
      </c>
      <c r="CC45">
        <v>97213</v>
      </c>
      <c r="CD45">
        <v>97486</v>
      </c>
      <c r="CE45">
        <v>97527</v>
      </c>
      <c r="CF45">
        <v>97528</v>
      </c>
      <c r="CG45">
        <v>97502</v>
      </c>
      <c r="CH45">
        <v>97580</v>
      </c>
      <c r="CI45">
        <v>97659</v>
      </c>
      <c r="CJ45">
        <v>97799</v>
      </c>
      <c r="CK45">
        <v>97780</v>
      </c>
      <c r="CL45">
        <v>97831</v>
      </c>
      <c r="CM45">
        <v>97895</v>
      </c>
      <c r="CN45">
        <v>97937</v>
      </c>
      <c r="CO45">
        <v>97981</v>
      </c>
      <c r="CP45">
        <v>98113</v>
      </c>
      <c r="CQ45">
        <v>98130</v>
      </c>
      <c r="CR45">
        <v>98219</v>
      </c>
      <c r="CS45">
        <v>98261</v>
      </c>
      <c r="CT45">
        <v>98294</v>
      </c>
      <c r="CU45">
        <v>98353</v>
      </c>
      <c r="CV45">
        <v>98331</v>
      </c>
      <c r="CW45">
        <v>98412</v>
      </c>
    </row>
    <row r="46" spans="1:101" x14ac:dyDescent="0.25">
      <c r="A46" t="s">
        <v>84</v>
      </c>
      <c r="B46">
        <v>68742</v>
      </c>
      <c r="C46">
        <v>70385</v>
      </c>
      <c r="D46">
        <v>72299</v>
      </c>
      <c r="E46">
        <v>71923</v>
      </c>
      <c r="F46">
        <v>72988</v>
      </c>
      <c r="G46">
        <v>73462</v>
      </c>
      <c r="H46">
        <v>73748</v>
      </c>
      <c r="I46">
        <v>74206</v>
      </c>
      <c r="J46">
        <v>74542</v>
      </c>
      <c r="K46">
        <v>76193</v>
      </c>
      <c r="L46">
        <v>75378</v>
      </c>
      <c r="M46">
        <v>74863</v>
      </c>
      <c r="N46">
        <v>78198</v>
      </c>
      <c r="O46">
        <v>77722</v>
      </c>
      <c r="P46">
        <v>77298</v>
      </c>
      <c r="Q46">
        <v>77957</v>
      </c>
      <c r="R46">
        <v>77915</v>
      </c>
      <c r="S46">
        <v>77402</v>
      </c>
      <c r="T46">
        <v>78092</v>
      </c>
      <c r="U46">
        <v>80817</v>
      </c>
      <c r="V46">
        <v>81452</v>
      </c>
      <c r="W46">
        <v>81181</v>
      </c>
      <c r="X46">
        <v>83562</v>
      </c>
      <c r="Y46">
        <v>83879</v>
      </c>
      <c r="Z46">
        <v>84206</v>
      </c>
      <c r="AA46">
        <v>84593</v>
      </c>
      <c r="AB46">
        <v>85355</v>
      </c>
      <c r="AC46">
        <v>86424</v>
      </c>
      <c r="AD46">
        <v>87194</v>
      </c>
      <c r="AE46">
        <v>87978</v>
      </c>
      <c r="AF46">
        <v>88896</v>
      </c>
      <c r="AG46">
        <v>89212</v>
      </c>
      <c r="AH46">
        <v>89778</v>
      </c>
      <c r="AI46">
        <v>90022</v>
      </c>
      <c r="AJ46">
        <v>90341</v>
      </c>
      <c r="AK46">
        <v>90263</v>
      </c>
      <c r="AL46">
        <v>90378</v>
      </c>
      <c r="AM46">
        <v>90816</v>
      </c>
      <c r="AN46">
        <v>91051</v>
      </c>
      <c r="AO46">
        <v>90158</v>
      </c>
      <c r="AP46">
        <v>90435</v>
      </c>
      <c r="AQ46">
        <v>90251</v>
      </c>
      <c r="AR46">
        <v>90015</v>
      </c>
      <c r="AS46">
        <v>90743</v>
      </c>
      <c r="AT46">
        <v>89306</v>
      </c>
      <c r="AU46">
        <v>88837</v>
      </c>
      <c r="AV46">
        <v>92371</v>
      </c>
      <c r="AW46">
        <v>93090</v>
      </c>
      <c r="AX46">
        <v>93483</v>
      </c>
      <c r="AY46">
        <v>93743</v>
      </c>
      <c r="AZ46">
        <v>93673</v>
      </c>
      <c r="BA46">
        <v>93856</v>
      </c>
      <c r="BB46">
        <v>94040</v>
      </c>
      <c r="BC46">
        <v>94164</v>
      </c>
      <c r="BD46">
        <v>94346</v>
      </c>
      <c r="BE46">
        <v>94223</v>
      </c>
      <c r="BF46">
        <v>94652</v>
      </c>
      <c r="BG46">
        <v>94780</v>
      </c>
      <c r="BH46">
        <v>94936</v>
      </c>
      <c r="BI46">
        <v>94994</v>
      </c>
      <c r="BJ46">
        <v>95070</v>
      </c>
      <c r="BK46">
        <v>95179</v>
      </c>
      <c r="BL46">
        <v>95409</v>
      </c>
      <c r="BM46">
        <v>95624</v>
      </c>
      <c r="BN46">
        <v>95691</v>
      </c>
      <c r="BO46">
        <v>95796</v>
      </c>
      <c r="BP46">
        <v>95978</v>
      </c>
      <c r="BQ46">
        <v>96146</v>
      </c>
      <c r="BR46">
        <v>96146</v>
      </c>
      <c r="BS46">
        <v>96168</v>
      </c>
      <c r="BT46">
        <v>96346</v>
      </c>
      <c r="BU46">
        <v>96516</v>
      </c>
      <c r="BV46">
        <v>96535</v>
      </c>
      <c r="BW46">
        <v>96688</v>
      </c>
      <c r="BX46">
        <v>96764</v>
      </c>
      <c r="BY46">
        <v>96914</v>
      </c>
      <c r="BZ46">
        <v>96979</v>
      </c>
      <c r="CA46">
        <v>97064</v>
      </c>
      <c r="CB46">
        <v>97151</v>
      </c>
      <c r="CC46">
        <v>97139</v>
      </c>
      <c r="CD46">
        <v>97415</v>
      </c>
      <c r="CE46">
        <v>97451</v>
      </c>
      <c r="CF46">
        <v>97453</v>
      </c>
      <c r="CG46">
        <v>97429</v>
      </c>
      <c r="CH46">
        <v>97509</v>
      </c>
      <c r="CI46">
        <v>97589</v>
      </c>
      <c r="CJ46">
        <v>97729</v>
      </c>
      <c r="CK46">
        <v>97712</v>
      </c>
      <c r="CL46">
        <v>97764</v>
      </c>
      <c r="CM46">
        <v>97829</v>
      </c>
      <c r="CN46">
        <v>97872</v>
      </c>
      <c r="CO46">
        <v>97917</v>
      </c>
      <c r="CP46">
        <v>98050</v>
      </c>
      <c r="CQ46">
        <v>98068</v>
      </c>
      <c r="CR46">
        <v>98158</v>
      </c>
      <c r="CS46">
        <v>98201</v>
      </c>
      <c r="CT46">
        <v>98236</v>
      </c>
      <c r="CU46">
        <v>98296</v>
      </c>
      <c r="CV46">
        <v>98275</v>
      </c>
      <c r="CW46">
        <v>98357</v>
      </c>
    </row>
    <row r="47" spans="1:101" x14ac:dyDescent="0.25">
      <c r="A47" t="s">
        <v>83</v>
      </c>
      <c r="B47">
        <v>68536</v>
      </c>
      <c r="C47">
        <v>70125</v>
      </c>
      <c r="D47">
        <v>72009</v>
      </c>
      <c r="E47">
        <v>71638</v>
      </c>
      <c r="F47">
        <v>72665</v>
      </c>
      <c r="G47">
        <v>73025</v>
      </c>
      <c r="H47">
        <v>73050</v>
      </c>
      <c r="I47">
        <v>74003</v>
      </c>
      <c r="J47">
        <v>74362</v>
      </c>
      <c r="K47">
        <v>76035</v>
      </c>
      <c r="L47">
        <v>75211</v>
      </c>
      <c r="M47">
        <v>74701</v>
      </c>
      <c r="N47">
        <v>78039</v>
      </c>
      <c r="O47">
        <v>77571</v>
      </c>
      <c r="P47">
        <v>77153</v>
      </c>
      <c r="Q47">
        <v>77808</v>
      </c>
      <c r="R47">
        <v>77778</v>
      </c>
      <c r="S47">
        <v>77278</v>
      </c>
      <c r="T47">
        <v>77961</v>
      </c>
      <c r="U47">
        <v>80689</v>
      </c>
      <c r="V47">
        <v>81293</v>
      </c>
      <c r="W47">
        <v>81070</v>
      </c>
      <c r="X47">
        <v>83420</v>
      </c>
      <c r="Y47">
        <v>83718</v>
      </c>
      <c r="Z47">
        <v>84066</v>
      </c>
      <c r="AA47">
        <v>84441</v>
      </c>
      <c r="AB47">
        <v>85198</v>
      </c>
      <c r="AC47">
        <v>86263</v>
      </c>
      <c r="AD47">
        <v>87046</v>
      </c>
      <c r="AE47">
        <v>87804</v>
      </c>
      <c r="AF47">
        <v>88725</v>
      </c>
      <c r="AG47">
        <v>89057</v>
      </c>
      <c r="AH47">
        <v>89616</v>
      </c>
      <c r="AI47">
        <v>89845</v>
      </c>
      <c r="AJ47">
        <v>90190</v>
      </c>
      <c r="AK47">
        <v>90112</v>
      </c>
      <c r="AL47">
        <v>90239</v>
      </c>
      <c r="AM47">
        <v>90684</v>
      </c>
      <c r="AN47">
        <v>90903</v>
      </c>
      <c r="AO47">
        <v>89994</v>
      </c>
      <c r="AP47">
        <v>90306</v>
      </c>
      <c r="AQ47">
        <v>90133</v>
      </c>
      <c r="AR47">
        <v>89886</v>
      </c>
      <c r="AS47">
        <v>90610</v>
      </c>
      <c r="AT47">
        <v>89173</v>
      </c>
      <c r="AU47">
        <v>88692</v>
      </c>
      <c r="AV47">
        <v>92244</v>
      </c>
      <c r="AW47">
        <v>92968</v>
      </c>
      <c r="AX47">
        <v>93366</v>
      </c>
      <c r="AY47">
        <v>93629</v>
      </c>
      <c r="AZ47">
        <v>93548</v>
      </c>
      <c r="BA47">
        <v>93735</v>
      </c>
      <c r="BB47">
        <v>93909</v>
      </c>
      <c r="BC47">
        <v>94039</v>
      </c>
      <c r="BD47">
        <v>94188</v>
      </c>
      <c r="BE47">
        <v>94115</v>
      </c>
      <c r="BF47">
        <v>94545</v>
      </c>
      <c r="BG47">
        <v>94665</v>
      </c>
      <c r="BH47">
        <v>94818</v>
      </c>
      <c r="BI47">
        <v>94886</v>
      </c>
      <c r="BJ47">
        <v>94952</v>
      </c>
      <c r="BK47">
        <v>95054</v>
      </c>
      <c r="BL47">
        <v>95298</v>
      </c>
      <c r="BM47">
        <v>95508</v>
      </c>
      <c r="BN47">
        <v>95576</v>
      </c>
      <c r="BO47">
        <v>95697</v>
      </c>
      <c r="BP47">
        <v>95888</v>
      </c>
      <c r="BQ47">
        <v>96053</v>
      </c>
      <c r="BR47">
        <v>96044</v>
      </c>
      <c r="BS47">
        <v>96077</v>
      </c>
      <c r="BT47">
        <v>96265</v>
      </c>
      <c r="BU47">
        <v>96406</v>
      </c>
      <c r="BV47">
        <v>96451</v>
      </c>
      <c r="BW47">
        <v>96608</v>
      </c>
      <c r="BX47">
        <v>96695</v>
      </c>
      <c r="BY47">
        <v>96846</v>
      </c>
      <c r="BZ47">
        <v>96887</v>
      </c>
      <c r="CA47">
        <v>97003</v>
      </c>
      <c r="CB47">
        <v>97064</v>
      </c>
      <c r="CC47">
        <v>97064</v>
      </c>
      <c r="CD47">
        <v>97336</v>
      </c>
      <c r="CE47">
        <v>97370</v>
      </c>
      <c r="CF47">
        <v>97375</v>
      </c>
      <c r="CG47">
        <v>97353</v>
      </c>
      <c r="CH47">
        <v>97434</v>
      </c>
      <c r="CI47">
        <v>97515</v>
      </c>
      <c r="CJ47">
        <v>97656</v>
      </c>
      <c r="CK47">
        <v>97641</v>
      </c>
      <c r="CL47">
        <v>97694</v>
      </c>
      <c r="CM47">
        <v>97760</v>
      </c>
      <c r="CN47">
        <v>97804</v>
      </c>
      <c r="CO47">
        <v>97851</v>
      </c>
      <c r="CP47">
        <v>97985</v>
      </c>
      <c r="CQ47">
        <v>98003</v>
      </c>
      <c r="CR47">
        <v>98095</v>
      </c>
      <c r="CS47">
        <v>98138</v>
      </c>
      <c r="CT47">
        <v>98174</v>
      </c>
      <c r="CU47">
        <v>98235</v>
      </c>
      <c r="CV47">
        <v>98215</v>
      </c>
      <c r="CW47">
        <v>98298</v>
      </c>
    </row>
    <row r="48" spans="1:101" x14ac:dyDescent="0.25">
      <c r="A48" t="s">
        <v>82</v>
      </c>
      <c r="B48">
        <v>68273</v>
      </c>
      <c r="C48">
        <v>69874</v>
      </c>
      <c r="D48">
        <v>71732</v>
      </c>
      <c r="E48">
        <v>71308</v>
      </c>
      <c r="F48">
        <v>72227</v>
      </c>
      <c r="G48">
        <v>72318</v>
      </c>
      <c r="H48">
        <v>72829</v>
      </c>
      <c r="I48">
        <v>73836</v>
      </c>
      <c r="J48">
        <v>74198</v>
      </c>
      <c r="K48">
        <v>75877</v>
      </c>
      <c r="L48">
        <v>75054</v>
      </c>
      <c r="M48">
        <v>74530</v>
      </c>
      <c r="N48">
        <v>77889</v>
      </c>
      <c r="O48">
        <v>77398</v>
      </c>
      <c r="P48">
        <v>77012</v>
      </c>
      <c r="Q48">
        <v>77651</v>
      </c>
      <c r="R48">
        <v>77635</v>
      </c>
      <c r="S48">
        <v>77136</v>
      </c>
      <c r="T48">
        <v>77821</v>
      </c>
      <c r="U48">
        <v>80522</v>
      </c>
      <c r="V48">
        <v>81120</v>
      </c>
      <c r="W48">
        <v>80925</v>
      </c>
      <c r="X48">
        <v>83284</v>
      </c>
      <c r="Y48">
        <v>83553</v>
      </c>
      <c r="Z48">
        <v>83891</v>
      </c>
      <c r="AA48">
        <v>84264</v>
      </c>
      <c r="AB48">
        <v>85029</v>
      </c>
      <c r="AC48">
        <v>86097</v>
      </c>
      <c r="AD48">
        <v>86857</v>
      </c>
      <c r="AE48">
        <v>87610</v>
      </c>
      <c r="AF48">
        <v>88549</v>
      </c>
      <c r="AG48">
        <v>88884</v>
      </c>
      <c r="AH48">
        <v>89452</v>
      </c>
      <c r="AI48">
        <v>89652</v>
      </c>
      <c r="AJ48">
        <v>90049</v>
      </c>
      <c r="AK48">
        <v>89951</v>
      </c>
      <c r="AL48">
        <v>90094</v>
      </c>
      <c r="AM48">
        <v>90512</v>
      </c>
      <c r="AN48">
        <v>90747</v>
      </c>
      <c r="AO48">
        <v>89857</v>
      </c>
      <c r="AP48">
        <v>90157</v>
      </c>
      <c r="AQ48">
        <v>89987</v>
      </c>
      <c r="AR48">
        <v>89740</v>
      </c>
      <c r="AS48">
        <v>90457</v>
      </c>
      <c r="AT48">
        <v>89023</v>
      </c>
      <c r="AU48">
        <v>88572</v>
      </c>
      <c r="AV48">
        <v>92094</v>
      </c>
      <c r="AW48">
        <v>92831</v>
      </c>
      <c r="AX48">
        <v>93246</v>
      </c>
      <c r="AY48">
        <v>93486</v>
      </c>
      <c r="AZ48">
        <v>93410</v>
      </c>
      <c r="BA48">
        <v>93596</v>
      </c>
      <c r="BB48">
        <v>93772</v>
      </c>
      <c r="BC48">
        <v>93875</v>
      </c>
      <c r="BD48">
        <v>94051</v>
      </c>
      <c r="BE48">
        <v>93968</v>
      </c>
      <c r="BF48">
        <v>94423</v>
      </c>
      <c r="BG48">
        <v>94530</v>
      </c>
      <c r="BH48">
        <v>94696</v>
      </c>
      <c r="BI48">
        <v>94749</v>
      </c>
      <c r="BJ48">
        <v>94835</v>
      </c>
      <c r="BK48">
        <v>94933</v>
      </c>
      <c r="BL48">
        <v>95175</v>
      </c>
      <c r="BM48">
        <v>95387</v>
      </c>
      <c r="BN48">
        <v>95481</v>
      </c>
      <c r="BO48">
        <v>95591</v>
      </c>
      <c r="BP48">
        <v>95789</v>
      </c>
      <c r="BQ48">
        <v>95945</v>
      </c>
      <c r="BR48">
        <v>95934</v>
      </c>
      <c r="BS48">
        <v>95987</v>
      </c>
      <c r="BT48">
        <v>96161</v>
      </c>
      <c r="BU48">
        <v>96316</v>
      </c>
      <c r="BV48">
        <v>96355</v>
      </c>
      <c r="BW48">
        <v>96510</v>
      </c>
      <c r="BX48">
        <v>96611</v>
      </c>
      <c r="BY48">
        <v>96751</v>
      </c>
      <c r="BZ48">
        <v>96817</v>
      </c>
      <c r="CA48">
        <v>96928</v>
      </c>
      <c r="CB48">
        <v>96992</v>
      </c>
      <c r="CC48">
        <v>96985</v>
      </c>
      <c r="CD48">
        <v>97249</v>
      </c>
      <c r="CE48">
        <v>97287</v>
      </c>
      <c r="CF48">
        <v>97293</v>
      </c>
      <c r="CG48">
        <v>97272</v>
      </c>
      <c r="CH48">
        <v>97354</v>
      </c>
      <c r="CI48">
        <v>97436</v>
      </c>
      <c r="CJ48">
        <v>97579</v>
      </c>
      <c r="CK48">
        <v>97565</v>
      </c>
      <c r="CL48">
        <v>97619</v>
      </c>
      <c r="CM48">
        <v>97687</v>
      </c>
      <c r="CN48">
        <v>97731</v>
      </c>
      <c r="CO48">
        <v>97779</v>
      </c>
      <c r="CP48">
        <v>97914</v>
      </c>
      <c r="CQ48">
        <v>97933</v>
      </c>
      <c r="CR48">
        <v>98027</v>
      </c>
      <c r="CS48">
        <v>98071</v>
      </c>
      <c r="CT48">
        <v>98108</v>
      </c>
      <c r="CU48">
        <v>98170</v>
      </c>
      <c r="CV48">
        <v>98152</v>
      </c>
      <c r="CW48">
        <v>98235</v>
      </c>
    </row>
    <row r="49" spans="1:101" x14ac:dyDescent="0.25">
      <c r="A49" t="s">
        <v>81</v>
      </c>
      <c r="B49">
        <v>68009</v>
      </c>
      <c r="C49">
        <v>69556</v>
      </c>
      <c r="D49">
        <v>71394</v>
      </c>
      <c r="E49">
        <v>70894</v>
      </c>
      <c r="F49">
        <v>71455</v>
      </c>
      <c r="G49">
        <v>72095</v>
      </c>
      <c r="H49">
        <v>72644</v>
      </c>
      <c r="I49">
        <v>73645</v>
      </c>
      <c r="J49">
        <v>74000</v>
      </c>
      <c r="K49">
        <v>75704</v>
      </c>
      <c r="L49">
        <v>74891</v>
      </c>
      <c r="M49">
        <v>74383</v>
      </c>
      <c r="N49">
        <v>77705</v>
      </c>
      <c r="O49">
        <v>77218</v>
      </c>
      <c r="P49">
        <v>76858</v>
      </c>
      <c r="Q49">
        <v>77484</v>
      </c>
      <c r="R49">
        <v>77487</v>
      </c>
      <c r="S49">
        <v>76991</v>
      </c>
      <c r="T49">
        <v>77667</v>
      </c>
      <c r="U49">
        <v>80381</v>
      </c>
      <c r="V49">
        <v>80951</v>
      </c>
      <c r="W49">
        <v>80753</v>
      </c>
      <c r="X49">
        <v>83094</v>
      </c>
      <c r="Y49">
        <v>83411</v>
      </c>
      <c r="Z49">
        <v>83684</v>
      </c>
      <c r="AA49">
        <v>84062</v>
      </c>
      <c r="AB49">
        <v>84828</v>
      </c>
      <c r="AC49">
        <v>85889</v>
      </c>
      <c r="AD49">
        <v>86674</v>
      </c>
      <c r="AE49">
        <v>87423</v>
      </c>
      <c r="AF49">
        <v>88351</v>
      </c>
      <c r="AG49">
        <v>88705</v>
      </c>
      <c r="AH49">
        <v>89285</v>
      </c>
      <c r="AI49">
        <v>89464</v>
      </c>
      <c r="AJ49">
        <v>89883</v>
      </c>
      <c r="AK49">
        <v>89766</v>
      </c>
      <c r="AL49">
        <v>89894</v>
      </c>
      <c r="AM49">
        <v>90345</v>
      </c>
      <c r="AN49">
        <v>90594</v>
      </c>
      <c r="AO49">
        <v>89712</v>
      </c>
      <c r="AP49">
        <v>89993</v>
      </c>
      <c r="AQ49">
        <v>89817</v>
      </c>
      <c r="AR49">
        <v>89591</v>
      </c>
      <c r="AS49">
        <v>90299</v>
      </c>
      <c r="AT49">
        <v>88859</v>
      </c>
      <c r="AU49">
        <v>88429</v>
      </c>
      <c r="AV49">
        <v>91937</v>
      </c>
      <c r="AW49">
        <v>92686</v>
      </c>
      <c r="AX49">
        <v>93076</v>
      </c>
      <c r="AY49">
        <v>93343</v>
      </c>
      <c r="AZ49">
        <v>93274</v>
      </c>
      <c r="BA49">
        <v>93439</v>
      </c>
      <c r="BB49">
        <v>93642</v>
      </c>
      <c r="BC49">
        <v>93727</v>
      </c>
      <c r="BD49">
        <v>93897</v>
      </c>
      <c r="BE49">
        <v>93811</v>
      </c>
      <c r="BF49">
        <v>94281</v>
      </c>
      <c r="BG49">
        <v>94391</v>
      </c>
      <c r="BH49">
        <v>94552</v>
      </c>
      <c r="BI49">
        <v>94605</v>
      </c>
      <c r="BJ49">
        <v>94711</v>
      </c>
      <c r="BK49">
        <v>94821</v>
      </c>
      <c r="BL49">
        <v>95038</v>
      </c>
      <c r="BM49">
        <v>95250</v>
      </c>
      <c r="BN49">
        <v>95370</v>
      </c>
      <c r="BO49">
        <v>95480</v>
      </c>
      <c r="BP49">
        <v>95679</v>
      </c>
      <c r="BQ49">
        <v>95828</v>
      </c>
      <c r="BR49">
        <v>95825</v>
      </c>
      <c r="BS49">
        <v>95888</v>
      </c>
      <c r="BT49">
        <v>96076</v>
      </c>
      <c r="BU49">
        <v>96211</v>
      </c>
      <c r="BV49">
        <v>96251</v>
      </c>
      <c r="BW49">
        <v>96421</v>
      </c>
      <c r="BX49">
        <v>96523</v>
      </c>
      <c r="BY49">
        <v>96655</v>
      </c>
      <c r="BZ49">
        <v>96729</v>
      </c>
      <c r="CA49">
        <v>96836</v>
      </c>
      <c r="CB49">
        <v>96885</v>
      </c>
      <c r="CC49">
        <v>96892</v>
      </c>
      <c r="CD49">
        <v>97158</v>
      </c>
      <c r="CE49">
        <v>97197</v>
      </c>
      <c r="CF49">
        <v>97204</v>
      </c>
      <c r="CG49">
        <v>97186</v>
      </c>
      <c r="CH49">
        <v>97268</v>
      </c>
      <c r="CI49">
        <v>97352</v>
      </c>
      <c r="CJ49">
        <v>97496</v>
      </c>
      <c r="CK49">
        <v>97484</v>
      </c>
      <c r="CL49">
        <v>97539</v>
      </c>
      <c r="CM49">
        <v>97607</v>
      </c>
      <c r="CN49">
        <v>97654</v>
      </c>
      <c r="CO49">
        <v>97703</v>
      </c>
      <c r="CP49">
        <v>97839</v>
      </c>
      <c r="CQ49">
        <v>97859</v>
      </c>
      <c r="CR49">
        <v>97953</v>
      </c>
      <c r="CS49">
        <v>98000</v>
      </c>
      <c r="CT49">
        <v>98038</v>
      </c>
      <c r="CU49">
        <v>98101</v>
      </c>
      <c r="CV49">
        <v>98083</v>
      </c>
      <c r="CW49">
        <v>98167</v>
      </c>
    </row>
    <row r="50" spans="1:101" x14ac:dyDescent="0.25">
      <c r="A50" t="s">
        <v>80</v>
      </c>
      <c r="B50">
        <v>67699</v>
      </c>
      <c r="C50">
        <v>69211</v>
      </c>
      <c r="D50">
        <v>70945</v>
      </c>
      <c r="E50">
        <v>70166</v>
      </c>
      <c r="F50">
        <v>71207</v>
      </c>
      <c r="G50">
        <v>71871</v>
      </c>
      <c r="H50">
        <v>72440</v>
      </c>
      <c r="I50">
        <v>73444</v>
      </c>
      <c r="J50">
        <v>73818</v>
      </c>
      <c r="K50">
        <v>75505</v>
      </c>
      <c r="L50">
        <v>74734</v>
      </c>
      <c r="M50">
        <v>74193</v>
      </c>
      <c r="N50">
        <v>77526</v>
      </c>
      <c r="O50">
        <v>77063</v>
      </c>
      <c r="P50">
        <v>76687</v>
      </c>
      <c r="Q50">
        <v>77302</v>
      </c>
      <c r="R50">
        <v>77326</v>
      </c>
      <c r="S50">
        <v>76807</v>
      </c>
      <c r="T50">
        <v>77499</v>
      </c>
      <c r="U50">
        <v>80199</v>
      </c>
      <c r="V50">
        <v>80768</v>
      </c>
      <c r="W50">
        <v>80561</v>
      </c>
      <c r="X50">
        <v>82907</v>
      </c>
      <c r="Y50">
        <v>83229</v>
      </c>
      <c r="Z50">
        <v>83481</v>
      </c>
      <c r="AA50">
        <v>83872</v>
      </c>
      <c r="AB50">
        <v>84638</v>
      </c>
      <c r="AC50">
        <v>85671</v>
      </c>
      <c r="AD50">
        <v>86465</v>
      </c>
      <c r="AE50">
        <v>87241</v>
      </c>
      <c r="AF50">
        <v>88119</v>
      </c>
      <c r="AG50">
        <v>88491</v>
      </c>
      <c r="AH50">
        <v>89082</v>
      </c>
      <c r="AI50">
        <v>89293</v>
      </c>
      <c r="AJ50">
        <v>89692</v>
      </c>
      <c r="AK50">
        <v>89567</v>
      </c>
      <c r="AL50">
        <v>89697</v>
      </c>
      <c r="AM50">
        <v>90155</v>
      </c>
      <c r="AN50">
        <v>90409</v>
      </c>
      <c r="AO50">
        <v>89550</v>
      </c>
      <c r="AP50">
        <v>89823</v>
      </c>
      <c r="AQ50">
        <v>89656</v>
      </c>
      <c r="AR50">
        <v>89431</v>
      </c>
      <c r="AS50">
        <v>90115</v>
      </c>
      <c r="AT50">
        <v>88670</v>
      </c>
      <c r="AU50">
        <v>88273</v>
      </c>
      <c r="AV50">
        <v>91778</v>
      </c>
      <c r="AW50">
        <v>92538</v>
      </c>
      <c r="AX50">
        <v>92897</v>
      </c>
      <c r="AY50">
        <v>93179</v>
      </c>
      <c r="AZ50">
        <v>93100</v>
      </c>
      <c r="BA50">
        <v>93278</v>
      </c>
      <c r="BB50">
        <v>93458</v>
      </c>
      <c r="BC50">
        <v>93561</v>
      </c>
      <c r="BD50">
        <v>93725</v>
      </c>
      <c r="BE50">
        <v>93666</v>
      </c>
      <c r="BF50">
        <v>94120</v>
      </c>
      <c r="BG50">
        <v>94235</v>
      </c>
      <c r="BH50">
        <v>94399</v>
      </c>
      <c r="BI50">
        <v>94455</v>
      </c>
      <c r="BJ50">
        <v>94572</v>
      </c>
      <c r="BK50">
        <v>94665</v>
      </c>
      <c r="BL50">
        <v>94897</v>
      </c>
      <c r="BM50">
        <v>95128</v>
      </c>
      <c r="BN50">
        <v>95252</v>
      </c>
      <c r="BO50">
        <v>95381</v>
      </c>
      <c r="BP50">
        <v>95567</v>
      </c>
      <c r="BQ50">
        <v>95717</v>
      </c>
      <c r="BR50">
        <v>95721</v>
      </c>
      <c r="BS50">
        <v>95766</v>
      </c>
      <c r="BT50">
        <v>95964</v>
      </c>
      <c r="BU50">
        <v>96114</v>
      </c>
      <c r="BV50">
        <v>96152</v>
      </c>
      <c r="BW50">
        <v>96322</v>
      </c>
      <c r="BX50">
        <v>96421</v>
      </c>
      <c r="BY50">
        <v>96556</v>
      </c>
      <c r="BZ50">
        <v>96629</v>
      </c>
      <c r="CA50">
        <v>96739</v>
      </c>
      <c r="CB50">
        <v>96784</v>
      </c>
      <c r="CC50">
        <v>96793</v>
      </c>
      <c r="CD50">
        <v>97061</v>
      </c>
      <c r="CE50">
        <v>97101</v>
      </c>
      <c r="CF50">
        <v>97110</v>
      </c>
      <c r="CG50">
        <v>97092</v>
      </c>
      <c r="CH50">
        <v>97177</v>
      </c>
      <c r="CI50">
        <v>97262</v>
      </c>
      <c r="CJ50">
        <v>97407</v>
      </c>
      <c r="CK50">
        <v>97396</v>
      </c>
      <c r="CL50">
        <v>97453</v>
      </c>
      <c r="CM50">
        <v>97523</v>
      </c>
      <c r="CN50">
        <v>97570</v>
      </c>
      <c r="CO50">
        <v>97621</v>
      </c>
      <c r="CP50">
        <v>97757</v>
      </c>
      <c r="CQ50">
        <v>97779</v>
      </c>
      <c r="CR50">
        <v>97875</v>
      </c>
      <c r="CS50">
        <v>97922</v>
      </c>
      <c r="CT50">
        <v>97961</v>
      </c>
      <c r="CU50">
        <v>98025</v>
      </c>
      <c r="CV50">
        <v>98009</v>
      </c>
      <c r="CW50">
        <v>98095</v>
      </c>
    </row>
    <row r="51" spans="1:101" x14ac:dyDescent="0.25">
      <c r="A51" t="s">
        <v>79</v>
      </c>
      <c r="B51">
        <v>67370</v>
      </c>
      <c r="C51">
        <v>68758</v>
      </c>
      <c r="D51">
        <v>70195</v>
      </c>
      <c r="E51">
        <v>69920</v>
      </c>
      <c r="F51">
        <v>70960</v>
      </c>
      <c r="G51">
        <v>71654</v>
      </c>
      <c r="H51">
        <v>72199</v>
      </c>
      <c r="I51">
        <v>73253</v>
      </c>
      <c r="J51">
        <v>73620</v>
      </c>
      <c r="K51">
        <v>75310</v>
      </c>
      <c r="L51">
        <v>74528</v>
      </c>
      <c r="M51">
        <v>73984</v>
      </c>
      <c r="N51">
        <v>77314</v>
      </c>
      <c r="O51">
        <v>76883</v>
      </c>
      <c r="P51">
        <v>76492</v>
      </c>
      <c r="Q51">
        <v>77069</v>
      </c>
      <c r="R51">
        <v>77141</v>
      </c>
      <c r="S51">
        <v>76598</v>
      </c>
      <c r="T51">
        <v>77281</v>
      </c>
      <c r="U51">
        <v>80012</v>
      </c>
      <c r="V51">
        <v>80572</v>
      </c>
      <c r="W51">
        <v>80342</v>
      </c>
      <c r="X51">
        <v>82685</v>
      </c>
      <c r="Y51">
        <v>83017</v>
      </c>
      <c r="Z51">
        <v>83251</v>
      </c>
      <c r="AA51">
        <v>83641</v>
      </c>
      <c r="AB51">
        <v>84408</v>
      </c>
      <c r="AC51">
        <v>85436</v>
      </c>
      <c r="AD51">
        <v>86190</v>
      </c>
      <c r="AE51">
        <v>86990</v>
      </c>
      <c r="AF51">
        <v>87908</v>
      </c>
      <c r="AG51">
        <v>88256</v>
      </c>
      <c r="AH51">
        <v>88870</v>
      </c>
      <c r="AI51">
        <v>89075</v>
      </c>
      <c r="AJ51">
        <v>89470</v>
      </c>
      <c r="AK51">
        <v>89349</v>
      </c>
      <c r="AL51">
        <v>89502</v>
      </c>
      <c r="AM51">
        <v>89943</v>
      </c>
      <c r="AN51">
        <v>90226</v>
      </c>
      <c r="AO51">
        <v>89359</v>
      </c>
      <c r="AP51">
        <v>89623</v>
      </c>
      <c r="AQ51">
        <v>89458</v>
      </c>
      <c r="AR51">
        <v>89248</v>
      </c>
      <c r="AS51">
        <v>89930</v>
      </c>
      <c r="AT51">
        <v>88490</v>
      </c>
      <c r="AU51">
        <v>88077</v>
      </c>
      <c r="AV51">
        <v>91606</v>
      </c>
      <c r="AW51">
        <v>92355</v>
      </c>
      <c r="AX51">
        <v>92722</v>
      </c>
      <c r="AY51">
        <v>92987</v>
      </c>
      <c r="AZ51">
        <v>92905</v>
      </c>
      <c r="BA51">
        <v>93096</v>
      </c>
      <c r="BB51">
        <v>93253</v>
      </c>
      <c r="BC51">
        <v>93386</v>
      </c>
      <c r="BD51">
        <v>93548</v>
      </c>
      <c r="BE51">
        <v>93475</v>
      </c>
      <c r="BF51">
        <v>93934</v>
      </c>
      <c r="BG51">
        <v>94038</v>
      </c>
      <c r="BH51">
        <v>94227</v>
      </c>
      <c r="BI51">
        <v>94286</v>
      </c>
      <c r="BJ51">
        <v>94399</v>
      </c>
      <c r="BK51">
        <v>94514</v>
      </c>
      <c r="BL51">
        <v>94747</v>
      </c>
      <c r="BM51">
        <v>94990</v>
      </c>
      <c r="BN51">
        <v>95123</v>
      </c>
      <c r="BO51">
        <v>95242</v>
      </c>
      <c r="BP51">
        <v>95454</v>
      </c>
      <c r="BQ51">
        <v>95595</v>
      </c>
      <c r="BR51">
        <v>95622</v>
      </c>
      <c r="BS51">
        <v>95656</v>
      </c>
      <c r="BT51">
        <v>95837</v>
      </c>
      <c r="BU51">
        <v>96006</v>
      </c>
      <c r="BV51">
        <v>96037</v>
      </c>
      <c r="BW51">
        <v>96193</v>
      </c>
      <c r="BX51">
        <v>96308</v>
      </c>
      <c r="BY51">
        <v>96444</v>
      </c>
      <c r="BZ51">
        <v>96507</v>
      </c>
      <c r="CA51">
        <v>96628</v>
      </c>
      <c r="CB51">
        <v>96675</v>
      </c>
      <c r="CC51">
        <v>96686</v>
      </c>
      <c r="CD51">
        <v>96956</v>
      </c>
      <c r="CE51">
        <v>96998</v>
      </c>
      <c r="CF51">
        <v>97008</v>
      </c>
      <c r="CG51">
        <v>96992</v>
      </c>
      <c r="CH51">
        <v>97079</v>
      </c>
      <c r="CI51">
        <v>97164</v>
      </c>
      <c r="CJ51">
        <v>97312</v>
      </c>
      <c r="CK51">
        <v>97302</v>
      </c>
      <c r="CL51">
        <v>97360</v>
      </c>
      <c r="CM51">
        <v>97431</v>
      </c>
      <c r="CN51">
        <v>97480</v>
      </c>
      <c r="CO51">
        <v>97532</v>
      </c>
      <c r="CP51">
        <v>97670</v>
      </c>
      <c r="CQ51">
        <v>97693</v>
      </c>
      <c r="CR51">
        <v>97790</v>
      </c>
      <c r="CS51">
        <v>97839</v>
      </c>
      <c r="CT51">
        <v>97879</v>
      </c>
      <c r="CU51">
        <v>97944</v>
      </c>
      <c r="CV51">
        <v>97930</v>
      </c>
      <c r="CW51">
        <v>98016</v>
      </c>
    </row>
    <row r="52" spans="1:101" x14ac:dyDescent="0.25">
      <c r="A52" t="s">
        <v>78</v>
      </c>
      <c r="B52">
        <v>66903</v>
      </c>
      <c r="C52">
        <v>67990</v>
      </c>
      <c r="D52">
        <v>69946</v>
      </c>
      <c r="E52">
        <v>69672</v>
      </c>
      <c r="F52">
        <v>70726</v>
      </c>
      <c r="G52">
        <v>71430</v>
      </c>
      <c r="H52">
        <v>71978</v>
      </c>
      <c r="I52">
        <v>73021</v>
      </c>
      <c r="J52">
        <v>73389</v>
      </c>
      <c r="K52">
        <v>75094</v>
      </c>
      <c r="L52">
        <v>74325</v>
      </c>
      <c r="M52">
        <v>73792</v>
      </c>
      <c r="N52">
        <v>77105</v>
      </c>
      <c r="O52">
        <v>76662</v>
      </c>
      <c r="P52">
        <v>76254</v>
      </c>
      <c r="Q52">
        <v>76845</v>
      </c>
      <c r="R52">
        <v>76919</v>
      </c>
      <c r="S52">
        <v>76384</v>
      </c>
      <c r="T52">
        <v>77071</v>
      </c>
      <c r="U52">
        <v>79788</v>
      </c>
      <c r="V52">
        <v>80341</v>
      </c>
      <c r="W52">
        <v>80105</v>
      </c>
      <c r="X52">
        <v>82439</v>
      </c>
      <c r="Y52">
        <v>82766</v>
      </c>
      <c r="Z52">
        <v>83003</v>
      </c>
      <c r="AA52">
        <v>83386</v>
      </c>
      <c r="AB52">
        <v>84165</v>
      </c>
      <c r="AC52">
        <v>85152</v>
      </c>
      <c r="AD52">
        <v>85924</v>
      </c>
      <c r="AE52">
        <v>86746</v>
      </c>
      <c r="AF52">
        <v>87678</v>
      </c>
      <c r="AG52">
        <v>88003</v>
      </c>
      <c r="AH52">
        <v>88623</v>
      </c>
      <c r="AI52">
        <v>88804</v>
      </c>
      <c r="AJ52">
        <v>89244</v>
      </c>
      <c r="AK52">
        <v>89127</v>
      </c>
      <c r="AL52">
        <v>89266</v>
      </c>
      <c r="AM52">
        <v>89726</v>
      </c>
      <c r="AN52">
        <v>90002</v>
      </c>
      <c r="AO52">
        <v>89164</v>
      </c>
      <c r="AP52">
        <v>89445</v>
      </c>
      <c r="AQ52">
        <v>89235</v>
      </c>
      <c r="AR52">
        <v>89038</v>
      </c>
      <c r="AS52">
        <v>89703</v>
      </c>
      <c r="AT52">
        <v>88283</v>
      </c>
      <c r="AU52">
        <v>87877</v>
      </c>
      <c r="AV52">
        <v>91405</v>
      </c>
      <c r="AW52">
        <v>92145</v>
      </c>
      <c r="AX52">
        <v>92515</v>
      </c>
      <c r="AY52">
        <v>92807</v>
      </c>
      <c r="AZ52">
        <v>92707</v>
      </c>
      <c r="BA52">
        <v>92897</v>
      </c>
      <c r="BB52">
        <v>93057</v>
      </c>
      <c r="BC52">
        <v>93188</v>
      </c>
      <c r="BD52">
        <v>93352</v>
      </c>
      <c r="BE52">
        <v>93298</v>
      </c>
      <c r="BF52">
        <v>93742</v>
      </c>
      <c r="BG52">
        <v>93861</v>
      </c>
      <c r="BH52">
        <v>94051</v>
      </c>
      <c r="BI52">
        <v>94102</v>
      </c>
      <c r="BJ52">
        <v>94231</v>
      </c>
      <c r="BK52">
        <v>94355</v>
      </c>
      <c r="BL52">
        <v>94613</v>
      </c>
      <c r="BM52">
        <v>94873</v>
      </c>
      <c r="BN52">
        <v>94977</v>
      </c>
      <c r="BO52">
        <v>95093</v>
      </c>
      <c r="BP52">
        <v>95335</v>
      </c>
      <c r="BQ52">
        <v>95465</v>
      </c>
      <c r="BR52">
        <v>95500</v>
      </c>
      <c r="BS52">
        <v>95538</v>
      </c>
      <c r="BT52">
        <v>95697</v>
      </c>
      <c r="BU52">
        <v>95887</v>
      </c>
      <c r="BV52">
        <v>95911</v>
      </c>
      <c r="BW52">
        <v>96056</v>
      </c>
      <c r="BX52">
        <v>96190</v>
      </c>
      <c r="BY52">
        <v>96323</v>
      </c>
      <c r="BZ52">
        <v>96386</v>
      </c>
      <c r="CA52">
        <v>96510</v>
      </c>
      <c r="CB52">
        <v>96559</v>
      </c>
      <c r="CC52">
        <v>96572</v>
      </c>
      <c r="CD52">
        <v>96844</v>
      </c>
      <c r="CE52">
        <v>96887</v>
      </c>
      <c r="CF52">
        <v>96898</v>
      </c>
      <c r="CG52">
        <v>96885</v>
      </c>
      <c r="CH52">
        <v>96973</v>
      </c>
      <c r="CI52">
        <v>97060</v>
      </c>
      <c r="CJ52">
        <v>97209</v>
      </c>
      <c r="CK52">
        <v>97200</v>
      </c>
      <c r="CL52">
        <v>97261</v>
      </c>
      <c r="CM52">
        <v>97332</v>
      </c>
      <c r="CN52">
        <v>97384</v>
      </c>
      <c r="CO52">
        <v>97437</v>
      </c>
      <c r="CP52">
        <v>97577</v>
      </c>
      <c r="CQ52">
        <v>97600</v>
      </c>
      <c r="CR52">
        <v>97699</v>
      </c>
      <c r="CS52">
        <v>97749</v>
      </c>
      <c r="CT52">
        <v>97791</v>
      </c>
      <c r="CU52">
        <v>97857</v>
      </c>
      <c r="CV52">
        <v>97844</v>
      </c>
      <c r="CW52">
        <v>97932</v>
      </c>
    </row>
    <row r="53" spans="1:101" x14ac:dyDescent="0.25">
      <c r="A53" t="s">
        <v>77</v>
      </c>
      <c r="B53">
        <v>66083</v>
      </c>
      <c r="C53">
        <v>67691</v>
      </c>
      <c r="D53">
        <v>69666</v>
      </c>
      <c r="E53">
        <v>69444</v>
      </c>
      <c r="F53">
        <v>70483</v>
      </c>
      <c r="G53">
        <v>71185</v>
      </c>
      <c r="H53">
        <v>71730</v>
      </c>
      <c r="I53">
        <v>72804</v>
      </c>
      <c r="J53">
        <v>73149</v>
      </c>
      <c r="K53">
        <v>74880</v>
      </c>
      <c r="L53">
        <v>74054</v>
      </c>
      <c r="M53">
        <v>73546</v>
      </c>
      <c r="N53">
        <v>76869</v>
      </c>
      <c r="O53">
        <v>76439</v>
      </c>
      <c r="P53">
        <v>76030</v>
      </c>
      <c r="Q53">
        <v>76619</v>
      </c>
      <c r="R53">
        <v>76673</v>
      </c>
      <c r="S53">
        <v>76162</v>
      </c>
      <c r="T53">
        <v>76842</v>
      </c>
      <c r="U53">
        <v>79522</v>
      </c>
      <c r="V53">
        <v>80075</v>
      </c>
      <c r="W53">
        <v>79852</v>
      </c>
      <c r="X53">
        <v>82140</v>
      </c>
      <c r="Y53">
        <v>82499</v>
      </c>
      <c r="Z53">
        <v>82735</v>
      </c>
      <c r="AA53">
        <v>83109</v>
      </c>
      <c r="AB53">
        <v>83875</v>
      </c>
      <c r="AC53">
        <v>84829</v>
      </c>
      <c r="AD53">
        <v>85646</v>
      </c>
      <c r="AE53">
        <v>86438</v>
      </c>
      <c r="AF53">
        <v>87400</v>
      </c>
      <c r="AG53">
        <v>87700</v>
      </c>
      <c r="AH53">
        <v>88364</v>
      </c>
      <c r="AI53">
        <v>88524</v>
      </c>
      <c r="AJ53">
        <v>88968</v>
      </c>
      <c r="AK53">
        <v>88880</v>
      </c>
      <c r="AL53">
        <v>89024</v>
      </c>
      <c r="AM53">
        <v>89446</v>
      </c>
      <c r="AN53">
        <v>89756</v>
      </c>
      <c r="AO53">
        <v>88935</v>
      </c>
      <c r="AP53">
        <v>89217</v>
      </c>
      <c r="AQ53">
        <v>88978</v>
      </c>
      <c r="AR53">
        <v>88819</v>
      </c>
      <c r="AS53">
        <v>89461</v>
      </c>
      <c r="AT53">
        <v>88062</v>
      </c>
      <c r="AU53">
        <v>87658</v>
      </c>
      <c r="AV53">
        <v>91166</v>
      </c>
      <c r="AW53">
        <v>91930</v>
      </c>
      <c r="AX53">
        <v>92290</v>
      </c>
      <c r="AY53">
        <v>92580</v>
      </c>
      <c r="AZ53">
        <v>92493</v>
      </c>
      <c r="BA53">
        <v>92696</v>
      </c>
      <c r="BB53">
        <v>92869</v>
      </c>
      <c r="BC53">
        <v>92980</v>
      </c>
      <c r="BD53">
        <v>93134</v>
      </c>
      <c r="BE53">
        <v>93084</v>
      </c>
      <c r="BF53">
        <v>93527</v>
      </c>
      <c r="BG53">
        <v>93662</v>
      </c>
      <c r="BH53">
        <v>93851</v>
      </c>
      <c r="BI53">
        <v>93908</v>
      </c>
      <c r="BJ53">
        <v>94061</v>
      </c>
      <c r="BK53">
        <v>94202</v>
      </c>
      <c r="BL53">
        <v>94475</v>
      </c>
      <c r="BM53">
        <v>94724</v>
      </c>
      <c r="BN53">
        <v>94811</v>
      </c>
      <c r="BO53">
        <v>94939</v>
      </c>
      <c r="BP53">
        <v>95200</v>
      </c>
      <c r="BQ53">
        <v>95331</v>
      </c>
      <c r="BR53">
        <v>95371</v>
      </c>
      <c r="BS53">
        <v>95399</v>
      </c>
      <c r="BT53">
        <v>95582</v>
      </c>
      <c r="BU53">
        <v>95719</v>
      </c>
      <c r="BV53">
        <v>95781</v>
      </c>
      <c r="BW53">
        <v>95911</v>
      </c>
      <c r="BX53">
        <v>96052</v>
      </c>
      <c r="BY53">
        <v>96191</v>
      </c>
      <c r="BZ53">
        <v>96256</v>
      </c>
      <c r="CA53">
        <v>96383</v>
      </c>
      <c r="CB53">
        <v>96435</v>
      </c>
      <c r="CC53">
        <v>96450</v>
      </c>
      <c r="CD53">
        <v>96723</v>
      </c>
      <c r="CE53">
        <v>96768</v>
      </c>
      <c r="CF53">
        <v>96781</v>
      </c>
      <c r="CG53">
        <v>96769</v>
      </c>
      <c r="CH53">
        <v>96859</v>
      </c>
      <c r="CI53">
        <v>96949</v>
      </c>
      <c r="CJ53">
        <v>97099</v>
      </c>
      <c r="CK53">
        <v>97092</v>
      </c>
      <c r="CL53">
        <v>97154</v>
      </c>
      <c r="CM53">
        <v>97227</v>
      </c>
      <c r="CN53">
        <v>97281</v>
      </c>
      <c r="CO53">
        <v>97334</v>
      </c>
      <c r="CP53">
        <v>97476</v>
      </c>
      <c r="CQ53">
        <v>97500</v>
      </c>
      <c r="CR53">
        <v>97601</v>
      </c>
      <c r="CS53">
        <v>97653</v>
      </c>
      <c r="CT53">
        <v>97696</v>
      </c>
      <c r="CU53">
        <v>97764</v>
      </c>
      <c r="CV53">
        <v>97752</v>
      </c>
      <c r="CW53">
        <v>97842</v>
      </c>
    </row>
    <row r="54" spans="1:101" x14ac:dyDescent="0.25">
      <c r="A54" t="s">
        <v>76</v>
      </c>
      <c r="B54">
        <v>65788</v>
      </c>
      <c r="C54">
        <v>67409</v>
      </c>
      <c r="D54">
        <v>69382</v>
      </c>
      <c r="E54">
        <v>69185</v>
      </c>
      <c r="F54">
        <v>70236</v>
      </c>
      <c r="G54">
        <v>70908</v>
      </c>
      <c r="H54">
        <v>71486</v>
      </c>
      <c r="I54">
        <v>72533</v>
      </c>
      <c r="J54">
        <v>72898</v>
      </c>
      <c r="K54">
        <v>74597</v>
      </c>
      <c r="L54">
        <v>73804</v>
      </c>
      <c r="M54">
        <v>73284</v>
      </c>
      <c r="N54">
        <v>76627</v>
      </c>
      <c r="O54">
        <v>76169</v>
      </c>
      <c r="P54">
        <v>75786</v>
      </c>
      <c r="Q54">
        <v>76363</v>
      </c>
      <c r="R54">
        <v>76388</v>
      </c>
      <c r="S54">
        <v>75884</v>
      </c>
      <c r="T54">
        <v>76583</v>
      </c>
      <c r="U54">
        <v>79209</v>
      </c>
      <c r="V54">
        <v>79803</v>
      </c>
      <c r="W54">
        <v>79586</v>
      </c>
      <c r="X54">
        <v>81839</v>
      </c>
      <c r="Y54">
        <v>82162</v>
      </c>
      <c r="Z54">
        <v>82433</v>
      </c>
      <c r="AA54">
        <v>82817</v>
      </c>
      <c r="AB54">
        <v>83523</v>
      </c>
      <c r="AC54">
        <v>84501</v>
      </c>
      <c r="AD54">
        <v>85327</v>
      </c>
      <c r="AE54">
        <v>86107</v>
      </c>
      <c r="AF54">
        <v>87072</v>
      </c>
      <c r="AG54">
        <v>87380</v>
      </c>
      <c r="AH54">
        <v>88027</v>
      </c>
      <c r="AI54">
        <v>88224</v>
      </c>
      <c r="AJ54">
        <v>88668</v>
      </c>
      <c r="AK54">
        <v>88650</v>
      </c>
      <c r="AL54">
        <v>88752</v>
      </c>
      <c r="AM54">
        <v>89157</v>
      </c>
      <c r="AN54">
        <v>89484</v>
      </c>
      <c r="AO54">
        <v>88687</v>
      </c>
      <c r="AP54">
        <v>88977</v>
      </c>
      <c r="AQ54">
        <v>88727</v>
      </c>
      <c r="AR54">
        <v>88558</v>
      </c>
      <c r="AS54">
        <v>89225</v>
      </c>
      <c r="AT54">
        <v>87796</v>
      </c>
      <c r="AU54">
        <v>87434</v>
      </c>
      <c r="AV54">
        <v>90924</v>
      </c>
      <c r="AW54">
        <v>91686</v>
      </c>
      <c r="AX54">
        <v>92044</v>
      </c>
      <c r="AY54">
        <v>92332</v>
      </c>
      <c r="AZ54">
        <v>92265</v>
      </c>
      <c r="BA54">
        <v>92460</v>
      </c>
      <c r="BB54">
        <v>92645</v>
      </c>
      <c r="BC54">
        <v>92764</v>
      </c>
      <c r="BD54">
        <v>92908</v>
      </c>
      <c r="BE54">
        <v>92863</v>
      </c>
      <c r="BF54">
        <v>93300</v>
      </c>
      <c r="BG54">
        <v>93419</v>
      </c>
      <c r="BH54">
        <v>93675</v>
      </c>
      <c r="BI54">
        <v>93729</v>
      </c>
      <c r="BJ54">
        <v>93877</v>
      </c>
      <c r="BK54">
        <v>94023</v>
      </c>
      <c r="BL54">
        <v>94299</v>
      </c>
      <c r="BM54">
        <v>94560</v>
      </c>
      <c r="BN54">
        <v>94667</v>
      </c>
      <c r="BO54">
        <v>94775</v>
      </c>
      <c r="BP54">
        <v>95050</v>
      </c>
      <c r="BQ54">
        <v>95208</v>
      </c>
      <c r="BR54">
        <v>95227</v>
      </c>
      <c r="BS54">
        <v>95232</v>
      </c>
      <c r="BT54">
        <v>95440</v>
      </c>
      <c r="BU54">
        <v>95578</v>
      </c>
      <c r="BV54">
        <v>95655</v>
      </c>
      <c r="BW54">
        <v>95789</v>
      </c>
      <c r="BX54">
        <v>95909</v>
      </c>
      <c r="BY54">
        <v>96050</v>
      </c>
      <c r="BZ54">
        <v>96119</v>
      </c>
      <c r="CA54">
        <v>96248</v>
      </c>
      <c r="CB54">
        <v>96301</v>
      </c>
      <c r="CC54">
        <v>96318</v>
      </c>
      <c r="CD54">
        <v>96593</v>
      </c>
      <c r="CE54">
        <v>96640</v>
      </c>
      <c r="CF54">
        <v>96656</v>
      </c>
      <c r="CG54">
        <v>96645</v>
      </c>
      <c r="CH54">
        <v>96737</v>
      </c>
      <c r="CI54">
        <v>96829</v>
      </c>
      <c r="CJ54">
        <v>96980</v>
      </c>
      <c r="CK54">
        <v>96975</v>
      </c>
      <c r="CL54">
        <v>97039</v>
      </c>
      <c r="CM54">
        <v>97115</v>
      </c>
      <c r="CN54">
        <v>97170</v>
      </c>
      <c r="CO54">
        <v>97225</v>
      </c>
      <c r="CP54">
        <v>97368</v>
      </c>
      <c r="CQ54">
        <v>97394</v>
      </c>
      <c r="CR54">
        <v>97497</v>
      </c>
      <c r="CS54">
        <v>97550</v>
      </c>
      <c r="CT54">
        <v>97594</v>
      </c>
      <c r="CU54">
        <v>97664</v>
      </c>
      <c r="CV54">
        <v>97654</v>
      </c>
      <c r="CW54">
        <v>97745</v>
      </c>
    </row>
    <row r="55" spans="1:101" x14ac:dyDescent="0.25">
      <c r="A55" t="s">
        <v>75</v>
      </c>
      <c r="B55">
        <v>65514</v>
      </c>
      <c r="C55">
        <v>67116</v>
      </c>
      <c r="D55">
        <v>69117</v>
      </c>
      <c r="E55">
        <v>68911</v>
      </c>
      <c r="F55">
        <v>69943</v>
      </c>
      <c r="G55">
        <v>70630</v>
      </c>
      <c r="H55">
        <v>71207</v>
      </c>
      <c r="I55">
        <v>72247</v>
      </c>
      <c r="J55">
        <v>72575</v>
      </c>
      <c r="K55">
        <v>74348</v>
      </c>
      <c r="L55">
        <v>73520</v>
      </c>
      <c r="M55">
        <v>73040</v>
      </c>
      <c r="N55">
        <v>76323</v>
      </c>
      <c r="O55">
        <v>75881</v>
      </c>
      <c r="P55">
        <v>75483</v>
      </c>
      <c r="Q55">
        <v>76031</v>
      </c>
      <c r="R55">
        <v>76086</v>
      </c>
      <c r="S55">
        <v>75569</v>
      </c>
      <c r="T55">
        <v>76289</v>
      </c>
      <c r="U55">
        <v>78883</v>
      </c>
      <c r="V55">
        <v>79491</v>
      </c>
      <c r="W55">
        <v>79243</v>
      </c>
      <c r="X55">
        <v>81498</v>
      </c>
      <c r="Y55">
        <v>81831</v>
      </c>
      <c r="Z55">
        <v>82106</v>
      </c>
      <c r="AA55">
        <v>82476</v>
      </c>
      <c r="AB55">
        <v>83155</v>
      </c>
      <c r="AC55">
        <v>84175</v>
      </c>
      <c r="AD55">
        <v>84930</v>
      </c>
      <c r="AE55">
        <v>85753</v>
      </c>
      <c r="AF55">
        <v>86740</v>
      </c>
      <c r="AG55">
        <v>87004</v>
      </c>
      <c r="AH55">
        <v>87695</v>
      </c>
      <c r="AI55">
        <v>87890</v>
      </c>
      <c r="AJ55">
        <v>88330</v>
      </c>
      <c r="AK55">
        <v>88340</v>
      </c>
      <c r="AL55">
        <v>88472</v>
      </c>
      <c r="AM55">
        <v>88854</v>
      </c>
      <c r="AN55">
        <v>89228</v>
      </c>
      <c r="AO55">
        <v>88380</v>
      </c>
      <c r="AP55">
        <v>88699</v>
      </c>
      <c r="AQ55">
        <v>88489</v>
      </c>
      <c r="AR55">
        <v>88291</v>
      </c>
      <c r="AS55">
        <v>88945</v>
      </c>
      <c r="AT55">
        <v>87550</v>
      </c>
      <c r="AU55">
        <v>87182</v>
      </c>
      <c r="AV55">
        <v>90659</v>
      </c>
      <c r="AW55">
        <v>91412</v>
      </c>
      <c r="AX55">
        <v>91766</v>
      </c>
      <c r="AY55">
        <v>92057</v>
      </c>
      <c r="AZ55">
        <v>92018</v>
      </c>
      <c r="BA55">
        <v>92215</v>
      </c>
      <c r="BB55">
        <v>92375</v>
      </c>
      <c r="BC55">
        <v>92525</v>
      </c>
      <c r="BD55">
        <v>92642</v>
      </c>
      <c r="BE55">
        <v>92617</v>
      </c>
      <c r="BF55">
        <v>93075</v>
      </c>
      <c r="BG55">
        <v>93209</v>
      </c>
      <c r="BH55">
        <v>93477</v>
      </c>
      <c r="BI55">
        <v>93541</v>
      </c>
      <c r="BJ55">
        <v>93711</v>
      </c>
      <c r="BK55">
        <v>93824</v>
      </c>
      <c r="BL55">
        <v>94107</v>
      </c>
      <c r="BM55">
        <v>94351</v>
      </c>
      <c r="BN55">
        <v>94491</v>
      </c>
      <c r="BO55">
        <v>94594</v>
      </c>
      <c r="BP55">
        <v>94872</v>
      </c>
      <c r="BQ55">
        <v>95054</v>
      </c>
      <c r="BR55">
        <v>95069</v>
      </c>
      <c r="BS55">
        <v>95062</v>
      </c>
      <c r="BT55">
        <v>95268</v>
      </c>
      <c r="BU55">
        <v>95413</v>
      </c>
      <c r="BV55">
        <v>95501</v>
      </c>
      <c r="BW55">
        <v>95632</v>
      </c>
      <c r="BX55">
        <v>95755</v>
      </c>
      <c r="BY55">
        <v>95899</v>
      </c>
      <c r="BZ55">
        <v>95971</v>
      </c>
      <c r="CA55">
        <v>96102</v>
      </c>
      <c r="CB55">
        <v>96158</v>
      </c>
      <c r="CC55">
        <v>96177</v>
      </c>
      <c r="CD55">
        <v>96454</v>
      </c>
      <c r="CE55">
        <v>96503</v>
      </c>
      <c r="CF55">
        <v>96521</v>
      </c>
      <c r="CG55">
        <v>96513</v>
      </c>
      <c r="CH55">
        <v>96607</v>
      </c>
      <c r="CI55">
        <v>96701</v>
      </c>
      <c r="CJ55">
        <v>96853</v>
      </c>
      <c r="CK55">
        <v>96850</v>
      </c>
      <c r="CL55">
        <v>96916</v>
      </c>
      <c r="CM55">
        <v>96993</v>
      </c>
      <c r="CN55">
        <v>97050</v>
      </c>
      <c r="CO55">
        <v>97108</v>
      </c>
      <c r="CP55">
        <v>97252</v>
      </c>
      <c r="CQ55">
        <v>97280</v>
      </c>
      <c r="CR55">
        <v>97385</v>
      </c>
      <c r="CS55">
        <v>97439</v>
      </c>
      <c r="CT55">
        <v>97485</v>
      </c>
      <c r="CU55">
        <v>97557</v>
      </c>
      <c r="CV55">
        <v>97549</v>
      </c>
      <c r="CW55">
        <v>97641</v>
      </c>
    </row>
    <row r="56" spans="1:101" x14ac:dyDescent="0.25">
      <c r="A56" t="s">
        <v>74</v>
      </c>
      <c r="B56">
        <v>65213</v>
      </c>
      <c r="C56">
        <v>66786</v>
      </c>
      <c r="D56">
        <v>68823</v>
      </c>
      <c r="E56">
        <v>68607</v>
      </c>
      <c r="F56">
        <v>69675</v>
      </c>
      <c r="G56">
        <v>70311</v>
      </c>
      <c r="H56">
        <v>70898</v>
      </c>
      <c r="I56">
        <v>71933</v>
      </c>
      <c r="J56">
        <v>72264</v>
      </c>
      <c r="K56">
        <v>74032</v>
      </c>
      <c r="L56">
        <v>73199</v>
      </c>
      <c r="M56">
        <v>72766</v>
      </c>
      <c r="N56">
        <v>76015</v>
      </c>
      <c r="O56">
        <v>75545</v>
      </c>
      <c r="P56">
        <v>75163</v>
      </c>
      <c r="Q56">
        <v>75637</v>
      </c>
      <c r="R56">
        <v>75704</v>
      </c>
      <c r="S56">
        <v>75241</v>
      </c>
      <c r="T56">
        <v>75933</v>
      </c>
      <c r="U56">
        <v>78535</v>
      </c>
      <c r="V56">
        <v>79148</v>
      </c>
      <c r="W56">
        <v>78842</v>
      </c>
      <c r="X56">
        <v>81129</v>
      </c>
      <c r="Y56">
        <v>81462</v>
      </c>
      <c r="Z56">
        <v>81732</v>
      </c>
      <c r="AA56">
        <v>82093</v>
      </c>
      <c r="AB56">
        <v>82799</v>
      </c>
      <c r="AC56">
        <v>83797</v>
      </c>
      <c r="AD56">
        <v>84529</v>
      </c>
      <c r="AE56">
        <v>85377</v>
      </c>
      <c r="AF56">
        <v>86384</v>
      </c>
      <c r="AG56">
        <v>86630</v>
      </c>
      <c r="AH56">
        <v>87329</v>
      </c>
      <c r="AI56">
        <v>87541</v>
      </c>
      <c r="AJ56">
        <v>87983</v>
      </c>
      <c r="AK56">
        <v>88027</v>
      </c>
      <c r="AL56">
        <v>88160</v>
      </c>
      <c r="AM56">
        <v>88540</v>
      </c>
      <c r="AN56">
        <v>88885</v>
      </c>
      <c r="AO56">
        <v>88083</v>
      </c>
      <c r="AP56">
        <v>88424</v>
      </c>
      <c r="AQ56">
        <v>88169</v>
      </c>
      <c r="AR56">
        <v>88000</v>
      </c>
      <c r="AS56">
        <v>88674</v>
      </c>
      <c r="AT56">
        <v>87262</v>
      </c>
      <c r="AU56">
        <v>86877</v>
      </c>
      <c r="AV56">
        <v>90373</v>
      </c>
      <c r="AW56">
        <v>91156</v>
      </c>
      <c r="AX56">
        <v>91425</v>
      </c>
      <c r="AY56">
        <v>91779</v>
      </c>
      <c r="AZ56">
        <v>91747</v>
      </c>
      <c r="BA56">
        <v>91954</v>
      </c>
      <c r="BB56">
        <v>92082</v>
      </c>
      <c r="BC56">
        <v>92217</v>
      </c>
      <c r="BD56">
        <v>92384</v>
      </c>
      <c r="BE56">
        <v>92378</v>
      </c>
      <c r="BF56">
        <v>92795</v>
      </c>
      <c r="BG56">
        <v>92974</v>
      </c>
      <c r="BH56">
        <v>93242</v>
      </c>
      <c r="BI56">
        <v>93304</v>
      </c>
      <c r="BJ56">
        <v>93497</v>
      </c>
      <c r="BK56">
        <v>93622</v>
      </c>
      <c r="BL56">
        <v>93903</v>
      </c>
      <c r="BM56">
        <v>94152</v>
      </c>
      <c r="BN56">
        <v>94303</v>
      </c>
      <c r="BO56">
        <v>94405</v>
      </c>
      <c r="BP56">
        <v>94660</v>
      </c>
      <c r="BQ56">
        <v>94868</v>
      </c>
      <c r="BR56">
        <v>94892</v>
      </c>
      <c r="BS56">
        <v>94879</v>
      </c>
      <c r="BT56">
        <v>95070</v>
      </c>
      <c r="BU56">
        <v>95248</v>
      </c>
      <c r="BV56">
        <v>95328</v>
      </c>
      <c r="BW56">
        <v>95464</v>
      </c>
      <c r="BX56">
        <v>95590</v>
      </c>
      <c r="BY56">
        <v>95736</v>
      </c>
      <c r="BZ56">
        <v>95810</v>
      </c>
      <c r="CA56">
        <v>95944</v>
      </c>
      <c r="CB56">
        <v>96002</v>
      </c>
      <c r="CC56">
        <v>96024</v>
      </c>
      <c r="CD56">
        <v>96303</v>
      </c>
      <c r="CE56">
        <v>96355</v>
      </c>
      <c r="CF56">
        <v>96374</v>
      </c>
      <c r="CG56">
        <v>96369</v>
      </c>
      <c r="CH56">
        <v>96465</v>
      </c>
      <c r="CI56">
        <v>96561</v>
      </c>
      <c r="CJ56">
        <v>96716</v>
      </c>
      <c r="CK56">
        <v>96714</v>
      </c>
      <c r="CL56">
        <v>96783</v>
      </c>
      <c r="CM56">
        <v>96862</v>
      </c>
      <c r="CN56">
        <v>96921</v>
      </c>
      <c r="CO56">
        <v>96980</v>
      </c>
      <c r="CP56">
        <v>97127</v>
      </c>
      <c r="CQ56">
        <v>97157</v>
      </c>
      <c r="CR56">
        <v>97263</v>
      </c>
      <c r="CS56">
        <v>97319</v>
      </c>
      <c r="CT56">
        <v>97367</v>
      </c>
      <c r="CU56">
        <v>97440</v>
      </c>
      <c r="CV56">
        <v>97434</v>
      </c>
      <c r="CW56">
        <v>97529</v>
      </c>
    </row>
    <row r="57" spans="1:101" x14ac:dyDescent="0.25">
      <c r="A57" t="s">
        <v>73</v>
      </c>
      <c r="B57">
        <v>64863</v>
      </c>
      <c r="C57">
        <v>66484</v>
      </c>
      <c r="D57">
        <v>68492</v>
      </c>
      <c r="E57">
        <v>68295</v>
      </c>
      <c r="F57">
        <v>69358</v>
      </c>
      <c r="G57">
        <v>69952</v>
      </c>
      <c r="H57">
        <v>70541</v>
      </c>
      <c r="I57">
        <v>71589</v>
      </c>
      <c r="J57">
        <v>71908</v>
      </c>
      <c r="K57">
        <v>73711</v>
      </c>
      <c r="L57">
        <v>72857</v>
      </c>
      <c r="M57">
        <v>72405</v>
      </c>
      <c r="N57">
        <v>75643</v>
      </c>
      <c r="O57">
        <v>75192</v>
      </c>
      <c r="P57">
        <v>74791</v>
      </c>
      <c r="Q57">
        <v>75195</v>
      </c>
      <c r="R57">
        <v>75310</v>
      </c>
      <c r="S57">
        <v>74860</v>
      </c>
      <c r="T57">
        <v>75490</v>
      </c>
      <c r="U57">
        <v>78093</v>
      </c>
      <c r="V57">
        <v>78731</v>
      </c>
      <c r="W57">
        <v>78422</v>
      </c>
      <c r="X57">
        <v>80717</v>
      </c>
      <c r="Y57">
        <v>81045</v>
      </c>
      <c r="Z57">
        <v>81303</v>
      </c>
      <c r="AA57">
        <v>81645</v>
      </c>
      <c r="AB57">
        <v>82391</v>
      </c>
      <c r="AC57">
        <v>83359</v>
      </c>
      <c r="AD57">
        <v>84103</v>
      </c>
      <c r="AE57">
        <v>84986</v>
      </c>
      <c r="AF57">
        <v>85966</v>
      </c>
      <c r="AG57">
        <v>86212</v>
      </c>
      <c r="AH57">
        <v>86985</v>
      </c>
      <c r="AI57">
        <v>87150</v>
      </c>
      <c r="AJ57">
        <v>87563</v>
      </c>
      <c r="AK57">
        <v>87657</v>
      </c>
      <c r="AL57">
        <v>87799</v>
      </c>
      <c r="AM57">
        <v>88166</v>
      </c>
      <c r="AN57">
        <v>88514</v>
      </c>
      <c r="AO57">
        <v>87784</v>
      </c>
      <c r="AP57">
        <v>88117</v>
      </c>
      <c r="AQ57">
        <v>87858</v>
      </c>
      <c r="AR57">
        <v>87683</v>
      </c>
      <c r="AS57">
        <v>88332</v>
      </c>
      <c r="AT57">
        <v>86922</v>
      </c>
      <c r="AU57">
        <v>86584</v>
      </c>
      <c r="AV57">
        <v>90070</v>
      </c>
      <c r="AW57">
        <v>90830</v>
      </c>
      <c r="AX57">
        <v>91138</v>
      </c>
      <c r="AY57">
        <v>91477</v>
      </c>
      <c r="AZ57">
        <v>91441</v>
      </c>
      <c r="BA57">
        <v>91646</v>
      </c>
      <c r="BB57">
        <v>91821</v>
      </c>
      <c r="BC57">
        <v>91919</v>
      </c>
      <c r="BD57">
        <v>92093</v>
      </c>
      <c r="BE57">
        <v>92107</v>
      </c>
      <c r="BF57">
        <v>92515</v>
      </c>
      <c r="BG57">
        <v>92711</v>
      </c>
      <c r="BH57">
        <v>93009</v>
      </c>
      <c r="BI57">
        <v>93066</v>
      </c>
      <c r="BJ57">
        <v>93275</v>
      </c>
      <c r="BK57">
        <v>93407</v>
      </c>
      <c r="BL57">
        <v>93676</v>
      </c>
      <c r="BM57">
        <v>93940</v>
      </c>
      <c r="BN57">
        <v>94113</v>
      </c>
      <c r="BO57">
        <v>94195</v>
      </c>
      <c r="BP57">
        <v>94461</v>
      </c>
      <c r="BQ57">
        <v>94683</v>
      </c>
      <c r="BR57">
        <v>94683</v>
      </c>
      <c r="BS57">
        <v>94688</v>
      </c>
      <c r="BT57">
        <v>94881</v>
      </c>
      <c r="BU57">
        <v>95058</v>
      </c>
      <c r="BV57">
        <v>95143</v>
      </c>
      <c r="BW57">
        <v>95282</v>
      </c>
      <c r="BX57">
        <v>95411</v>
      </c>
      <c r="BY57">
        <v>95560</v>
      </c>
      <c r="BZ57">
        <v>95637</v>
      </c>
      <c r="CA57">
        <v>95774</v>
      </c>
      <c r="CB57">
        <v>95834</v>
      </c>
      <c r="CC57">
        <v>95859</v>
      </c>
      <c r="CD57">
        <v>96140</v>
      </c>
      <c r="CE57">
        <v>96194</v>
      </c>
      <c r="CF57">
        <v>96216</v>
      </c>
      <c r="CG57">
        <v>96213</v>
      </c>
      <c r="CH57">
        <v>96311</v>
      </c>
      <c r="CI57">
        <v>96410</v>
      </c>
      <c r="CJ57">
        <v>96567</v>
      </c>
      <c r="CK57">
        <v>96567</v>
      </c>
      <c r="CL57">
        <v>96638</v>
      </c>
      <c r="CM57">
        <v>96720</v>
      </c>
      <c r="CN57">
        <v>96782</v>
      </c>
      <c r="CO57">
        <v>96843</v>
      </c>
      <c r="CP57">
        <v>96991</v>
      </c>
      <c r="CQ57">
        <v>97023</v>
      </c>
      <c r="CR57">
        <v>97132</v>
      </c>
      <c r="CS57">
        <v>97190</v>
      </c>
      <c r="CT57">
        <v>97240</v>
      </c>
      <c r="CU57">
        <v>97315</v>
      </c>
      <c r="CV57">
        <v>97311</v>
      </c>
      <c r="CW57">
        <v>97407</v>
      </c>
    </row>
    <row r="58" spans="1:101" x14ac:dyDescent="0.25">
      <c r="A58" t="s">
        <v>72</v>
      </c>
      <c r="B58">
        <v>64516</v>
      </c>
      <c r="C58">
        <v>66107</v>
      </c>
      <c r="D58">
        <v>68096</v>
      </c>
      <c r="E58">
        <v>67929</v>
      </c>
      <c r="F58">
        <v>69015</v>
      </c>
      <c r="G58">
        <v>69612</v>
      </c>
      <c r="H58">
        <v>70169</v>
      </c>
      <c r="I58">
        <v>71215</v>
      </c>
      <c r="J58">
        <v>71563</v>
      </c>
      <c r="K58">
        <v>73395</v>
      </c>
      <c r="L58">
        <v>72482</v>
      </c>
      <c r="M58">
        <v>72033</v>
      </c>
      <c r="N58">
        <v>75229</v>
      </c>
      <c r="O58">
        <v>74761</v>
      </c>
      <c r="P58">
        <v>74389</v>
      </c>
      <c r="Q58">
        <v>74779</v>
      </c>
      <c r="R58">
        <v>74895</v>
      </c>
      <c r="S58">
        <v>74435</v>
      </c>
      <c r="T58">
        <v>75046</v>
      </c>
      <c r="U58">
        <v>77634</v>
      </c>
      <c r="V58">
        <v>78241</v>
      </c>
      <c r="W58">
        <v>77957</v>
      </c>
      <c r="X58">
        <v>80273</v>
      </c>
      <c r="Y58">
        <v>80636</v>
      </c>
      <c r="Z58">
        <v>80850</v>
      </c>
      <c r="AA58">
        <v>81182</v>
      </c>
      <c r="AB58">
        <v>81929</v>
      </c>
      <c r="AC58">
        <v>82922</v>
      </c>
      <c r="AD58">
        <v>83673</v>
      </c>
      <c r="AE58">
        <v>84550</v>
      </c>
      <c r="AF58">
        <v>85511</v>
      </c>
      <c r="AG58">
        <v>85728</v>
      </c>
      <c r="AH58">
        <v>86549</v>
      </c>
      <c r="AI58">
        <v>86737</v>
      </c>
      <c r="AJ58">
        <v>87164</v>
      </c>
      <c r="AK58">
        <v>87265</v>
      </c>
      <c r="AL58">
        <v>87364</v>
      </c>
      <c r="AM58">
        <v>87780</v>
      </c>
      <c r="AN58">
        <v>88121</v>
      </c>
      <c r="AO58">
        <v>87427</v>
      </c>
      <c r="AP58">
        <v>87772</v>
      </c>
      <c r="AQ58">
        <v>87523</v>
      </c>
      <c r="AR58">
        <v>87334</v>
      </c>
      <c r="AS58">
        <v>87922</v>
      </c>
      <c r="AT58">
        <v>86597</v>
      </c>
      <c r="AU58">
        <v>86257</v>
      </c>
      <c r="AV58">
        <v>89731</v>
      </c>
      <c r="AW58">
        <v>90507</v>
      </c>
      <c r="AX58">
        <v>90783</v>
      </c>
      <c r="AY58">
        <v>91130</v>
      </c>
      <c r="AZ58">
        <v>91105</v>
      </c>
      <c r="BA58">
        <v>91285</v>
      </c>
      <c r="BB58">
        <v>91503</v>
      </c>
      <c r="BC58">
        <v>91592</v>
      </c>
      <c r="BD58">
        <v>91794</v>
      </c>
      <c r="BE58">
        <v>91782</v>
      </c>
      <c r="BF58">
        <v>92227</v>
      </c>
      <c r="BG58">
        <v>92444</v>
      </c>
      <c r="BH58">
        <v>92753</v>
      </c>
      <c r="BI58">
        <v>92813</v>
      </c>
      <c r="BJ58">
        <v>93007</v>
      </c>
      <c r="BK58">
        <v>93167</v>
      </c>
      <c r="BL58">
        <v>93419</v>
      </c>
      <c r="BM58">
        <v>93705</v>
      </c>
      <c r="BN58">
        <v>93886</v>
      </c>
      <c r="BO58">
        <v>93955</v>
      </c>
      <c r="BP58">
        <v>94257</v>
      </c>
      <c r="BQ58">
        <v>94489</v>
      </c>
      <c r="BR58">
        <v>94506</v>
      </c>
      <c r="BS58">
        <v>94475</v>
      </c>
      <c r="BT58">
        <v>94673</v>
      </c>
      <c r="BU58">
        <v>94855</v>
      </c>
      <c r="BV58">
        <v>94943</v>
      </c>
      <c r="BW58">
        <v>95085</v>
      </c>
      <c r="BX58">
        <v>95216</v>
      </c>
      <c r="BY58">
        <v>95369</v>
      </c>
      <c r="BZ58">
        <v>95449</v>
      </c>
      <c r="CA58">
        <v>95588</v>
      </c>
      <c r="CB58">
        <v>95652</v>
      </c>
      <c r="CC58">
        <v>95680</v>
      </c>
      <c r="CD58">
        <v>95963</v>
      </c>
      <c r="CE58">
        <v>96020</v>
      </c>
      <c r="CF58">
        <v>96044</v>
      </c>
      <c r="CG58">
        <v>96044</v>
      </c>
      <c r="CH58">
        <v>96145</v>
      </c>
      <c r="CI58">
        <v>96246</v>
      </c>
      <c r="CJ58">
        <v>96405</v>
      </c>
      <c r="CK58">
        <v>96408</v>
      </c>
      <c r="CL58">
        <v>96482</v>
      </c>
      <c r="CM58">
        <v>96565</v>
      </c>
      <c r="CN58">
        <v>96630</v>
      </c>
      <c r="CO58">
        <v>96694</v>
      </c>
      <c r="CP58">
        <v>96843</v>
      </c>
      <c r="CQ58">
        <v>96879</v>
      </c>
      <c r="CR58">
        <v>96989</v>
      </c>
      <c r="CS58">
        <v>97049</v>
      </c>
      <c r="CT58">
        <v>97102</v>
      </c>
      <c r="CU58">
        <v>97179</v>
      </c>
      <c r="CV58">
        <v>97176</v>
      </c>
      <c r="CW58">
        <v>97275</v>
      </c>
    </row>
    <row r="59" spans="1:101" x14ac:dyDescent="0.25">
      <c r="A59" t="s">
        <v>71</v>
      </c>
      <c r="B59">
        <v>64147</v>
      </c>
      <c r="C59">
        <v>65683</v>
      </c>
      <c r="D59">
        <v>67671</v>
      </c>
      <c r="E59">
        <v>67498</v>
      </c>
      <c r="F59">
        <v>68569</v>
      </c>
      <c r="G59">
        <v>69195</v>
      </c>
      <c r="H59">
        <v>69766</v>
      </c>
      <c r="I59">
        <v>70777</v>
      </c>
      <c r="J59">
        <v>71130</v>
      </c>
      <c r="K59">
        <v>72936</v>
      </c>
      <c r="L59">
        <v>72036</v>
      </c>
      <c r="M59">
        <v>71581</v>
      </c>
      <c r="N59">
        <v>74755</v>
      </c>
      <c r="O59">
        <v>74323</v>
      </c>
      <c r="P59">
        <v>73880</v>
      </c>
      <c r="Q59">
        <v>74312</v>
      </c>
      <c r="R59">
        <v>74402</v>
      </c>
      <c r="S59">
        <v>74002</v>
      </c>
      <c r="T59">
        <v>74571</v>
      </c>
      <c r="U59">
        <v>77129</v>
      </c>
      <c r="V59">
        <v>77730</v>
      </c>
      <c r="W59">
        <v>77421</v>
      </c>
      <c r="X59">
        <v>79789</v>
      </c>
      <c r="Y59">
        <v>80131</v>
      </c>
      <c r="Z59">
        <v>80319</v>
      </c>
      <c r="AA59">
        <v>80707</v>
      </c>
      <c r="AB59">
        <v>81467</v>
      </c>
      <c r="AC59">
        <v>82428</v>
      </c>
      <c r="AD59">
        <v>83203</v>
      </c>
      <c r="AE59">
        <v>84055</v>
      </c>
      <c r="AF59">
        <v>85014</v>
      </c>
      <c r="AG59">
        <v>85263</v>
      </c>
      <c r="AH59">
        <v>86117</v>
      </c>
      <c r="AI59">
        <v>86298</v>
      </c>
      <c r="AJ59">
        <v>86723</v>
      </c>
      <c r="AK59">
        <v>86844</v>
      </c>
      <c r="AL59">
        <v>86944</v>
      </c>
      <c r="AM59">
        <v>87360</v>
      </c>
      <c r="AN59">
        <v>87714</v>
      </c>
      <c r="AO59">
        <v>87037</v>
      </c>
      <c r="AP59">
        <v>87373</v>
      </c>
      <c r="AQ59">
        <v>87146</v>
      </c>
      <c r="AR59">
        <v>86952</v>
      </c>
      <c r="AS59">
        <v>87542</v>
      </c>
      <c r="AT59">
        <v>86219</v>
      </c>
      <c r="AU59">
        <v>85880</v>
      </c>
      <c r="AV59">
        <v>89371</v>
      </c>
      <c r="AW59">
        <v>90111</v>
      </c>
      <c r="AX59">
        <v>90411</v>
      </c>
      <c r="AY59">
        <v>90774</v>
      </c>
      <c r="AZ59">
        <v>90734</v>
      </c>
      <c r="BA59">
        <v>90938</v>
      </c>
      <c r="BB59">
        <v>91143</v>
      </c>
      <c r="BC59">
        <v>91242</v>
      </c>
      <c r="BD59">
        <v>91473</v>
      </c>
      <c r="BE59">
        <v>91459</v>
      </c>
      <c r="BF59">
        <v>91947</v>
      </c>
      <c r="BG59">
        <v>92127</v>
      </c>
      <c r="BH59">
        <v>92459</v>
      </c>
      <c r="BI59">
        <v>92523</v>
      </c>
      <c r="BJ59">
        <v>92727</v>
      </c>
      <c r="BK59">
        <v>92902</v>
      </c>
      <c r="BL59">
        <v>93147</v>
      </c>
      <c r="BM59">
        <v>93466</v>
      </c>
      <c r="BN59">
        <v>93642</v>
      </c>
      <c r="BO59">
        <v>93728</v>
      </c>
      <c r="BP59">
        <v>94019</v>
      </c>
      <c r="BQ59">
        <v>94251</v>
      </c>
      <c r="BR59">
        <v>94271</v>
      </c>
      <c r="BS59">
        <v>94243</v>
      </c>
      <c r="BT59">
        <v>94447</v>
      </c>
      <c r="BU59">
        <v>94633</v>
      </c>
      <c r="BV59">
        <v>94725</v>
      </c>
      <c r="BW59">
        <v>94870</v>
      </c>
      <c r="BX59">
        <v>95005</v>
      </c>
      <c r="BY59">
        <v>95160</v>
      </c>
      <c r="BZ59">
        <v>95243</v>
      </c>
      <c r="CA59">
        <v>95386</v>
      </c>
      <c r="CB59">
        <v>95453</v>
      </c>
      <c r="CC59">
        <v>95483</v>
      </c>
      <c r="CD59">
        <v>95770</v>
      </c>
      <c r="CE59">
        <v>95829</v>
      </c>
      <c r="CF59">
        <v>95856</v>
      </c>
      <c r="CG59">
        <v>95859</v>
      </c>
      <c r="CH59">
        <v>95963</v>
      </c>
      <c r="CI59">
        <v>96067</v>
      </c>
      <c r="CJ59">
        <v>96229</v>
      </c>
      <c r="CK59">
        <v>96235</v>
      </c>
      <c r="CL59">
        <v>96311</v>
      </c>
      <c r="CM59">
        <v>96397</v>
      </c>
      <c r="CN59">
        <v>96464</v>
      </c>
      <c r="CO59">
        <v>96531</v>
      </c>
      <c r="CP59">
        <v>96682</v>
      </c>
      <c r="CQ59">
        <v>96721</v>
      </c>
      <c r="CR59">
        <v>96834</v>
      </c>
      <c r="CS59">
        <v>96896</v>
      </c>
      <c r="CT59">
        <v>96951</v>
      </c>
      <c r="CU59">
        <v>97030</v>
      </c>
      <c r="CV59">
        <v>97031</v>
      </c>
      <c r="CW59">
        <v>97131</v>
      </c>
    </row>
    <row r="60" spans="1:101" x14ac:dyDescent="0.25">
      <c r="A60" t="s">
        <v>70</v>
      </c>
      <c r="B60">
        <v>63732</v>
      </c>
      <c r="C60">
        <v>65246</v>
      </c>
      <c r="D60">
        <v>67224</v>
      </c>
      <c r="E60">
        <v>67063</v>
      </c>
      <c r="F60">
        <v>68122</v>
      </c>
      <c r="G60">
        <v>68731</v>
      </c>
      <c r="H60">
        <v>69322</v>
      </c>
      <c r="I60">
        <v>70337</v>
      </c>
      <c r="J60">
        <v>70676</v>
      </c>
      <c r="K60">
        <v>72406</v>
      </c>
      <c r="L60">
        <v>71521</v>
      </c>
      <c r="M60">
        <v>71118</v>
      </c>
      <c r="N60">
        <v>74285</v>
      </c>
      <c r="O60">
        <v>73747</v>
      </c>
      <c r="P60">
        <v>73379</v>
      </c>
      <c r="Q60">
        <v>73806</v>
      </c>
      <c r="R60">
        <v>73802</v>
      </c>
      <c r="S60">
        <v>73500</v>
      </c>
      <c r="T60">
        <v>74008</v>
      </c>
      <c r="U60">
        <v>76588</v>
      </c>
      <c r="V60">
        <v>77171</v>
      </c>
      <c r="W60">
        <v>76852</v>
      </c>
      <c r="X60">
        <v>79295</v>
      </c>
      <c r="Y60">
        <v>79525</v>
      </c>
      <c r="Z60">
        <v>79759</v>
      </c>
      <c r="AA60">
        <v>80179</v>
      </c>
      <c r="AB60">
        <v>80942</v>
      </c>
      <c r="AC60">
        <v>81898</v>
      </c>
      <c r="AD60">
        <v>82640</v>
      </c>
      <c r="AE60">
        <v>83515</v>
      </c>
      <c r="AF60">
        <v>84458</v>
      </c>
      <c r="AG60">
        <v>84771</v>
      </c>
      <c r="AH60">
        <v>85561</v>
      </c>
      <c r="AI60">
        <v>85800</v>
      </c>
      <c r="AJ60">
        <v>86207</v>
      </c>
      <c r="AK60">
        <v>86365</v>
      </c>
      <c r="AL60">
        <v>86469</v>
      </c>
      <c r="AM60">
        <v>86883</v>
      </c>
      <c r="AN60">
        <v>87289</v>
      </c>
      <c r="AO60">
        <v>86609</v>
      </c>
      <c r="AP60">
        <v>86946</v>
      </c>
      <c r="AQ60">
        <v>86703</v>
      </c>
      <c r="AR60">
        <v>86554</v>
      </c>
      <c r="AS60">
        <v>87105</v>
      </c>
      <c r="AT60">
        <v>85806</v>
      </c>
      <c r="AU60">
        <v>85509</v>
      </c>
      <c r="AV60">
        <v>88967</v>
      </c>
      <c r="AW60">
        <v>89687</v>
      </c>
      <c r="AX60">
        <v>90049</v>
      </c>
      <c r="AY60">
        <v>90394</v>
      </c>
      <c r="AZ60">
        <v>90351</v>
      </c>
      <c r="BA60">
        <v>90541</v>
      </c>
      <c r="BB60">
        <v>90783</v>
      </c>
      <c r="BC60">
        <v>90882</v>
      </c>
      <c r="BD60">
        <v>91117</v>
      </c>
      <c r="BE60">
        <v>91143</v>
      </c>
      <c r="BF60">
        <v>91581</v>
      </c>
      <c r="BG60">
        <v>91799</v>
      </c>
      <c r="BH60">
        <v>92154</v>
      </c>
      <c r="BI60">
        <v>92232</v>
      </c>
      <c r="BJ60">
        <v>92432</v>
      </c>
      <c r="BK60">
        <v>92592</v>
      </c>
      <c r="BL60">
        <v>92883</v>
      </c>
      <c r="BM60">
        <v>93178</v>
      </c>
      <c r="BN60">
        <v>93371</v>
      </c>
      <c r="BO60">
        <v>93476</v>
      </c>
      <c r="BP60">
        <v>93745</v>
      </c>
      <c r="BQ60">
        <v>93986</v>
      </c>
      <c r="BR60">
        <v>94015</v>
      </c>
      <c r="BS60">
        <v>93994</v>
      </c>
      <c r="BT60">
        <v>94203</v>
      </c>
      <c r="BU60">
        <v>94393</v>
      </c>
      <c r="BV60">
        <v>94488</v>
      </c>
      <c r="BW60">
        <v>94637</v>
      </c>
      <c r="BX60">
        <v>94775</v>
      </c>
      <c r="BY60">
        <v>94934</v>
      </c>
      <c r="BZ60">
        <v>95021</v>
      </c>
      <c r="CA60">
        <v>95167</v>
      </c>
      <c r="CB60">
        <v>95236</v>
      </c>
      <c r="CC60">
        <v>95270</v>
      </c>
      <c r="CD60">
        <v>95560</v>
      </c>
      <c r="CE60">
        <v>95622</v>
      </c>
      <c r="CF60">
        <v>95653</v>
      </c>
      <c r="CG60">
        <v>95659</v>
      </c>
      <c r="CH60">
        <v>95765</v>
      </c>
      <c r="CI60">
        <v>95873</v>
      </c>
      <c r="CJ60">
        <v>96038</v>
      </c>
      <c r="CK60">
        <v>96046</v>
      </c>
      <c r="CL60">
        <v>96125</v>
      </c>
      <c r="CM60">
        <v>96215</v>
      </c>
      <c r="CN60">
        <v>96285</v>
      </c>
      <c r="CO60">
        <v>96354</v>
      </c>
      <c r="CP60">
        <v>96507</v>
      </c>
      <c r="CQ60">
        <v>96549</v>
      </c>
      <c r="CR60">
        <v>96664</v>
      </c>
      <c r="CS60">
        <v>96729</v>
      </c>
      <c r="CT60">
        <v>96787</v>
      </c>
      <c r="CU60">
        <v>96869</v>
      </c>
      <c r="CV60">
        <v>96871</v>
      </c>
      <c r="CW60">
        <v>96974</v>
      </c>
    </row>
    <row r="61" spans="1:101" x14ac:dyDescent="0.25">
      <c r="A61" t="s">
        <v>69</v>
      </c>
      <c r="B61">
        <v>63298</v>
      </c>
      <c r="C61">
        <v>64780</v>
      </c>
      <c r="D61">
        <v>66709</v>
      </c>
      <c r="E61">
        <v>66565</v>
      </c>
      <c r="F61">
        <v>67598</v>
      </c>
      <c r="G61">
        <v>68204</v>
      </c>
      <c r="H61">
        <v>68803</v>
      </c>
      <c r="I61">
        <v>69812</v>
      </c>
      <c r="J61">
        <v>70124</v>
      </c>
      <c r="K61">
        <v>71860</v>
      </c>
      <c r="L61">
        <v>70969</v>
      </c>
      <c r="M61">
        <v>70582</v>
      </c>
      <c r="N61">
        <v>73694</v>
      </c>
      <c r="O61">
        <v>73135</v>
      </c>
      <c r="P61">
        <v>72786</v>
      </c>
      <c r="Q61">
        <v>73232</v>
      </c>
      <c r="R61">
        <v>73204</v>
      </c>
      <c r="S61">
        <v>72869</v>
      </c>
      <c r="T61">
        <v>73379</v>
      </c>
      <c r="U61">
        <v>75964</v>
      </c>
      <c r="V61">
        <v>76553</v>
      </c>
      <c r="W61">
        <v>76236</v>
      </c>
      <c r="X61">
        <v>78701</v>
      </c>
      <c r="Y61">
        <v>78903</v>
      </c>
      <c r="Z61">
        <v>79173</v>
      </c>
      <c r="AA61">
        <v>79570</v>
      </c>
      <c r="AB61">
        <v>80390</v>
      </c>
      <c r="AC61">
        <v>81287</v>
      </c>
      <c r="AD61">
        <v>82093</v>
      </c>
      <c r="AE61">
        <v>82970</v>
      </c>
      <c r="AF61">
        <v>83917</v>
      </c>
      <c r="AG61">
        <v>84215</v>
      </c>
      <c r="AH61">
        <v>85010</v>
      </c>
      <c r="AI61">
        <v>85218</v>
      </c>
      <c r="AJ61">
        <v>85674</v>
      </c>
      <c r="AK61">
        <v>85832</v>
      </c>
      <c r="AL61">
        <v>85960</v>
      </c>
      <c r="AM61">
        <v>86368</v>
      </c>
      <c r="AN61">
        <v>86783</v>
      </c>
      <c r="AO61">
        <v>86141</v>
      </c>
      <c r="AP61">
        <v>86496</v>
      </c>
      <c r="AQ61">
        <v>86221</v>
      </c>
      <c r="AR61">
        <v>86126</v>
      </c>
      <c r="AS61">
        <v>86623</v>
      </c>
      <c r="AT61">
        <v>85353</v>
      </c>
      <c r="AU61">
        <v>85077</v>
      </c>
      <c r="AV61">
        <v>88547</v>
      </c>
      <c r="AW61">
        <v>89217</v>
      </c>
      <c r="AX61">
        <v>89612</v>
      </c>
      <c r="AY61">
        <v>89997</v>
      </c>
      <c r="AZ61">
        <v>89919</v>
      </c>
      <c r="BA61">
        <v>90078</v>
      </c>
      <c r="BB61">
        <v>90433</v>
      </c>
      <c r="BC61">
        <v>90509</v>
      </c>
      <c r="BD61">
        <v>90758</v>
      </c>
      <c r="BE61">
        <v>90790</v>
      </c>
      <c r="BF61">
        <v>91229</v>
      </c>
      <c r="BG61">
        <v>91468</v>
      </c>
      <c r="BH61">
        <v>91848</v>
      </c>
      <c r="BI61">
        <v>91897</v>
      </c>
      <c r="BJ61">
        <v>92101</v>
      </c>
      <c r="BK61">
        <v>92277</v>
      </c>
      <c r="BL61">
        <v>92584</v>
      </c>
      <c r="BM61">
        <v>92883</v>
      </c>
      <c r="BN61">
        <v>93068</v>
      </c>
      <c r="BO61">
        <v>93215</v>
      </c>
      <c r="BP61">
        <v>93475</v>
      </c>
      <c r="BQ61">
        <v>93702</v>
      </c>
      <c r="BR61">
        <v>93740</v>
      </c>
      <c r="BS61">
        <v>93725</v>
      </c>
      <c r="BT61">
        <v>93937</v>
      </c>
      <c r="BU61">
        <v>94131</v>
      </c>
      <c r="BV61">
        <v>94230</v>
      </c>
      <c r="BW61">
        <v>94383</v>
      </c>
      <c r="BX61">
        <v>94526</v>
      </c>
      <c r="BY61">
        <v>94688</v>
      </c>
      <c r="BZ61">
        <v>94778</v>
      </c>
      <c r="CA61">
        <v>94928</v>
      </c>
      <c r="CB61">
        <v>95001</v>
      </c>
      <c r="CC61">
        <v>95039</v>
      </c>
      <c r="CD61">
        <v>95332</v>
      </c>
      <c r="CE61">
        <v>95398</v>
      </c>
      <c r="CF61">
        <v>95432</v>
      </c>
      <c r="CG61">
        <v>95442</v>
      </c>
      <c r="CH61">
        <v>95551</v>
      </c>
      <c r="CI61">
        <v>95662</v>
      </c>
      <c r="CJ61">
        <v>95830</v>
      </c>
      <c r="CK61">
        <v>95841</v>
      </c>
      <c r="CL61">
        <v>95924</v>
      </c>
      <c r="CM61">
        <v>96017</v>
      </c>
      <c r="CN61">
        <v>96090</v>
      </c>
      <c r="CO61">
        <v>96163</v>
      </c>
      <c r="CP61">
        <v>96318</v>
      </c>
      <c r="CQ61">
        <v>96362</v>
      </c>
      <c r="CR61">
        <v>96481</v>
      </c>
      <c r="CS61">
        <v>96548</v>
      </c>
      <c r="CT61">
        <v>96609</v>
      </c>
      <c r="CU61">
        <v>96693</v>
      </c>
      <c r="CV61">
        <v>96699</v>
      </c>
      <c r="CW61">
        <v>96805</v>
      </c>
    </row>
    <row r="62" spans="1:101" x14ac:dyDescent="0.25">
      <c r="A62" t="s">
        <v>68</v>
      </c>
      <c r="B62">
        <v>62764</v>
      </c>
      <c r="C62">
        <v>64245</v>
      </c>
      <c r="D62">
        <v>66189</v>
      </c>
      <c r="E62">
        <v>66014</v>
      </c>
      <c r="F62">
        <v>67078</v>
      </c>
      <c r="G62">
        <v>67630</v>
      </c>
      <c r="H62">
        <v>68197</v>
      </c>
      <c r="I62">
        <v>69225</v>
      </c>
      <c r="J62">
        <v>69508</v>
      </c>
      <c r="K62">
        <v>71232</v>
      </c>
      <c r="L62">
        <v>70350</v>
      </c>
      <c r="M62">
        <v>69909</v>
      </c>
      <c r="N62">
        <v>72987</v>
      </c>
      <c r="O62">
        <v>72493</v>
      </c>
      <c r="P62">
        <v>72185</v>
      </c>
      <c r="Q62">
        <v>72520</v>
      </c>
      <c r="R62">
        <v>72523</v>
      </c>
      <c r="S62">
        <v>72149</v>
      </c>
      <c r="T62">
        <v>72681</v>
      </c>
      <c r="U62">
        <v>75288</v>
      </c>
      <c r="V62">
        <v>75940</v>
      </c>
      <c r="W62">
        <v>75576</v>
      </c>
      <c r="X62">
        <v>78014</v>
      </c>
      <c r="Y62">
        <v>78252</v>
      </c>
      <c r="Z62">
        <v>78557</v>
      </c>
      <c r="AA62">
        <v>78919</v>
      </c>
      <c r="AB62">
        <v>79817</v>
      </c>
      <c r="AC62">
        <v>80685</v>
      </c>
      <c r="AD62">
        <v>81471</v>
      </c>
      <c r="AE62">
        <v>82330</v>
      </c>
      <c r="AF62">
        <v>83254</v>
      </c>
      <c r="AG62">
        <v>83588</v>
      </c>
      <c r="AH62">
        <v>84360</v>
      </c>
      <c r="AI62">
        <v>84621</v>
      </c>
      <c r="AJ62">
        <v>85092</v>
      </c>
      <c r="AK62">
        <v>85224</v>
      </c>
      <c r="AL62">
        <v>85438</v>
      </c>
      <c r="AM62">
        <v>85780</v>
      </c>
      <c r="AN62">
        <v>86248</v>
      </c>
      <c r="AO62">
        <v>85631</v>
      </c>
      <c r="AP62">
        <v>86015</v>
      </c>
      <c r="AQ62">
        <v>85741</v>
      </c>
      <c r="AR62">
        <v>85623</v>
      </c>
      <c r="AS62">
        <v>86140</v>
      </c>
      <c r="AT62">
        <v>84871</v>
      </c>
      <c r="AU62">
        <v>84604</v>
      </c>
      <c r="AV62">
        <v>88070</v>
      </c>
      <c r="AW62">
        <v>88757</v>
      </c>
      <c r="AX62">
        <v>89163</v>
      </c>
      <c r="AY62">
        <v>89543</v>
      </c>
      <c r="AZ62">
        <v>89489</v>
      </c>
      <c r="BA62">
        <v>89649</v>
      </c>
      <c r="BB62">
        <v>90041</v>
      </c>
      <c r="BC62">
        <v>90123</v>
      </c>
      <c r="BD62">
        <v>90371</v>
      </c>
      <c r="BE62">
        <v>90406</v>
      </c>
      <c r="BF62">
        <v>90869</v>
      </c>
      <c r="BG62">
        <v>91098</v>
      </c>
      <c r="BH62">
        <v>91496</v>
      </c>
      <c r="BI62">
        <v>91545</v>
      </c>
      <c r="BJ62">
        <v>91717</v>
      </c>
      <c r="BK62">
        <v>91948</v>
      </c>
      <c r="BL62">
        <v>92246</v>
      </c>
      <c r="BM62">
        <v>92559</v>
      </c>
      <c r="BN62">
        <v>92736</v>
      </c>
      <c r="BO62">
        <v>92924</v>
      </c>
      <c r="BP62">
        <v>93160</v>
      </c>
      <c r="BQ62">
        <v>93398</v>
      </c>
      <c r="BR62">
        <v>93441</v>
      </c>
      <c r="BS62">
        <v>93431</v>
      </c>
      <c r="BT62">
        <v>93648</v>
      </c>
      <c r="BU62">
        <v>93846</v>
      </c>
      <c r="BV62">
        <v>93949</v>
      </c>
      <c r="BW62">
        <v>94108</v>
      </c>
      <c r="BX62">
        <v>94253</v>
      </c>
      <c r="BY62">
        <v>94420</v>
      </c>
      <c r="BZ62">
        <v>94515</v>
      </c>
      <c r="CA62">
        <v>94668</v>
      </c>
      <c r="CB62">
        <v>94746</v>
      </c>
      <c r="CC62">
        <v>94787</v>
      </c>
      <c r="CD62">
        <v>95083</v>
      </c>
      <c r="CE62">
        <v>95153</v>
      </c>
      <c r="CF62">
        <v>95192</v>
      </c>
      <c r="CG62">
        <v>95205</v>
      </c>
      <c r="CH62">
        <v>95318</v>
      </c>
      <c r="CI62">
        <v>95432</v>
      </c>
      <c r="CJ62">
        <v>95604</v>
      </c>
      <c r="CK62">
        <v>95619</v>
      </c>
      <c r="CL62">
        <v>95705</v>
      </c>
      <c r="CM62">
        <v>95802</v>
      </c>
      <c r="CN62">
        <v>95877</v>
      </c>
      <c r="CO62">
        <v>95954</v>
      </c>
      <c r="CP62">
        <v>96113</v>
      </c>
      <c r="CQ62">
        <v>96160</v>
      </c>
      <c r="CR62">
        <v>96282</v>
      </c>
      <c r="CS62">
        <v>96352</v>
      </c>
      <c r="CT62">
        <v>96416</v>
      </c>
      <c r="CU62">
        <v>96503</v>
      </c>
      <c r="CV62">
        <v>96512</v>
      </c>
      <c r="CW62">
        <v>96621</v>
      </c>
    </row>
    <row r="63" spans="1:101" x14ac:dyDescent="0.25">
      <c r="A63" t="s">
        <v>67</v>
      </c>
      <c r="B63">
        <v>62183</v>
      </c>
      <c r="C63">
        <v>63691</v>
      </c>
      <c r="D63">
        <v>65597</v>
      </c>
      <c r="E63">
        <v>65434</v>
      </c>
      <c r="F63">
        <v>66477</v>
      </c>
      <c r="G63">
        <v>67009</v>
      </c>
      <c r="H63">
        <v>67598</v>
      </c>
      <c r="I63">
        <v>68548</v>
      </c>
      <c r="J63">
        <v>68792</v>
      </c>
      <c r="K63">
        <v>70514</v>
      </c>
      <c r="L63">
        <v>69646</v>
      </c>
      <c r="M63">
        <v>69216</v>
      </c>
      <c r="N63">
        <v>72269</v>
      </c>
      <c r="O63">
        <v>71738</v>
      </c>
      <c r="P63">
        <v>71447</v>
      </c>
      <c r="Q63">
        <v>71779</v>
      </c>
      <c r="R63">
        <v>71772</v>
      </c>
      <c r="S63">
        <v>71442</v>
      </c>
      <c r="T63">
        <v>71938</v>
      </c>
      <c r="U63">
        <v>74560</v>
      </c>
      <c r="V63">
        <v>75197</v>
      </c>
      <c r="W63">
        <v>74844</v>
      </c>
      <c r="X63">
        <v>77314</v>
      </c>
      <c r="Y63">
        <v>77521</v>
      </c>
      <c r="Z63">
        <v>77846</v>
      </c>
      <c r="AA63">
        <v>78186</v>
      </c>
      <c r="AB63">
        <v>79124</v>
      </c>
      <c r="AC63">
        <v>79987</v>
      </c>
      <c r="AD63">
        <v>80760</v>
      </c>
      <c r="AE63">
        <v>81646</v>
      </c>
      <c r="AF63">
        <v>82512</v>
      </c>
      <c r="AG63">
        <v>82906</v>
      </c>
      <c r="AH63">
        <v>83704</v>
      </c>
      <c r="AI63">
        <v>84032</v>
      </c>
      <c r="AJ63">
        <v>84450</v>
      </c>
      <c r="AK63">
        <v>84614</v>
      </c>
      <c r="AL63">
        <v>84831</v>
      </c>
      <c r="AM63">
        <v>85236</v>
      </c>
      <c r="AN63">
        <v>85693</v>
      </c>
      <c r="AO63">
        <v>85094</v>
      </c>
      <c r="AP63">
        <v>85494</v>
      </c>
      <c r="AQ63">
        <v>85232</v>
      </c>
      <c r="AR63">
        <v>85072</v>
      </c>
      <c r="AS63">
        <v>85584</v>
      </c>
      <c r="AT63">
        <v>84327</v>
      </c>
      <c r="AU63">
        <v>84073</v>
      </c>
      <c r="AV63">
        <v>87564</v>
      </c>
      <c r="AW63">
        <v>88204</v>
      </c>
      <c r="AX63">
        <v>88669</v>
      </c>
      <c r="AY63">
        <v>89044</v>
      </c>
      <c r="AZ63">
        <v>89011</v>
      </c>
      <c r="BA63">
        <v>89207</v>
      </c>
      <c r="BB63">
        <v>89627</v>
      </c>
      <c r="BC63">
        <v>89694</v>
      </c>
      <c r="BD63">
        <v>89959</v>
      </c>
      <c r="BE63">
        <v>89963</v>
      </c>
      <c r="BF63">
        <v>90488</v>
      </c>
      <c r="BG63">
        <v>90681</v>
      </c>
      <c r="BH63">
        <v>91101</v>
      </c>
      <c r="BI63">
        <v>91165</v>
      </c>
      <c r="BJ63">
        <v>91346</v>
      </c>
      <c r="BK63">
        <v>91581</v>
      </c>
      <c r="BL63">
        <v>91869</v>
      </c>
      <c r="BM63">
        <v>92209</v>
      </c>
      <c r="BN63">
        <v>92392</v>
      </c>
      <c r="BO63">
        <v>92576</v>
      </c>
      <c r="BP63">
        <v>92822</v>
      </c>
      <c r="BQ63">
        <v>93066</v>
      </c>
      <c r="BR63">
        <v>93115</v>
      </c>
      <c r="BS63">
        <v>93111</v>
      </c>
      <c r="BT63">
        <v>93332</v>
      </c>
      <c r="BU63">
        <v>93535</v>
      </c>
      <c r="BV63">
        <v>93643</v>
      </c>
      <c r="BW63">
        <v>93807</v>
      </c>
      <c r="BX63">
        <v>93956</v>
      </c>
      <c r="BY63">
        <v>94128</v>
      </c>
      <c r="BZ63">
        <v>94227</v>
      </c>
      <c r="CA63">
        <v>94385</v>
      </c>
      <c r="CB63">
        <v>94467</v>
      </c>
      <c r="CC63">
        <v>94513</v>
      </c>
      <c r="CD63">
        <v>94812</v>
      </c>
      <c r="CE63">
        <v>94887</v>
      </c>
      <c r="CF63">
        <v>94930</v>
      </c>
      <c r="CG63">
        <v>94947</v>
      </c>
      <c r="CH63">
        <v>95064</v>
      </c>
      <c r="CI63">
        <v>95182</v>
      </c>
      <c r="CJ63">
        <v>95358</v>
      </c>
      <c r="CK63">
        <v>95377</v>
      </c>
      <c r="CL63">
        <v>95467</v>
      </c>
      <c r="CM63">
        <v>95567</v>
      </c>
      <c r="CN63">
        <v>95646</v>
      </c>
      <c r="CO63">
        <v>95727</v>
      </c>
      <c r="CP63">
        <v>95889</v>
      </c>
      <c r="CQ63">
        <v>95940</v>
      </c>
      <c r="CR63">
        <v>96065</v>
      </c>
      <c r="CS63">
        <v>96139</v>
      </c>
      <c r="CT63">
        <v>96206</v>
      </c>
      <c r="CU63">
        <v>96296</v>
      </c>
      <c r="CV63">
        <v>96309</v>
      </c>
      <c r="CW63">
        <v>96421</v>
      </c>
    </row>
    <row r="64" spans="1:101" x14ac:dyDescent="0.25">
      <c r="A64" t="s">
        <v>66</v>
      </c>
      <c r="B64">
        <v>61525</v>
      </c>
      <c r="C64">
        <v>63094</v>
      </c>
      <c r="D64">
        <v>64953</v>
      </c>
      <c r="E64">
        <v>64748</v>
      </c>
      <c r="F64">
        <v>65778</v>
      </c>
      <c r="G64">
        <v>66310</v>
      </c>
      <c r="H64">
        <v>66871</v>
      </c>
      <c r="I64">
        <v>67837</v>
      </c>
      <c r="J64">
        <v>68009</v>
      </c>
      <c r="K64">
        <v>69761</v>
      </c>
      <c r="L64">
        <v>68907</v>
      </c>
      <c r="M64">
        <v>68482</v>
      </c>
      <c r="N64">
        <v>71473</v>
      </c>
      <c r="O64">
        <v>70967</v>
      </c>
      <c r="P64">
        <v>70623</v>
      </c>
      <c r="Q64">
        <v>70962</v>
      </c>
      <c r="R64">
        <v>70925</v>
      </c>
      <c r="S64">
        <v>70611</v>
      </c>
      <c r="T64">
        <v>71171</v>
      </c>
      <c r="U64">
        <v>73720</v>
      </c>
      <c r="V64">
        <v>74420</v>
      </c>
      <c r="W64">
        <v>74116</v>
      </c>
      <c r="X64">
        <v>76514</v>
      </c>
      <c r="Y64">
        <v>76806</v>
      </c>
      <c r="Z64">
        <v>77053</v>
      </c>
      <c r="AA64">
        <v>77492</v>
      </c>
      <c r="AB64">
        <v>78366</v>
      </c>
      <c r="AC64">
        <v>79263</v>
      </c>
      <c r="AD64">
        <v>79963</v>
      </c>
      <c r="AE64">
        <v>80894</v>
      </c>
      <c r="AF64">
        <v>81738</v>
      </c>
      <c r="AG64">
        <v>82155</v>
      </c>
      <c r="AH64">
        <v>83046</v>
      </c>
      <c r="AI64">
        <v>83303</v>
      </c>
      <c r="AJ64">
        <v>83734</v>
      </c>
      <c r="AK64">
        <v>83962</v>
      </c>
      <c r="AL64">
        <v>84188</v>
      </c>
      <c r="AM64">
        <v>84565</v>
      </c>
      <c r="AN64">
        <v>85064</v>
      </c>
      <c r="AO64">
        <v>84486</v>
      </c>
      <c r="AP64">
        <v>84903</v>
      </c>
      <c r="AQ64">
        <v>84660</v>
      </c>
      <c r="AR64">
        <v>84511</v>
      </c>
      <c r="AS64">
        <v>85010</v>
      </c>
      <c r="AT64">
        <v>83740</v>
      </c>
      <c r="AU64">
        <v>83519</v>
      </c>
      <c r="AV64">
        <v>87026</v>
      </c>
      <c r="AW64">
        <v>87655</v>
      </c>
      <c r="AX64">
        <v>88152</v>
      </c>
      <c r="AY64">
        <v>88536</v>
      </c>
      <c r="AZ64">
        <v>88516</v>
      </c>
      <c r="BA64">
        <v>88754</v>
      </c>
      <c r="BB64">
        <v>89133</v>
      </c>
      <c r="BC64">
        <v>89188</v>
      </c>
      <c r="BD64">
        <v>89499</v>
      </c>
      <c r="BE64">
        <v>89496</v>
      </c>
      <c r="BF64">
        <v>90060</v>
      </c>
      <c r="BG64">
        <v>90229</v>
      </c>
      <c r="BH64">
        <v>90693</v>
      </c>
      <c r="BI64">
        <v>90754</v>
      </c>
      <c r="BJ64">
        <v>90908</v>
      </c>
      <c r="BK64">
        <v>91207</v>
      </c>
      <c r="BL64">
        <v>91501</v>
      </c>
      <c r="BM64">
        <v>91828</v>
      </c>
      <c r="BN64">
        <v>92005</v>
      </c>
      <c r="BO64">
        <v>92202</v>
      </c>
      <c r="BP64">
        <v>92455</v>
      </c>
      <c r="BQ64">
        <v>92704</v>
      </c>
      <c r="BR64">
        <v>92759</v>
      </c>
      <c r="BS64">
        <v>92762</v>
      </c>
      <c r="BT64">
        <v>92988</v>
      </c>
      <c r="BU64">
        <v>93197</v>
      </c>
      <c r="BV64">
        <v>93309</v>
      </c>
      <c r="BW64">
        <v>93478</v>
      </c>
      <c r="BX64">
        <v>93633</v>
      </c>
      <c r="BY64">
        <v>93810</v>
      </c>
      <c r="BZ64">
        <v>93914</v>
      </c>
      <c r="CA64">
        <v>94076</v>
      </c>
      <c r="CB64">
        <v>94163</v>
      </c>
      <c r="CC64">
        <v>94215</v>
      </c>
      <c r="CD64">
        <v>94517</v>
      </c>
      <c r="CE64">
        <v>94597</v>
      </c>
      <c r="CF64">
        <v>94644</v>
      </c>
      <c r="CG64">
        <v>94666</v>
      </c>
      <c r="CH64">
        <v>94787</v>
      </c>
      <c r="CI64">
        <v>94910</v>
      </c>
      <c r="CJ64">
        <v>95090</v>
      </c>
      <c r="CK64">
        <v>95114</v>
      </c>
      <c r="CL64">
        <v>95208</v>
      </c>
      <c r="CM64">
        <v>95312</v>
      </c>
      <c r="CN64">
        <v>95396</v>
      </c>
      <c r="CO64">
        <v>95480</v>
      </c>
      <c r="CP64">
        <v>95646</v>
      </c>
      <c r="CQ64">
        <v>95701</v>
      </c>
      <c r="CR64">
        <v>95830</v>
      </c>
      <c r="CS64">
        <v>95908</v>
      </c>
      <c r="CT64">
        <v>95978</v>
      </c>
      <c r="CU64">
        <v>96072</v>
      </c>
      <c r="CV64">
        <v>96088</v>
      </c>
      <c r="CW64">
        <v>96204</v>
      </c>
    </row>
    <row r="65" spans="1:101" x14ac:dyDescent="0.25">
      <c r="A65" t="s">
        <v>65</v>
      </c>
      <c r="B65">
        <v>60873</v>
      </c>
      <c r="C65">
        <v>62438</v>
      </c>
      <c r="D65">
        <v>64195</v>
      </c>
      <c r="E65">
        <v>64030</v>
      </c>
      <c r="F65">
        <v>65068</v>
      </c>
      <c r="G65">
        <v>65436</v>
      </c>
      <c r="H65">
        <v>66091</v>
      </c>
      <c r="I65">
        <v>67028</v>
      </c>
      <c r="J65">
        <v>67170</v>
      </c>
      <c r="K65">
        <v>68919</v>
      </c>
      <c r="L65">
        <v>68029</v>
      </c>
      <c r="M65">
        <v>67658</v>
      </c>
      <c r="N65">
        <v>70615</v>
      </c>
      <c r="O65">
        <v>70068</v>
      </c>
      <c r="P65">
        <v>69760</v>
      </c>
      <c r="Q65">
        <v>70031</v>
      </c>
      <c r="R65">
        <v>70060</v>
      </c>
      <c r="S65">
        <v>69729</v>
      </c>
      <c r="T65">
        <v>70294</v>
      </c>
      <c r="U65">
        <v>72885</v>
      </c>
      <c r="V65">
        <v>73584</v>
      </c>
      <c r="W65">
        <v>73294</v>
      </c>
      <c r="X65">
        <v>75691</v>
      </c>
      <c r="Y65">
        <v>76003</v>
      </c>
      <c r="Z65">
        <v>76239</v>
      </c>
      <c r="AA65">
        <v>76684</v>
      </c>
      <c r="AB65">
        <v>77570</v>
      </c>
      <c r="AC65">
        <v>78406</v>
      </c>
      <c r="AD65">
        <v>79128</v>
      </c>
      <c r="AE65">
        <v>80052</v>
      </c>
      <c r="AF65">
        <v>80908</v>
      </c>
      <c r="AG65">
        <v>81390</v>
      </c>
      <c r="AH65">
        <v>82269</v>
      </c>
      <c r="AI65">
        <v>82521</v>
      </c>
      <c r="AJ65">
        <v>83022</v>
      </c>
      <c r="AK65">
        <v>83201</v>
      </c>
      <c r="AL65">
        <v>83466</v>
      </c>
      <c r="AM65">
        <v>83857</v>
      </c>
      <c r="AN65">
        <v>84361</v>
      </c>
      <c r="AO65">
        <v>83820</v>
      </c>
      <c r="AP65">
        <v>84232</v>
      </c>
      <c r="AQ65">
        <v>84084</v>
      </c>
      <c r="AR65">
        <v>83858</v>
      </c>
      <c r="AS65">
        <v>84338</v>
      </c>
      <c r="AT65">
        <v>83144</v>
      </c>
      <c r="AU65">
        <v>82915</v>
      </c>
      <c r="AV65">
        <v>86424</v>
      </c>
      <c r="AW65">
        <v>87093</v>
      </c>
      <c r="AX65">
        <v>87638</v>
      </c>
      <c r="AY65">
        <v>87996</v>
      </c>
      <c r="AZ65">
        <v>87956</v>
      </c>
      <c r="BA65">
        <v>88237</v>
      </c>
      <c r="BB65">
        <v>88598</v>
      </c>
      <c r="BC65">
        <v>88678</v>
      </c>
      <c r="BD65">
        <v>88987</v>
      </c>
      <c r="BE65">
        <v>88988</v>
      </c>
      <c r="BF65">
        <v>89562</v>
      </c>
      <c r="BG65">
        <v>89779</v>
      </c>
      <c r="BH65">
        <v>90256</v>
      </c>
      <c r="BI65">
        <v>90283</v>
      </c>
      <c r="BJ65">
        <v>90495</v>
      </c>
      <c r="BK65">
        <v>90759</v>
      </c>
      <c r="BL65">
        <v>91097</v>
      </c>
      <c r="BM65">
        <v>91396</v>
      </c>
      <c r="BN65">
        <v>91590</v>
      </c>
      <c r="BO65">
        <v>91794</v>
      </c>
      <c r="BP65">
        <v>92054</v>
      </c>
      <c r="BQ65">
        <v>92309</v>
      </c>
      <c r="BR65">
        <v>92372</v>
      </c>
      <c r="BS65">
        <v>92380</v>
      </c>
      <c r="BT65">
        <v>92612</v>
      </c>
      <c r="BU65">
        <v>92827</v>
      </c>
      <c r="BV65">
        <v>92946</v>
      </c>
      <c r="BW65">
        <v>93120</v>
      </c>
      <c r="BX65">
        <v>93280</v>
      </c>
      <c r="BY65">
        <v>93463</v>
      </c>
      <c r="BZ65">
        <v>93572</v>
      </c>
      <c r="CA65">
        <v>93739</v>
      </c>
      <c r="CB65">
        <v>93831</v>
      </c>
      <c r="CC65">
        <v>93889</v>
      </c>
      <c r="CD65">
        <v>94196</v>
      </c>
      <c r="CE65">
        <v>94281</v>
      </c>
      <c r="CF65">
        <v>94333</v>
      </c>
      <c r="CG65">
        <v>94360</v>
      </c>
      <c r="CH65">
        <v>94487</v>
      </c>
      <c r="CI65">
        <v>94614</v>
      </c>
      <c r="CJ65">
        <v>94798</v>
      </c>
      <c r="CK65">
        <v>94828</v>
      </c>
      <c r="CL65">
        <v>94926</v>
      </c>
      <c r="CM65">
        <v>95034</v>
      </c>
      <c r="CN65">
        <v>95123</v>
      </c>
      <c r="CO65">
        <v>95210</v>
      </c>
      <c r="CP65">
        <v>95381</v>
      </c>
      <c r="CQ65">
        <v>95441</v>
      </c>
      <c r="CR65">
        <v>95573</v>
      </c>
      <c r="CS65">
        <v>95655</v>
      </c>
      <c r="CT65">
        <v>95730</v>
      </c>
      <c r="CU65">
        <v>95828</v>
      </c>
      <c r="CV65">
        <v>95848</v>
      </c>
      <c r="CW65">
        <v>95967</v>
      </c>
    </row>
    <row r="66" spans="1:101" x14ac:dyDescent="0.25">
      <c r="A66" t="s">
        <v>64</v>
      </c>
      <c r="B66">
        <v>60117</v>
      </c>
      <c r="C66">
        <v>61667</v>
      </c>
      <c r="D66">
        <v>63396</v>
      </c>
      <c r="E66">
        <v>63199</v>
      </c>
      <c r="F66">
        <v>64219</v>
      </c>
      <c r="G66">
        <v>64585</v>
      </c>
      <c r="H66">
        <v>65224</v>
      </c>
      <c r="I66">
        <v>66116</v>
      </c>
      <c r="J66">
        <v>66219</v>
      </c>
      <c r="K66">
        <v>67959</v>
      </c>
      <c r="L66">
        <v>67134</v>
      </c>
      <c r="M66">
        <v>66775</v>
      </c>
      <c r="N66">
        <v>69581</v>
      </c>
      <c r="O66">
        <v>69131</v>
      </c>
      <c r="P66">
        <v>68799</v>
      </c>
      <c r="Q66">
        <v>69170</v>
      </c>
      <c r="R66">
        <v>69050</v>
      </c>
      <c r="S66">
        <v>68822</v>
      </c>
      <c r="T66">
        <v>69341</v>
      </c>
      <c r="U66">
        <v>71894</v>
      </c>
      <c r="V66">
        <v>72634</v>
      </c>
      <c r="W66">
        <v>72368</v>
      </c>
      <c r="X66">
        <v>74778</v>
      </c>
      <c r="Y66">
        <v>75072</v>
      </c>
      <c r="Z66">
        <v>75330</v>
      </c>
      <c r="AA66">
        <v>75763</v>
      </c>
      <c r="AB66">
        <v>76688</v>
      </c>
      <c r="AC66">
        <v>77495</v>
      </c>
      <c r="AD66">
        <v>78220</v>
      </c>
      <c r="AE66">
        <v>79161</v>
      </c>
      <c r="AF66">
        <v>80011</v>
      </c>
      <c r="AG66">
        <v>80428</v>
      </c>
      <c r="AH66">
        <v>81401</v>
      </c>
      <c r="AI66">
        <v>81729</v>
      </c>
      <c r="AJ66">
        <v>82231</v>
      </c>
      <c r="AK66">
        <v>82365</v>
      </c>
      <c r="AL66">
        <v>82662</v>
      </c>
      <c r="AM66">
        <v>83124</v>
      </c>
      <c r="AN66">
        <v>83610</v>
      </c>
      <c r="AO66">
        <v>83100</v>
      </c>
      <c r="AP66">
        <v>83566</v>
      </c>
      <c r="AQ66">
        <v>83424</v>
      </c>
      <c r="AR66">
        <v>83186</v>
      </c>
      <c r="AS66">
        <v>83624</v>
      </c>
      <c r="AT66">
        <v>82502</v>
      </c>
      <c r="AU66">
        <v>82211</v>
      </c>
      <c r="AV66">
        <v>85748</v>
      </c>
      <c r="AW66">
        <v>86510</v>
      </c>
      <c r="AX66">
        <v>87057</v>
      </c>
      <c r="AY66">
        <v>87411</v>
      </c>
      <c r="AZ66">
        <v>87411</v>
      </c>
      <c r="BA66">
        <v>87688</v>
      </c>
      <c r="BB66">
        <v>88050</v>
      </c>
      <c r="BC66">
        <v>88144</v>
      </c>
      <c r="BD66">
        <v>88445</v>
      </c>
      <c r="BE66">
        <v>88445</v>
      </c>
      <c r="BF66">
        <v>89066</v>
      </c>
      <c r="BG66">
        <v>89292</v>
      </c>
      <c r="BH66">
        <v>89796</v>
      </c>
      <c r="BI66">
        <v>89808</v>
      </c>
      <c r="BJ66">
        <v>90008</v>
      </c>
      <c r="BK66">
        <v>90302</v>
      </c>
      <c r="BL66">
        <v>90620</v>
      </c>
      <c r="BM66">
        <v>90937</v>
      </c>
      <c r="BN66">
        <v>91139</v>
      </c>
      <c r="BO66">
        <v>91351</v>
      </c>
      <c r="BP66">
        <v>91617</v>
      </c>
      <c r="BQ66">
        <v>91879</v>
      </c>
      <c r="BR66">
        <v>91949</v>
      </c>
      <c r="BS66">
        <v>91965</v>
      </c>
      <c r="BT66">
        <v>92204</v>
      </c>
      <c r="BU66">
        <v>92424</v>
      </c>
      <c r="BV66">
        <v>92549</v>
      </c>
      <c r="BW66">
        <v>92730</v>
      </c>
      <c r="BX66">
        <v>92896</v>
      </c>
      <c r="BY66">
        <v>93084</v>
      </c>
      <c r="BZ66">
        <v>93199</v>
      </c>
      <c r="CA66">
        <v>93373</v>
      </c>
      <c r="CB66">
        <v>93470</v>
      </c>
      <c r="CC66">
        <v>93534</v>
      </c>
      <c r="CD66">
        <v>93845</v>
      </c>
      <c r="CE66">
        <v>93937</v>
      </c>
      <c r="CF66">
        <v>93994</v>
      </c>
      <c r="CG66">
        <v>94027</v>
      </c>
      <c r="CH66">
        <v>94159</v>
      </c>
      <c r="CI66">
        <v>94291</v>
      </c>
      <c r="CJ66">
        <v>94481</v>
      </c>
      <c r="CK66">
        <v>94516</v>
      </c>
      <c r="CL66">
        <v>94618</v>
      </c>
      <c r="CM66">
        <v>94732</v>
      </c>
      <c r="CN66">
        <v>94825</v>
      </c>
      <c r="CO66">
        <v>94918</v>
      </c>
      <c r="CP66">
        <v>95093</v>
      </c>
      <c r="CQ66">
        <v>95157</v>
      </c>
      <c r="CR66">
        <v>95294</v>
      </c>
      <c r="CS66">
        <v>95381</v>
      </c>
      <c r="CT66">
        <v>95460</v>
      </c>
      <c r="CU66">
        <v>95563</v>
      </c>
      <c r="CV66">
        <v>95587</v>
      </c>
      <c r="CW66">
        <v>95710</v>
      </c>
    </row>
    <row r="67" spans="1:101" x14ac:dyDescent="0.25">
      <c r="A67" t="s">
        <v>63</v>
      </c>
      <c r="B67">
        <v>59301</v>
      </c>
      <c r="C67">
        <v>60787</v>
      </c>
      <c r="D67">
        <v>62493</v>
      </c>
      <c r="E67">
        <v>62252</v>
      </c>
      <c r="F67">
        <v>63257</v>
      </c>
      <c r="G67">
        <v>63638</v>
      </c>
      <c r="H67">
        <v>64234</v>
      </c>
      <c r="I67">
        <v>65101</v>
      </c>
      <c r="J67">
        <v>65242</v>
      </c>
      <c r="K67">
        <v>66886</v>
      </c>
      <c r="L67">
        <v>66081</v>
      </c>
      <c r="M67">
        <v>65722</v>
      </c>
      <c r="N67">
        <v>68560</v>
      </c>
      <c r="O67">
        <v>68095</v>
      </c>
      <c r="P67">
        <v>67866</v>
      </c>
      <c r="Q67">
        <v>68203</v>
      </c>
      <c r="R67">
        <v>68006</v>
      </c>
      <c r="S67">
        <v>67863</v>
      </c>
      <c r="T67">
        <v>68351</v>
      </c>
      <c r="U67">
        <v>70914</v>
      </c>
      <c r="V67">
        <v>71678</v>
      </c>
      <c r="W67">
        <v>71439</v>
      </c>
      <c r="X67">
        <v>73746</v>
      </c>
      <c r="Y67">
        <v>74082</v>
      </c>
      <c r="Z67">
        <v>74332</v>
      </c>
      <c r="AA67">
        <v>74866</v>
      </c>
      <c r="AB67">
        <v>75717</v>
      </c>
      <c r="AC67">
        <v>76574</v>
      </c>
      <c r="AD67">
        <v>77224</v>
      </c>
      <c r="AE67">
        <v>78237</v>
      </c>
      <c r="AF67">
        <v>79051</v>
      </c>
      <c r="AG67">
        <v>79465</v>
      </c>
      <c r="AH67">
        <v>80482</v>
      </c>
      <c r="AI67">
        <v>80899</v>
      </c>
      <c r="AJ67">
        <v>81322</v>
      </c>
      <c r="AK67">
        <v>81542</v>
      </c>
      <c r="AL67">
        <v>81845</v>
      </c>
      <c r="AM67">
        <v>82325</v>
      </c>
      <c r="AN67">
        <v>82833</v>
      </c>
      <c r="AO67">
        <v>82348</v>
      </c>
      <c r="AP67">
        <v>82813</v>
      </c>
      <c r="AQ67">
        <v>82618</v>
      </c>
      <c r="AR67">
        <v>82454</v>
      </c>
      <c r="AS67">
        <v>82922</v>
      </c>
      <c r="AT67">
        <v>81807</v>
      </c>
      <c r="AU67">
        <v>81540</v>
      </c>
      <c r="AV67">
        <v>85126</v>
      </c>
      <c r="AW67">
        <v>85895</v>
      </c>
      <c r="AX67">
        <v>86415</v>
      </c>
      <c r="AY67">
        <v>86782</v>
      </c>
      <c r="AZ67">
        <v>86829</v>
      </c>
      <c r="BA67">
        <v>87076</v>
      </c>
      <c r="BB67">
        <v>87418</v>
      </c>
      <c r="BC67">
        <v>87544</v>
      </c>
      <c r="BD67">
        <v>87844</v>
      </c>
      <c r="BE67">
        <v>87910</v>
      </c>
      <c r="BF67">
        <v>88503</v>
      </c>
      <c r="BG67">
        <v>88769</v>
      </c>
      <c r="BH67">
        <v>89256</v>
      </c>
      <c r="BI67">
        <v>89291</v>
      </c>
      <c r="BJ67">
        <v>89482</v>
      </c>
      <c r="BK67">
        <v>89775</v>
      </c>
      <c r="BL67">
        <v>90113</v>
      </c>
      <c r="BM67">
        <v>90439</v>
      </c>
      <c r="BN67">
        <v>90651</v>
      </c>
      <c r="BO67">
        <v>90870</v>
      </c>
      <c r="BP67">
        <v>91143</v>
      </c>
      <c r="BQ67">
        <v>91412</v>
      </c>
      <c r="BR67">
        <v>91490</v>
      </c>
      <c r="BS67">
        <v>91514</v>
      </c>
      <c r="BT67">
        <v>91759</v>
      </c>
      <c r="BU67">
        <v>91987</v>
      </c>
      <c r="BV67">
        <v>92118</v>
      </c>
      <c r="BW67">
        <v>92306</v>
      </c>
      <c r="BX67">
        <v>92478</v>
      </c>
      <c r="BY67">
        <v>92673</v>
      </c>
      <c r="BZ67">
        <v>92795</v>
      </c>
      <c r="CA67">
        <v>92974</v>
      </c>
      <c r="CB67">
        <v>93079</v>
      </c>
      <c r="CC67">
        <v>93148</v>
      </c>
      <c r="CD67">
        <v>93465</v>
      </c>
      <c r="CE67">
        <v>93563</v>
      </c>
      <c r="CF67">
        <v>93627</v>
      </c>
      <c r="CG67">
        <v>93666</v>
      </c>
      <c r="CH67">
        <v>93803</v>
      </c>
      <c r="CI67">
        <v>93942</v>
      </c>
      <c r="CJ67">
        <v>94136</v>
      </c>
      <c r="CK67">
        <v>94176</v>
      </c>
      <c r="CL67">
        <v>94284</v>
      </c>
      <c r="CM67">
        <v>94403</v>
      </c>
      <c r="CN67">
        <v>94502</v>
      </c>
      <c r="CO67">
        <v>94600</v>
      </c>
      <c r="CP67">
        <v>94780</v>
      </c>
      <c r="CQ67">
        <v>94850</v>
      </c>
      <c r="CR67">
        <v>94991</v>
      </c>
      <c r="CS67">
        <v>95083</v>
      </c>
      <c r="CT67">
        <v>95167</v>
      </c>
      <c r="CU67">
        <v>95274</v>
      </c>
      <c r="CV67">
        <v>95303</v>
      </c>
      <c r="CW67">
        <v>95431</v>
      </c>
    </row>
    <row r="68" spans="1:101" x14ac:dyDescent="0.25">
      <c r="A68" t="s">
        <v>62</v>
      </c>
      <c r="B68">
        <v>58434</v>
      </c>
      <c r="C68">
        <v>59921</v>
      </c>
      <c r="D68">
        <v>61466</v>
      </c>
      <c r="E68">
        <v>61204</v>
      </c>
      <c r="F68">
        <v>62253</v>
      </c>
      <c r="G68">
        <v>62564</v>
      </c>
      <c r="H68">
        <v>63169</v>
      </c>
      <c r="I68">
        <v>63995</v>
      </c>
      <c r="J68">
        <v>64175</v>
      </c>
      <c r="K68">
        <v>65775</v>
      </c>
      <c r="L68">
        <v>64941</v>
      </c>
      <c r="M68">
        <v>64593</v>
      </c>
      <c r="N68">
        <v>67383</v>
      </c>
      <c r="O68">
        <v>66967</v>
      </c>
      <c r="P68">
        <v>66765</v>
      </c>
      <c r="Q68">
        <v>67094</v>
      </c>
      <c r="R68">
        <v>66943</v>
      </c>
      <c r="S68">
        <v>66791</v>
      </c>
      <c r="T68">
        <v>67313</v>
      </c>
      <c r="U68">
        <v>69890</v>
      </c>
      <c r="V68">
        <v>70590</v>
      </c>
      <c r="W68">
        <v>70433</v>
      </c>
      <c r="X68">
        <v>72637</v>
      </c>
      <c r="Y68">
        <v>73045</v>
      </c>
      <c r="Z68">
        <v>73261</v>
      </c>
      <c r="AA68">
        <v>73749</v>
      </c>
      <c r="AB68">
        <v>74635</v>
      </c>
      <c r="AC68">
        <v>75474</v>
      </c>
      <c r="AD68">
        <v>76171</v>
      </c>
      <c r="AE68">
        <v>77185</v>
      </c>
      <c r="AF68">
        <v>78052</v>
      </c>
      <c r="AG68">
        <v>78497</v>
      </c>
      <c r="AH68">
        <v>79491</v>
      </c>
      <c r="AI68">
        <v>79874</v>
      </c>
      <c r="AJ68">
        <v>80396</v>
      </c>
      <c r="AK68">
        <v>80620</v>
      </c>
      <c r="AL68">
        <v>80884</v>
      </c>
      <c r="AM68">
        <v>81462</v>
      </c>
      <c r="AN68">
        <v>81970</v>
      </c>
      <c r="AO68">
        <v>81503</v>
      </c>
      <c r="AP68">
        <v>82039</v>
      </c>
      <c r="AQ68">
        <v>81796</v>
      </c>
      <c r="AR68">
        <v>81643</v>
      </c>
      <c r="AS68">
        <v>82172</v>
      </c>
      <c r="AT68">
        <v>81020</v>
      </c>
      <c r="AU68">
        <v>80847</v>
      </c>
      <c r="AV68">
        <v>84435</v>
      </c>
      <c r="AW68">
        <v>85193</v>
      </c>
      <c r="AX68">
        <v>85726</v>
      </c>
      <c r="AY68">
        <v>86147</v>
      </c>
      <c r="AZ68">
        <v>86161</v>
      </c>
      <c r="BA68">
        <v>86481</v>
      </c>
      <c r="BB68">
        <v>86797</v>
      </c>
      <c r="BC68">
        <v>86920</v>
      </c>
      <c r="BD68">
        <v>87231</v>
      </c>
      <c r="BE68">
        <v>87288</v>
      </c>
      <c r="BF68">
        <v>87900</v>
      </c>
      <c r="BG68">
        <v>88178</v>
      </c>
      <c r="BH68">
        <v>88662</v>
      </c>
      <c r="BI68">
        <v>88725</v>
      </c>
      <c r="BJ68">
        <v>88904</v>
      </c>
      <c r="BK68">
        <v>89219</v>
      </c>
      <c r="BL68">
        <v>89568</v>
      </c>
      <c r="BM68">
        <v>89903</v>
      </c>
      <c r="BN68">
        <v>90122</v>
      </c>
      <c r="BO68">
        <v>90349</v>
      </c>
      <c r="BP68">
        <v>90629</v>
      </c>
      <c r="BQ68">
        <v>90908</v>
      </c>
      <c r="BR68">
        <v>90993</v>
      </c>
      <c r="BS68">
        <v>91026</v>
      </c>
      <c r="BT68">
        <v>91278</v>
      </c>
      <c r="BU68">
        <v>91513</v>
      </c>
      <c r="BV68">
        <v>91652</v>
      </c>
      <c r="BW68">
        <v>91848</v>
      </c>
      <c r="BX68">
        <v>92026</v>
      </c>
      <c r="BY68">
        <v>92228</v>
      </c>
      <c r="BZ68">
        <v>92357</v>
      </c>
      <c r="CA68">
        <v>92543</v>
      </c>
      <c r="CB68">
        <v>92654</v>
      </c>
      <c r="CC68">
        <v>92731</v>
      </c>
      <c r="CD68">
        <v>93054</v>
      </c>
      <c r="CE68">
        <v>93158</v>
      </c>
      <c r="CF68">
        <v>93229</v>
      </c>
      <c r="CG68">
        <v>93275</v>
      </c>
      <c r="CH68">
        <v>93418</v>
      </c>
      <c r="CI68">
        <v>93562</v>
      </c>
      <c r="CJ68">
        <v>93762</v>
      </c>
      <c r="CK68">
        <v>93809</v>
      </c>
      <c r="CL68">
        <v>93923</v>
      </c>
      <c r="CM68">
        <v>94048</v>
      </c>
      <c r="CN68">
        <v>94152</v>
      </c>
      <c r="CO68">
        <v>94257</v>
      </c>
      <c r="CP68">
        <v>94441</v>
      </c>
      <c r="CQ68">
        <v>94517</v>
      </c>
      <c r="CR68">
        <v>94663</v>
      </c>
      <c r="CS68">
        <v>94761</v>
      </c>
      <c r="CT68">
        <v>94850</v>
      </c>
      <c r="CU68">
        <v>94962</v>
      </c>
      <c r="CV68">
        <v>94997</v>
      </c>
      <c r="CW68">
        <v>95129</v>
      </c>
    </row>
    <row r="69" spans="1:101" x14ac:dyDescent="0.25">
      <c r="A69" t="s">
        <v>61</v>
      </c>
      <c r="B69">
        <v>57457</v>
      </c>
      <c r="C69">
        <v>58824</v>
      </c>
      <c r="D69">
        <v>60404</v>
      </c>
      <c r="E69">
        <v>60119</v>
      </c>
      <c r="F69">
        <v>61144</v>
      </c>
      <c r="G69">
        <v>61429</v>
      </c>
      <c r="H69">
        <v>61987</v>
      </c>
      <c r="I69">
        <v>62785</v>
      </c>
      <c r="J69">
        <v>62940</v>
      </c>
      <c r="K69">
        <v>64543</v>
      </c>
      <c r="L69">
        <v>63757</v>
      </c>
      <c r="M69">
        <v>63361</v>
      </c>
      <c r="N69">
        <v>66187</v>
      </c>
      <c r="O69">
        <v>65782</v>
      </c>
      <c r="P69">
        <v>65554</v>
      </c>
      <c r="Q69">
        <v>65806</v>
      </c>
      <c r="R69">
        <v>65738</v>
      </c>
      <c r="S69">
        <v>65632</v>
      </c>
      <c r="T69">
        <v>66122</v>
      </c>
      <c r="U69">
        <v>68761</v>
      </c>
      <c r="V69">
        <v>69463</v>
      </c>
      <c r="W69">
        <v>69266</v>
      </c>
      <c r="X69">
        <v>71520</v>
      </c>
      <c r="Y69">
        <v>71901</v>
      </c>
      <c r="Z69">
        <v>72179</v>
      </c>
      <c r="AA69">
        <v>72608</v>
      </c>
      <c r="AB69">
        <v>73569</v>
      </c>
      <c r="AC69">
        <v>74373</v>
      </c>
      <c r="AD69">
        <v>75072</v>
      </c>
      <c r="AE69">
        <v>76148</v>
      </c>
      <c r="AF69">
        <v>76975</v>
      </c>
      <c r="AG69">
        <v>77480</v>
      </c>
      <c r="AH69">
        <v>78429</v>
      </c>
      <c r="AI69">
        <v>78817</v>
      </c>
      <c r="AJ69">
        <v>79330</v>
      </c>
      <c r="AK69">
        <v>79590</v>
      </c>
      <c r="AL69">
        <v>79914</v>
      </c>
      <c r="AM69">
        <v>80464</v>
      </c>
      <c r="AN69">
        <v>81017</v>
      </c>
      <c r="AO69">
        <v>80623</v>
      </c>
      <c r="AP69">
        <v>81202</v>
      </c>
      <c r="AQ69">
        <v>80968</v>
      </c>
      <c r="AR69">
        <v>80781</v>
      </c>
      <c r="AS69">
        <v>81372</v>
      </c>
      <c r="AT69">
        <v>80282</v>
      </c>
      <c r="AU69">
        <v>80095</v>
      </c>
      <c r="AV69">
        <v>83715</v>
      </c>
      <c r="AW69">
        <v>84430</v>
      </c>
      <c r="AX69">
        <v>84980</v>
      </c>
      <c r="AY69">
        <v>85454</v>
      </c>
      <c r="AZ69">
        <v>85518</v>
      </c>
      <c r="BA69">
        <v>85805</v>
      </c>
      <c r="BB69">
        <v>86097</v>
      </c>
      <c r="BC69">
        <v>86232</v>
      </c>
      <c r="BD69">
        <v>86558</v>
      </c>
      <c r="BE69">
        <v>86610</v>
      </c>
      <c r="BF69">
        <v>87231</v>
      </c>
      <c r="BG69">
        <v>87548</v>
      </c>
      <c r="BH69">
        <v>88074</v>
      </c>
      <c r="BI69">
        <v>88091</v>
      </c>
      <c r="BJ69">
        <v>88295</v>
      </c>
      <c r="BK69">
        <v>88623</v>
      </c>
      <c r="BL69">
        <v>88980</v>
      </c>
      <c r="BM69">
        <v>89323</v>
      </c>
      <c r="BN69">
        <v>89551</v>
      </c>
      <c r="BO69">
        <v>89787</v>
      </c>
      <c r="BP69">
        <v>90076</v>
      </c>
      <c r="BQ69">
        <v>90362</v>
      </c>
      <c r="BR69">
        <v>90457</v>
      </c>
      <c r="BS69">
        <v>90499</v>
      </c>
      <c r="BT69">
        <v>90759</v>
      </c>
      <c r="BU69">
        <v>91002</v>
      </c>
      <c r="BV69">
        <v>91148</v>
      </c>
      <c r="BW69">
        <v>91352</v>
      </c>
      <c r="BX69">
        <v>91537</v>
      </c>
      <c r="BY69">
        <v>91748</v>
      </c>
      <c r="BZ69">
        <v>91884</v>
      </c>
      <c r="CA69">
        <v>92077</v>
      </c>
      <c r="CB69">
        <v>92196</v>
      </c>
      <c r="CC69">
        <v>92280</v>
      </c>
      <c r="CD69">
        <v>92609</v>
      </c>
      <c r="CE69">
        <v>92721</v>
      </c>
      <c r="CF69">
        <v>92799</v>
      </c>
      <c r="CG69">
        <v>92852</v>
      </c>
      <c r="CH69">
        <v>93002</v>
      </c>
      <c r="CI69">
        <v>93152</v>
      </c>
      <c r="CJ69">
        <v>93359</v>
      </c>
      <c r="CK69">
        <v>93412</v>
      </c>
      <c r="CL69">
        <v>93533</v>
      </c>
      <c r="CM69">
        <v>93665</v>
      </c>
      <c r="CN69">
        <v>93774</v>
      </c>
      <c r="CO69">
        <v>93885</v>
      </c>
      <c r="CP69">
        <v>94076</v>
      </c>
      <c r="CQ69">
        <v>94157</v>
      </c>
      <c r="CR69">
        <v>94309</v>
      </c>
      <c r="CS69">
        <v>94412</v>
      </c>
      <c r="CT69">
        <v>94508</v>
      </c>
      <c r="CU69">
        <v>94624</v>
      </c>
      <c r="CV69">
        <v>94665</v>
      </c>
      <c r="CW69">
        <v>94803</v>
      </c>
    </row>
    <row r="70" spans="1:101" x14ac:dyDescent="0.25">
      <c r="A70" t="s">
        <v>60</v>
      </c>
      <c r="B70">
        <v>56343</v>
      </c>
      <c r="C70">
        <v>57716</v>
      </c>
      <c r="D70">
        <v>59234</v>
      </c>
      <c r="E70">
        <v>58946</v>
      </c>
      <c r="F70">
        <v>59934</v>
      </c>
      <c r="G70">
        <v>60188</v>
      </c>
      <c r="H70">
        <v>60715</v>
      </c>
      <c r="I70">
        <v>61492</v>
      </c>
      <c r="J70">
        <v>61576</v>
      </c>
      <c r="K70">
        <v>63197</v>
      </c>
      <c r="L70">
        <v>62492</v>
      </c>
      <c r="M70">
        <v>62079</v>
      </c>
      <c r="N70">
        <v>64886</v>
      </c>
      <c r="O70">
        <v>64452</v>
      </c>
      <c r="P70">
        <v>64254</v>
      </c>
      <c r="Q70">
        <v>64545</v>
      </c>
      <c r="R70">
        <v>64452</v>
      </c>
      <c r="S70">
        <v>64464</v>
      </c>
      <c r="T70">
        <v>64943</v>
      </c>
      <c r="U70">
        <v>67551</v>
      </c>
      <c r="V70">
        <v>68154</v>
      </c>
      <c r="W70">
        <v>68057</v>
      </c>
      <c r="X70">
        <v>70284</v>
      </c>
      <c r="Y70">
        <v>70691</v>
      </c>
      <c r="Z70">
        <v>70908</v>
      </c>
      <c r="AA70">
        <v>71445</v>
      </c>
      <c r="AB70">
        <v>72375</v>
      </c>
      <c r="AC70">
        <v>73151</v>
      </c>
      <c r="AD70">
        <v>73892</v>
      </c>
      <c r="AE70">
        <v>74896</v>
      </c>
      <c r="AF70">
        <v>75835</v>
      </c>
      <c r="AG70">
        <v>76321</v>
      </c>
      <c r="AH70">
        <v>77275</v>
      </c>
      <c r="AI70">
        <v>77717</v>
      </c>
      <c r="AJ70">
        <v>78274</v>
      </c>
      <c r="AK70">
        <v>78541</v>
      </c>
      <c r="AL70">
        <v>78823</v>
      </c>
      <c r="AM70">
        <v>79432</v>
      </c>
      <c r="AN70">
        <v>80048</v>
      </c>
      <c r="AO70">
        <v>79678</v>
      </c>
      <c r="AP70">
        <v>80271</v>
      </c>
      <c r="AQ70">
        <v>80028</v>
      </c>
      <c r="AR70">
        <v>79912</v>
      </c>
      <c r="AS70">
        <v>80426</v>
      </c>
      <c r="AT70">
        <v>79428</v>
      </c>
      <c r="AU70">
        <v>79302</v>
      </c>
      <c r="AV70">
        <v>82922</v>
      </c>
      <c r="AW70">
        <v>83606</v>
      </c>
      <c r="AX70">
        <v>84227</v>
      </c>
      <c r="AY70">
        <v>84735</v>
      </c>
      <c r="AZ70">
        <v>84758</v>
      </c>
      <c r="BA70">
        <v>85109</v>
      </c>
      <c r="BB70">
        <v>85365</v>
      </c>
      <c r="BC70">
        <v>85495</v>
      </c>
      <c r="BD70">
        <v>85835</v>
      </c>
      <c r="BE70">
        <v>85938</v>
      </c>
      <c r="BF70">
        <v>86529</v>
      </c>
      <c r="BG70">
        <v>86857</v>
      </c>
      <c r="BH70">
        <v>87381</v>
      </c>
      <c r="BI70">
        <v>87425</v>
      </c>
      <c r="BJ70">
        <v>87643</v>
      </c>
      <c r="BK70">
        <v>87980</v>
      </c>
      <c r="BL70">
        <v>88347</v>
      </c>
      <c r="BM70">
        <v>88698</v>
      </c>
      <c r="BN70">
        <v>88936</v>
      </c>
      <c r="BO70">
        <v>89182</v>
      </c>
      <c r="BP70">
        <v>89479</v>
      </c>
      <c r="BQ70">
        <v>89775</v>
      </c>
      <c r="BR70">
        <v>89879</v>
      </c>
      <c r="BS70">
        <v>89931</v>
      </c>
      <c r="BT70">
        <v>90199</v>
      </c>
      <c r="BU70">
        <v>90450</v>
      </c>
      <c r="BV70">
        <v>90605</v>
      </c>
      <c r="BW70">
        <v>90816</v>
      </c>
      <c r="BX70">
        <v>91011</v>
      </c>
      <c r="BY70">
        <v>91229</v>
      </c>
      <c r="BZ70">
        <v>91374</v>
      </c>
      <c r="CA70">
        <v>91574</v>
      </c>
      <c r="CB70">
        <v>91701</v>
      </c>
      <c r="CC70">
        <v>91794</v>
      </c>
      <c r="CD70">
        <v>92129</v>
      </c>
      <c r="CE70">
        <v>92249</v>
      </c>
      <c r="CF70">
        <v>92335</v>
      </c>
      <c r="CG70">
        <v>92396</v>
      </c>
      <c r="CH70">
        <v>92553</v>
      </c>
      <c r="CI70">
        <v>92711</v>
      </c>
      <c r="CJ70">
        <v>92924</v>
      </c>
      <c r="CK70">
        <v>92984</v>
      </c>
      <c r="CL70">
        <v>93112</v>
      </c>
      <c r="CM70">
        <v>93251</v>
      </c>
      <c r="CN70">
        <v>93367</v>
      </c>
      <c r="CO70">
        <v>93484</v>
      </c>
      <c r="CP70">
        <v>93681</v>
      </c>
      <c r="CQ70">
        <v>93769</v>
      </c>
      <c r="CR70">
        <v>93927</v>
      </c>
      <c r="CS70">
        <v>94036</v>
      </c>
      <c r="CT70">
        <v>94138</v>
      </c>
      <c r="CU70">
        <v>94260</v>
      </c>
      <c r="CV70">
        <v>94307</v>
      </c>
      <c r="CW70">
        <v>94451</v>
      </c>
    </row>
    <row r="71" spans="1:101" x14ac:dyDescent="0.25">
      <c r="A71" t="s">
        <v>59</v>
      </c>
      <c r="B71">
        <v>55143</v>
      </c>
      <c r="C71">
        <v>56392</v>
      </c>
      <c r="D71">
        <v>57978</v>
      </c>
      <c r="E71">
        <v>57638</v>
      </c>
      <c r="F71">
        <v>58655</v>
      </c>
      <c r="G71">
        <v>58808</v>
      </c>
      <c r="H71">
        <v>59286</v>
      </c>
      <c r="I71">
        <v>60023</v>
      </c>
      <c r="J71">
        <v>60172</v>
      </c>
      <c r="K71">
        <v>61733</v>
      </c>
      <c r="L71">
        <v>61096</v>
      </c>
      <c r="M71">
        <v>60784</v>
      </c>
      <c r="N71">
        <v>63449</v>
      </c>
      <c r="O71">
        <v>62943</v>
      </c>
      <c r="P71">
        <v>62974</v>
      </c>
      <c r="Q71">
        <v>63211</v>
      </c>
      <c r="R71">
        <v>63083</v>
      </c>
      <c r="S71">
        <v>63131</v>
      </c>
      <c r="T71">
        <v>63582</v>
      </c>
      <c r="U71">
        <v>66148</v>
      </c>
      <c r="V71">
        <v>66821</v>
      </c>
      <c r="W71">
        <v>66801</v>
      </c>
      <c r="X71">
        <v>68980</v>
      </c>
      <c r="Y71">
        <v>69338</v>
      </c>
      <c r="Z71">
        <v>69545</v>
      </c>
      <c r="AA71">
        <v>70154</v>
      </c>
      <c r="AB71">
        <v>71066</v>
      </c>
      <c r="AC71">
        <v>71922</v>
      </c>
      <c r="AD71">
        <v>72610</v>
      </c>
      <c r="AE71">
        <v>73606</v>
      </c>
      <c r="AF71">
        <v>74519</v>
      </c>
      <c r="AG71">
        <v>75058</v>
      </c>
      <c r="AH71">
        <v>76040</v>
      </c>
      <c r="AI71">
        <v>76469</v>
      </c>
      <c r="AJ71">
        <v>77131</v>
      </c>
      <c r="AK71">
        <v>77389</v>
      </c>
      <c r="AL71">
        <v>77763</v>
      </c>
      <c r="AM71">
        <v>78260</v>
      </c>
      <c r="AN71">
        <v>79095</v>
      </c>
      <c r="AO71">
        <v>78625</v>
      </c>
      <c r="AP71">
        <v>79272</v>
      </c>
      <c r="AQ71">
        <v>79069</v>
      </c>
      <c r="AR71">
        <v>78994</v>
      </c>
      <c r="AS71">
        <v>79492</v>
      </c>
      <c r="AT71">
        <v>78529</v>
      </c>
      <c r="AU71">
        <v>78490</v>
      </c>
      <c r="AV71">
        <v>82052</v>
      </c>
      <c r="AW71">
        <v>82736</v>
      </c>
      <c r="AX71">
        <v>83431</v>
      </c>
      <c r="AY71">
        <v>83924</v>
      </c>
      <c r="AZ71">
        <v>83976</v>
      </c>
      <c r="BA71">
        <v>84326</v>
      </c>
      <c r="BB71">
        <v>84581</v>
      </c>
      <c r="BC71">
        <v>84696</v>
      </c>
      <c r="BD71">
        <v>85052</v>
      </c>
      <c r="BE71">
        <v>85163</v>
      </c>
      <c r="BF71">
        <v>85846</v>
      </c>
      <c r="BG71">
        <v>86102</v>
      </c>
      <c r="BH71">
        <v>86651</v>
      </c>
      <c r="BI71">
        <v>86711</v>
      </c>
      <c r="BJ71">
        <v>86941</v>
      </c>
      <c r="BK71">
        <v>87289</v>
      </c>
      <c r="BL71">
        <v>87665</v>
      </c>
      <c r="BM71">
        <v>88025</v>
      </c>
      <c r="BN71">
        <v>88274</v>
      </c>
      <c r="BO71">
        <v>88531</v>
      </c>
      <c r="BP71">
        <v>88838</v>
      </c>
      <c r="BQ71">
        <v>89142</v>
      </c>
      <c r="BR71">
        <v>89256</v>
      </c>
      <c r="BS71">
        <v>89318</v>
      </c>
      <c r="BT71">
        <v>89596</v>
      </c>
      <c r="BU71">
        <v>89856</v>
      </c>
      <c r="BV71">
        <v>90020</v>
      </c>
      <c r="BW71">
        <v>90240</v>
      </c>
      <c r="BX71">
        <v>90444</v>
      </c>
      <c r="BY71">
        <v>90671</v>
      </c>
      <c r="BZ71">
        <v>90825</v>
      </c>
      <c r="CA71">
        <v>91034</v>
      </c>
      <c r="CB71">
        <v>91169</v>
      </c>
      <c r="CC71">
        <v>91271</v>
      </c>
      <c r="CD71">
        <v>91614</v>
      </c>
      <c r="CE71">
        <v>91741</v>
      </c>
      <c r="CF71">
        <v>91836</v>
      </c>
      <c r="CG71">
        <v>91906</v>
      </c>
      <c r="CH71">
        <v>92070</v>
      </c>
      <c r="CI71">
        <v>92235</v>
      </c>
      <c r="CJ71">
        <v>92456</v>
      </c>
      <c r="CK71">
        <v>92524</v>
      </c>
      <c r="CL71">
        <v>92660</v>
      </c>
      <c r="CM71">
        <v>92805</v>
      </c>
      <c r="CN71">
        <v>92930</v>
      </c>
      <c r="CO71">
        <v>93054</v>
      </c>
      <c r="CP71">
        <v>93256</v>
      </c>
      <c r="CQ71">
        <v>93352</v>
      </c>
      <c r="CR71">
        <v>93516</v>
      </c>
      <c r="CS71">
        <v>93632</v>
      </c>
      <c r="CT71">
        <v>93741</v>
      </c>
      <c r="CU71">
        <v>93869</v>
      </c>
      <c r="CV71">
        <v>93922</v>
      </c>
      <c r="CW71">
        <v>94072</v>
      </c>
    </row>
    <row r="72" spans="1:101" x14ac:dyDescent="0.25">
      <c r="A72" t="s">
        <v>58</v>
      </c>
      <c r="B72">
        <v>53841</v>
      </c>
      <c r="C72">
        <v>54995</v>
      </c>
      <c r="D72">
        <v>56548</v>
      </c>
      <c r="E72">
        <v>56292</v>
      </c>
      <c r="F72">
        <v>57342</v>
      </c>
      <c r="G72">
        <v>57316</v>
      </c>
      <c r="H72">
        <v>57767</v>
      </c>
      <c r="I72">
        <v>58549</v>
      </c>
      <c r="J72">
        <v>58615</v>
      </c>
      <c r="K72">
        <v>60257</v>
      </c>
      <c r="L72">
        <v>59691</v>
      </c>
      <c r="M72">
        <v>59305</v>
      </c>
      <c r="N72">
        <v>61925</v>
      </c>
      <c r="O72">
        <v>61522</v>
      </c>
      <c r="P72">
        <v>61473</v>
      </c>
      <c r="Q72">
        <v>61792</v>
      </c>
      <c r="R72">
        <v>61591</v>
      </c>
      <c r="S72">
        <v>61743</v>
      </c>
      <c r="T72">
        <v>62176</v>
      </c>
      <c r="U72">
        <v>64749</v>
      </c>
      <c r="V72">
        <v>65397</v>
      </c>
      <c r="W72">
        <v>65287</v>
      </c>
      <c r="X72">
        <v>67506</v>
      </c>
      <c r="Y72">
        <v>67937</v>
      </c>
      <c r="Z72">
        <v>68183</v>
      </c>
      <c r="AA72">
        <v>68716</v>
      </c>
      <c r="AB72">
        <v>69722</v>
      </c>
      <c r="AC72">
        <v>70487</v>
      </c>
      <c r="AD72">
        <v>71261</v>
      </c>
      <c r="AE72">
        <v>72181</v>
      </c>
      <c r="AF72">
        <v>73128</v>
      </c>
      <c r="AG72">
        <v>73701</v>
      </c>
      <c r="AH72">
        <v>74669</v>
      </c>
      <c r="AI72">
        <v>75219</v>
      </c>
      <c r="AJ72">
        <v>75813</v>
      </c>
      <c r="AK72">
        <v>76117</v>
      </c>
      <c r="AL72">
        <v>76570</v>
      </c>
      <c r="AM72">
        <v>77018</v>
      </c>
      <c r="AN72">
        <v>77899</v>
      </c>
      <c r="AO72">
        <v>77564</v>
      </c>
      <c r="AP72">
        <v>78224</v>
      </c>
      <c r="AQ72">
        <v>78074</v>
      </c>
      <c r="AR72">
        <v>78015</v>
      </c>
      <c r="AS72">
        <v>78556</v>
      </c>
      <c r="AT72">
        <v>77633</v>
      </c>
      <c r="AU72">
        <v>77578</v>
      </c>
      <c r="AV72">
        <v>81123</v>
      </c>
      <c r="AW72">
        <v>81829</v>
      </c>
      <c r="AX72">
        <v>82533</v>
      </c>
      <c r="AY72">
        <v>83037</v>
      </c>
      <c r="AZ72">
        <v>83156</v>
      </c>
      <c r="BA72">
        <v>83480</v>
      </c>
      <c r="BB72">
        <v>83690</v>
      </c>
      <c r="BC72">
        <v>83857</v>
      </c>
      <c r="BD72">
        <v>84214</v>
      </c>
      <c r="BE72">
        <v>84361</v>
      </c>
      <c r="BF72">
        <v>85020</v>
      </c>
      <c r="BG72">
        <v>85308</v>
      </c>
      <c r="BH72">
        <v>85870</v>
      </c>
      <c r="BI72">
        <v>85945</v>
      </c>
      <c r="BJ72">
        <v>86187</v>
      </c>
      <c r="BK72">
        <v>86545</v>
      </c>
      <c r="BL72">
        <v>86932</v>
      </c>
      <c r="BM72">
        <v>87303</v>
      </c>
      <c r="BN72">
        <v>87563</v>
      </c>
      <c r="BO72">
        <v>87830</v>
      </c>
      <c r="BP72">
        <v>88148</v>
      </c>
      <c r="BQ72">
        <v>88462</v>
      </c>
      <c r="BR72">
        <v>88587</v>
      </c>
      <c r="BS72">
        <v>88660</v>
      </c>
      <c r="BT72">
        <v>88947</v>
      </c>
      <c r="BU72">
        <v>89217</v>
      </c>
      <c r="BV72">
        <v>89392</v>
      </c>
      <c r="BW72">
        <v>89621</v>
      </c>
      <c r="BX72">
        <v>89835</v>
      </c>
      <c r="BY72">
        <v>90072</v>
      </c>
      <c r="BZ72">
        <v>90235</v>
      </c>
      <c r="CA72">
        <v>90453</v>
      </c>
      <c r="CB72">
        <v>90598</v>
      </c>
      <c r="CC72">
        <v>90709</v>
      </c>
      <c r="CD72">
        <v>91059</v>
      </c>
      <c r="CE72">
        <v>91196</v>
      </c>
      <c r="CF72">
        <v>91301</v>
      </c>
      <c r="CG72">
        <v>91379</v>
      </c>
      <c r="CH72">
        <v>91551</v>
      </c>
      <c r="CI72">
        <v>91725</v>
      </c>
      <c r="CJ72">
        <v>91954</v>
      </c>
      <c r="CK72">
        <v>92030</v>
      </c>
      <c r="CL72">
        <v>92174</v>
      </c>
      <c r="CM72">
        <v>92327</v>
      </c>
      <c r="CN72">
        <v>92459</v>
      </c>
      <c r="CO72">
        <v>92591</v>
      </c>
      <c r="CP72">
        <v>92801</v>
      </c>
      <c r="CQ72">
        <v>92904</v>
      </c>
      <c r="CR72">
        <v>93075</v>
      </c>
      <c r="CS72">
        <v>93199</v>
      </c>
      <c r="CT72">
        <v>93314</v>
      </c>
      <c r="CU72">
        <v>93449</v>
      </c>
      <c r="CV72">
        <v>93510</v>
      </c>
      <c r="CW72">
        <v>93666</v>
      </c>
    </row>
    <row r="73" spans="1:101" x14ac:dyDescent="0.25">
      <c r="A73" t="s">
        <v>57</v>
      </c>
      <c r="B73">
        <v>52437</v>
      </c>
      <c r="C73">
        <v>53539</v>
      </c>
      <c r="D73">
        <v>55072</v>
      </c>
      <c r="E73">
        <v>54789</v>
      </c>
      <c r="F73">
        <v>55831</v>
      </c>
      <c r="G73">
        <v>55687</v>
      </c>
      <c r="H73">
        <v>56184</v>
      </c>
      <c r="I73">
        <v>56922</v>
      </c>
      <c r="J73">
        <v>57054</v>
      </c>
      <c r="K73">
        <v>58616</v>
      </c>
      <c r="L73">
        <v>58074</v>
      </c>
      <c r="M73">
        <v>57737</v>
      </c>
      <c r="N73">
        <v>60331</v>
      </c>
      <c r="O73">
        <v>59963</v>
      </c>
      <c r="P73">
        <v>59909</v>
      </c>
      <c r="Q73">
        <v>60236</v>
      </c>
      <c r="R73">
        <v>60111</v>
      </c>
      <c r="S73">
        <v>60193</v>
      </c>
      <c r="T73">
        <v>60739</v>
      </c>
      <c r="U73">
        <v>63278</v>
      </c>
      <c r="V73">
        <v>63792</v>
      </c>
      <c r="W73">
        <v>63808</v>
      </c>
      <c r="X73">
        <v>66035</v>
      </c>
      <c r="Y73">
        <v>66319</v>
      </c>
      <c r="Z73">
        <v>66673</v>
      </c>
      <c r="AA73">
        <v>67249</v>
      </c>
      <c r="AB73">
        <v>68332</v>
      </c>
      <c r="AC73">
        <v>69017</v>
      </c>
      <c r="AD73">
        <v>69775</v>
      </c>
      <c r="AE73">
        <v>70705</v>
      </c>
      <c r="AF73">
        <v>71654</v>
      </c>
      <c r="AG73">
        <v>72277</v>
      </c>
      <c r="AH73">
        <v>73208</v>
      </c>
      <c r="AI73">
        <v>73820</v>
      </c>
      <c r="AJ73">
        <v>74422</v>
      </c>
      <c r="AK73">
        <v>74819</v>
      </c>
      <c r="AL73">
        <v>75311</v>
      </c>
      <c r="AM73">
        <v>75761</v>
      </c>
      <c r="AN73">
        <v>76690</v>
      </c>
      <c r="AO73">
        <v>76417</v>
      </c>
      <c r="AP73">
        <v>77102</v>
      </c>
      <c r="AQ73">
        <v>77053</v>
      </c>
      <c r="AR73">
        <v>76983</v>
      </c>
      <c r="AS73">
        <v>77527</v>
      </c>
      <c r="AT73">
        <v>76612</v>
      </c>
      <c r="AU73">
        <v>76543</v>
      </c>
      <c r="AV73">
        <v>80198</v>
      </c>
      <c r="AW73">
        <v>80870</v>
      </c>
      <c r="AX73">
        <v>81594</v>
      </c>
      <c r="AY73">
        <v>82126</v>
      </c>
      <c r="AZ73">
        <v>82216</v>
      </c>
      <c r="BA73">
        <v>82564</v>
      </c>
      <c r="BB73">
        <v>82778</v>
      </c>
      <c r="BC73">
        <v>82946</v>
      </c>
      <c r="BD73">
        <v>83363</v>
      </c>
      <c r="BE73">
        <v>83460</v>
      </c>
      <c r="BF73">
        <v>84153</v>
      </c>
      <c r="BG73">
        <v>84459</v>
      </c>
      <c r="BH73">
        <v>85032</v>
      </c>
      <c r="BI73">
        <v>85121</v>
      </c>
      <c r="BJ73">
        <v>85377</v>
      </c>
      <c r="BK73">
        <v>85747</v>
      </c>
      <c r="BL73">
        <v>86145</v>
      </c>
      <c r="BM73">
        <v>86527</v>
      </c>
      <c r="BN73">
        <v>86799</v>
      </c>
      <c r="BO73">
        <v>87079</v>
      </c>
      <c r="BP73">
        <v>87406</v>
      </c>
      <c r="BQ73">
        <v>87731</v>
      </c>
      <c r="BR73">
        <v>87868</v>
      </c>
      <c r="BS73">
        <v>87954</v>
      </c>
      <c r="BT73">
        <v>88251</v>
      </c>
      <c r="BU73">
        <v>88532</v>
      </c>
      <c r="BV73">
        <v>88718</v>
      </c>
      <c r="BW73">
        <v>88957</v>
      </c>
      <c r="BX73">
        <v>89181</v>
      </c>
      <c r="BY73">
        <v>89428</v>
      </c>
      <c r="BZ73">
        <v>89601</v>
      </c>
      <c r="CA73">
        <v>89830</v>
      </c>
      <c r="CB73">
        <v>89985</v>
      </c>
      <c r="CC73">
        <v>90105</v>
      </c>
      <c r="CD73">
        <v>90465</v>
      </c>
      <c r="CE73">
        <v>90612</v>
      </c>
      <c r="CF73">
        <v>90726</v>
      </c>
      <c r="CG73">
        <v>90814</v>
      </c>
      <c r="CH73">
        <v>90996</v>
      </c>
      <c r="CI73">
        <v>91178</v>
      </c>
      <c r="CJ73">
        <v>91415</v>
      </c>
      <c r="CK73">
        <v>91501</v>
      </c>
      <c r="CL73">
        <v>91653</v>
      </c>
      <c r="CM73">
        <v>91815</v>
      </c>
      <c r="CN73">
        <v>91955</v>
      </c>
      <c r="CO73">
        <v>92096</v>
      </c>
      <c r="CP73">
        <v>92313</v>
      </c>
      <c r="CQ73">
        <v>92424</v>
      </c>
      <c r="CR73">
        <v>92603</v>
      </c>
      <c r="CS73">
        <v>92734</v>
      </c>
      <c r="CT73">
        <v>92858</v>
      </c>
      <c r="CU73">
        <v>93000</v>
      </c>
      <c r="CV73">
        <v>93069</v>
      </c>
      <c r="CW73">
        <v>93231</v>
      </c>
    </row>
    <row r="74" spans="1:101" x14ac:dyDescent="0.25">
      <c r="A74" t="s">
        <v>56</v>
      </c>
      <c r="B74">
        <v>50922</v>
      </c>
      <c r="C74">
        <v>51941</v>
      </c>
      <c r="D74">
        <v>53446</v>
      </c>
      <c r="E74">
        <v>53039</v>
      </c>
      <c r="F74">
        <v>54182</v>
      </c>
      <c r="G74">
        <v>54003</v>
      </c>
      <c r="H74">
        <v>54479</v>
      </c>
      <c r="I74">
        <v>55196</v>
      </c>
      <c r="J74">
        <v>55417</v>
      </c>
      <c r="K74">
        <v>56885</v>
      </c>
      <c r="L74">
        <v>56319</v>
      </c>
      <c r="M74">
        <v>56112</v>
      </c>
      <c r="N74">
        <v>58589</v>
      </c>
      <c r="O74">
        <v>58314</v>
      </c>
      <c r="P74">
        <v>58267</v>
      </c>
      <c r="Q74">
        <v>58595</v>
      </c>
      <c r="R74">
        <v>58496</v>
      </c>
      <c r="S74">
        <v>58579</v>
      </c>
      <c r="T74">
        <v>59066</v>
      </c>
      <c r="U74">
        <v>61627</v>
      </c>
      <c r="V74">
        <v>62180</v>
      </c>
      <c r="W74">
        <v>62147</v>
      </c>
      <c r="X74">
        <v>64418</v>
      </c>
      <c r="Y74">
        <v>64651</v>
      </c>
      <c r="Z74">
        <v>65057</v>
      </c>
      <c r="AA74">
        <v>65662</v>
      </c>
      <c r="AB74">
        <v>66816</v>
      </c>
      <c r="AC74">
        <v>67393</v>
      </c>
      <c r="AD74">
        <v>68278</v>
      </c>
      <c r="AE74">
        <v>69086</v>
      </c>
      <c r="AF74">
        <v>70131</v>
      </c>
      <c r="AG74">
        <v>70775</v>
      </c>
      <c r="AH74">
        <v>71702</v>
      </c>
      <c r="AI74">
        <v>72317</v>
      </c>
      <c r="AJ74">
        <v>72919</v>
      </c>
      <c r="AK74">
        <v>73471</v>
      </c>
      <c r="AL74">
        <v>74012</v>
      </c>
      <c r="AM74">
        <v>74430</v>
      </c>
      <c r="AN74">
        <v>75439</v>
      </c>
      <c r="AO74">
        <v>75121</v>
      </c>
      <c r="AP74">
        <v>75987</v>
      </c>
      <c r="AQ74">
        <v>75875</v>
      </c>
      <c r="AR74">
        <v>75882</v>
      </c>
      <c r="AS74">
        <v>76458</v>
      </c>
      <c r="AT74">
        <v>75508</v>
      </c>
      <c r="AU74">
        <v>75470</v>
      </c>
      <c r="AV74">
        <v>79173</v>
      </c>
      <c r="AW74">
        <v>79855</v>
      </c>
      <c r="AX74">
        <v>80658</v>
      </c>
      <c r="AY74">
        <v>81101</v>
      </c>
      <c r="AZ74">
        <v>81228</v>
      </c>
      <c r="BA74">
        <v>81616</v>
      </c>
      <c r="BB74">
        <v>81778</v>
      </c>
      <c r="BC74">
        <v>81970</v>
      </c>
      <c r="BD74">
        <v>82381</v>
      </c>
      <c r="BE74">
        <v>82522</v>
      </c>
      <c r="BF74">
        <v>83230</v>
      </c>
      <c r="BG74">
        <v>83551</v>
      </c>
      <c r="BH74">
        <v>84135</v>
      </c>
      <c r="BI74">
        <v>84240</v>
      </c>
      <c r="BJ74">
        <v>84509</v>
      </c>
      <c r="BK74">
        <v>84893</v>
      </c>
      <c r="BL74">
        <v>85303</v>
      </c>
      <c r="BM74">
        <v>85698</v>
      </c>
      <c r="BN74">
        <v>85981</v>
      </c>
      <c r="BO74">
        <v>86273</v>
      </c>
      <c r="BP74">
        <v>86613</v>
      </c>
      <c r="BQ74">
        <v>86949</v>
      </c>
      <c r="BR74">
        <v>87099</v>
      </c>
      <c r="BS74">
        <v>87197</v>
      </c>
      <c r="BT74">
        <v>87507</v>
      </c>
      <c r="BU74">
        <v>87798</v>
      </c>
      <c r="BV74">
        <v>87996</v>
      </c>
      <c r="BW74">
        <v>88247</v>
      </c>
      <c r="BX74">
        <v>88482</v>
      </c>
      <c r="BY74">
        <v>88740</v>
      </c>
      <c r="BZ74">
        <v>88924</v>
      </c>
      <c r="CA74">
        <v>89164</v>
      </c>
      <c r="CB74">
        <v>89329</v>
      </c>
      <c r="CC74">
        <v>89460</v>
      </c>
      <c r="CD74">
        <v>89829</v>
      </c>
      <c r="CE74">
        <v>89987</v>
      </c>
      <c r="CF74">
        <v>90111</v>
      </c>
      <c r="CG74">
        <v>90210</v>
      </c>
      <c r="CH74">
        <v>90401</v>
      </c>
      <c r="CI74">
        <v>90593</v>
      </c>
      <c r="CJ74">
        <v>90839</v>
      </c>
      <c r="CK74">
        <v>90934</v>
      </c>
      <c r="CL74">
        <v>91097</v>
      </c>
      <c r="CM74">
        <v>91267</v>
      </c>
      <c r="CN74">
        <v>91417</v>
      </c>
      <c r="CO74">
        <v>91566</v>
      </c>
      <c r="CP74">
        <v>91792</v>
      </c>
      <c r="CQ74">
        <v>91911</v>
      </c>
      <c r="CR74">
        <v>92099</v>
      </c>
      <c r="CS74">
        <v>92238</v>
      </c>
      <c r="CT74">
        <v>92370</v>
      </c>
      <c r="CU74">
        <v>92520</v>
      </c>
      <c r="CV74">
        <v>92597</v>
      </c>
      <c r="CW74">
        <v>92767</v>
      </c>
    </row>
    <row r="75" spans="1:101" x14ac:dyDescent="0.25">
      <c r="A75" t="s">
        <v>55</v>
      </c>
      <c r="B75">
        <v>49332</v>
      </c>
      <c r="C75">
        <v>50311</v>
      </c>
      <c r="D75">
        <v>51777</v>
      </c>
      <c r="E75">
        <v>51260</v>
      </c>
      <c r="F75">
        <v>52474</v>
      </c>
      <c r="G75">
        <v>52143</v>
      </c>
      <c r="H75">
        <v>52769</v>
      </c>
      <c r="I75">
        <v>53348</v>
      </c>
      <c r="J75">
        <v>53589</v>
      </c>
      <c r="K75">
        <v>54997</v>
      </c>
      <c r="L75">
        <v>54566</v>
      </c>
      <c r="M75">
        <v>54368</v>
      </c>
      <c r="N75">
        <v>56797</v>
      </c>
      <c r="O75">
        <v>56565</v>
      </c>
      <c r="P75">
        <v>56486</v>
      </c>
      <c r="Q75">
        <v>56848</v>
      </c>
      <c r="R75">
        <v>56749</v>
      </c>
      <c r="S75">
        <v>56919</v>
      </c>
      <c r="T75">
        <v>57334</v>
      </c>
      <c r="U75">
        <v>59826</v>
      </c>
      <c r="V75">
        <v>60412</v>
      </c>
      <c r="W75">
        <v>60452</v>
      </c>
      <c r="X75">
        <v>62714</v>
      </c>
      <c r="Y75">
        <v>62932</v>
      </c>
      <c r="Z75">
        <v>63407</v>
      </c>
      <c r="AA75">
        <v>64056</v>
      </c>
      <c r="AB75">
        <v>65078</v>
      </c>
      <c r="AC75">
        <v>65750</v>
      </c>
      <c r="AD75">
        <v>66594</v>
      </c>
      <c r="AE75">
        <v>67352</v>
      </c>
      <c r="AF75">
        <v>68476</v>
      </c>
      <c r="AG75">
        <v>69044</v>
      </c>
      <c r="AH75">
        <v>70100</v>
      </c>
      <c r="AI75">
        <v>70708</v>
      </c>
      <c r="AJ75">
        <v>71350</v>
      </c>
      <c r="AK75">
        <v>71974</v>
      </c>
      <c r="AL75">
        <v>72567</v>
      </c>
      <c r="AM75">
        <v>73102</v>
      </c>
      <c r="AN75">
        <v>74156</v>
      </c>
      <c r="AO75">
        <v>73878</v>
      </c>
      <c r="AP75">
        <v>74775</v>
      </c>
      <c r="AQ75">
        <v>74738</v>
      </c>
      <c r="AR75">
        <v>74728</v>
      </c>
      <c r="AS75">
        <v>75285</v>
      </c>
      <c r="AT75">
        <v>74454</v>
      </c>
      <c r="AU75">
        <v>74383</v>
      </c>
      <c r="AV75">
        <v>78050</v>
      </c>
      <c r="AW75">
        <v>78817</v>
      </c>
      <c r="AX75">
        <v>79560</v>
      </c>
      <c r="AY75">
        <v>80000</v>
      </c>
      <c r="AZ75">
        <v>80213</v>
      </c>
      <c r="BA75">
        <v>80543</v>
      </c>
      <c r="BB75">
        <v>80787</v>
      </c>
      <c r="BC75">
        <v>80903</v>
      </c>
      <c r="BD75">
        <v>81362</v>
      </c>
      <c r="BE75">
        <v>81526</v>
      </c>
      <c r="BF75">
        <v>82247</v>
      </c>
      <c r="BG75">
        <v>82582</v>
      </c>
      <c r="BH75">
        <v>83178</v>
      </c>
      <c r="BI75">
        <v>83300</v>
      </c>
      <c r="BJ75">
        <v>83585</v>
      </c>
      <c r="BK75">
        <v>83982</v>
      </c>
      <c r="BL75">
        <v>84405</v>
      </c>
      <c r="BM75">
        <v>84811</v>
      </c>
      <c r="BN75">
        <v>85109</v>
      </c>
      <c r="BO75">
        <v>85413</v>
      </c>
      <c r="BP75">
        <v>85765</v>
      </c>
      <c r="BQ75">
        <v>86113</v>
      </c>
      <c r="BR75">
        <v>86277</v>
      </c>
      <c r="BS75">
        <v>86390</v>
      </c>
      <c r="BT75">
        <v>86711</v>
      </c>
      <c r="BU75">
        <v>87015</v>
      </c>
      <c r="BV75">
        <v>87226</v>
      </c>
      <c r="BW75">
        <v>87489</v>
      </c>
      <c r="BX75">
        <v>87735</v>
      </c>
      <c r="BY75">
        <v>88005</v>
      </c>
      <c r="BZ75">
        <v>88201</v>
      </c>
      <c r="CA75">
        <v>88452</v>
      </c>
      <c r="CB75">
        <v>88629</v>
      </c>
      <c r="CC75">
        <v>88772</v>
      </c>
      <c r="CD75">
        <v>89151</v>
      </c>
      <c r="CE75">
        <v>89320</v>
      </c>
      <c r="CF75">
        <v>89455</v>
      </c>
      <c r="CG75">
        <v>89566</v>
      </c>
      <c r="CH75">
        <v>89768</v>
      </c>
      <c r="CI75">
        <v>89969</v>
      </c>
      <c r="CJ75">
        <v>90225</v>
      </c>
      <c r="CK75">
        <v>90331</v>
      </c>
      <c r="CL75">
        <v>90503</v>
      </c>
      <c r="CM75">
        <v>90682</v>
      </c>
      <c r="CN75">
        <v>90842</v>
      </c>
      <c r="CO75">
        <v>91001</v>
      </c>
      <c r="CP75">
        <v>91235</v>
      </c>
      <c r="CQ75">
        <v>91364</v>
      </c>
      <c r="CR75">
        <v>91561</v>
      </c>
      <c r="CS75">
        <v>91710</v>
      </c>
      <c r="CT75">
        <v>91850</v>
      </c>
      <c r="CU75">
        <v>92008</v>
      </c>
      <c r="CV75">
        <v>92094</v>
      </c>
      <c r="CW75">
        <v>92272</v>
      </c>
    </row>
    <row r="76" spans="1:101" x14ac:dyDescent="0.25">
      <c r="A76" t="s">
        <v>54</v>
      </c>
      <c r="B76">
        <v>47586</v>
      </c>
      <c r="C76">
        <v>48533</v>
      </c>
      <c r="D76">
        <v>49896</v>
      </c>
      <c r="E76">
        <v>49371</v>
      </c>
      <c r="F76">
        <v>50567</v>
      </c>
      <c r="G76">
        <v>50323</v>
      </c>
      <c r="H76">
        <v>50910</v>
      </c>
      <c r="I76">
        <v>51373</v>
      </c>
      <c r="J76">
        <v>51618</v>
      </c>
      <c r="K76">
        <v>53069</v>
      </c>
      <c r="L76">
        <v>52661</v>
      </c>
      <c r="M76">
        <v>52570</v>
      </c>
      <c r="N76">
        <v>54850</v>
      </c>
      <c r="O76">
        <v>54756</v>
      </c>
      <c r="P76">
        <v>54629</v>
      </c>
      <c r="Q76">
        <v>54992</v>
      </c>
      <c r="R76">
        <v>54919</v>
      </c>
      <c r="S76">
        <v>55044</v>
      </c>
      <c r="T76">
        <v>55359</v>
      </c>
      <c r="U76">
        <v>58001</v>
      </c>
      <c r="V76">
        <v>58541</v>
      </c>
      <c r="W76">
        <v>58697</v>
      </c>
      <c r="X76">
        <v>60941</v>
      </c>
      <c r="Y76">
        <v>61154</v>
      </c>
      <c r="Z76">
        <v>61617</v>
      </c>
      <c r="AA76">
        <v>62146</v>
      </c>
      <c r="AB76">
        <v>63256</v>
      </c>
      <c r="AC76">
        <v>63989</v>
      </c>
      <c r="AD76">
        <v>64794</v>
      </c>
      <c r="AE76">
        <v>65597</v>
      </c>
      <c r="AF76">
        <v>66652</v>
      </c>
      <c r="AG76">
        <v>67316</v>
      </c>
      <c r="AH76">
        <v>68376</v>
      </c>
      <c r="AI76">
        <v>69040</v>
      </c>
      <c r="AJ76">
        <v>69729</v>
      </c>
      <c r="AK76">
        <v>70446</v>
      </c>
      <c r="AL76">
        <v>71081</v>
      </c>
      <c r="AM76">
        <v>71679</v>
      </c>
      <c r="AN76">
        <v>72730</v>
      </c>
      <c r="AO76">
        <v>72595</v>
      </c>
      <c r="AP76">
        <v>73471</v>
      </c>
      <c r="AQ76">
        <v>73441</v>
      </c>
      <c r="AR76">
        <v>73490</v>
      </c>
      <c r="AS76">
        <v>74139</v>
      </c>
      <c r="AT76">
        <v>73255</v>
      </c>
      <c r="AU76">
        <v>73194</v>
      </c>
      <c r="AV76">
        <v>76894</v>
      </c>
      <c r="AW76">
        <v>77654</v>
      </c>
      <c r="AX76">
        <v>78386</v>
      </c>
      <c r="AY76">
        <v>78868</v>
      </c>
      <c r="AZ76">
        <v>79073</v>
      </c>
      <c r="BA76">
        <v>79471</v>
      </c>
      <c r="BB76">
        <v>79636</v>
      </c>
      <c r="BC76">
        <v>79805</v>
      </c>
      <c r="BD76">
        <v>80284</v>
      </c>
      <c r="BE76">
        <v>80470</v>
      </c>
      <c r="BF76">
        <v>81200</v>
      </c>
      <c r="BG76">
        <v>81552</v>
      </c>
      <c r="BH76">
        <v>82160</v>
      </c>
      <c r="BI76">
        <v>82301</v>
      </c>
      <c r="BJ76">
        <v>82601</v>
      </c>
      <c r="BK76">
        <v>83012</v>
      </c>
      <c r="BL76">
        <v>83449</v>
      </c>
      <c r="BM76">
        <v>83868</v>
      </c>
      <c r="BN76">
        <v>84179</v>
      </c>
      <c r="BO76">
        <v>84497</v>
      </c>
      <c r="BP76">
        <v>84862</v>
      </c>
      <c r="BQ76">
        <v>85224</v>
      </c>
      <c r="BR76">
        <v>85403</v>
      </c>
      <c r="BS76">
        <v>85530</v>
      </c>
      <c r="BT76">
        <v>85865</v>
      </c>
      <c r="BU76">
        <v>86181</v>
      </c>
      <c r="BV76">
        <v>86406</v>
      </c>
      <c r="BW76">
        <v>86681</v>
      </c>
      <c r="BX76">
        <v>86940</v>
      </c>
      <c r="BY76">
        <v>87223</v>
      </c>
      <c r="BZ76">
        <v>87431</v>
      </c>
      <c r="CA76">
        <v>87694</v>
      </c>
      <c r="CB76">
        <v>87884</v>
      </c>
      <c r="CC76">
        <v>88040</v>
      </c>
      <c r="CD76">
        <v>88428</v>
      </c>
      <c r="CE76">
        <v>88610</v>
      </c>
      <c r="CF76">
        <v>88756</v>
      </c>
      <c r="CG76">
        <v>88880</v>
      </c>
      <c r="CH76">
        <v>89093</v>
      </c>
      <c r="CI76">
        <v>89305</v>
      </c>
      <c r="CJ76">
        <v>89571</v>
      </c>
      <c r="CK76">
        <v>89688</v>
      </c>
      <c r="CL76">
        <v>89871</v>
      </c>
      <c r="CM76">
        <v>90060</v>
      </c>
      <c r="CN76">
        <v>90231</v>
      </c>
      <c r="CO76">
        <v>90400</v>
      </c>
      <c r="CP76">
        <v>90643</v>
      </c>
      <c r="CQ76">
        <v>90782</v>
      </c>
      <c r="CR76">
        <v>90989</v>
      </c>
      <c r="CS76">
        <v>91147</v>
      </c>
      <c r="CT76">
        <v>91296</v>
      </c>
      <c r="CU76">
        <v>91464</v>
      </c>
      <c r="CV76">
        <v>91559</v>
      </c>
      <c r="CW76">
        <v>91747</v>
      </c>
    </row>
    <row r="77" spans="1:101" x14ac:dyDescent="0.25">
      <c r="A77" t="s">
        <v>53</v>
      </c>
      <c r="B77">
        <v>45790</v>
      </c>
      <c r="C77">
        <v>46556</v>
      </c>
      <c r="D77">
        <v>47940</v>
      </c>
      <c r="E77">
        <v>47471</v>
      </c>
      <c r="F77">
        <v>48527</v>
      </c>
      <c r="G77">
        <v>48424</v>
      </c>
      <c r="H77">
        <v>48829</v>
      </c>
      <c r="I77">
        <v>49379</v>
      </c>
      <c r="J77">
        <v>49606</v>
      </c>
      <c r="K77">
        <v>51000</v>
      </c>
      <c r="L77">
        <v>50802</v>
      </c>
      <c r="M77">
        <v>50664</v>
      </c>
      <c r="N77">
        <v>52832</v>
      </c>
      <c r="O77">
        <v>52728</v>
      </c>
      <c r="P77">
        <v>52716</v>
      </c>
      <c r="Q77">
        <v>53020</v>
      </c>
      <c r="R77">
        <v>52958</v>
      </c>
      <c r="S77">
        <v>53060</v>
      </c>
      <c r="T77">
        <v>53420</v>
      </c>
      <c r="U77">
        <v>56048</v>
      </c>
      <c r="V77">
        <v>56662</v>
      </c>
      <c r="W77">
        <v>56673</v>
      </c>
      <c r="X77">
        <v>59029</v>
      </c>
      <c r="Y77">
        <v>59283</v>
      </c>
      <c r="Z77">
        <v>59720</v>
      </c>
      <c r="AA77">
        <v>60242</v>
      </c>
      <c r="AB77">
        <v>61365</v>
      </c>
      <c r="AC77">
        <v>62084</v>
      </c>
      <c r="AD77">
        <v>62923</v>
      </c>
      <c r="AE77">
        <v>63710</v>
      </c>
      <c r="AF77">
        <v>64756</v>
      </c>
      <c r="AG77">
        <v>65607</v>
      </c>
      <c r="AH77">
        <v>66638</v>
      </c>
      <c r="AI77">
        <v>67267</v>
      </c>
      <c r="AJ77">
        <v>68029</v>
      </c>
      <c r="AK77">
        <v>68800</v>
      </c>
      <c r="AL77">
        <v>69569</v>
      </c>
      <c r="AM77">
        <v>70201</v>
      </c>
      <c r="AN77">
        <v>71289</v>
      </c>
      <c r="AO77">
        <v>71233</v>
      </c>
      <c r="AP77">
        <v>72120</v>
      </c>
      <c r="AQ77">
        <v>72074</v>
      </c>
      <c r="AR77">
        <v>72164</v>
      </c>
      <c r="AS77">
        <v>72857</v>
      </c>
      <c r="AT77">
        <v>71974</v>
      </c>
      <c r="AU77">
        <v>71957</v>
      </c>
      <c r="AV77">
        <v>75642</v>
      </c>
      <c r="AW77">
        <v>76402</v>
      </c>
      <c r="AX77">
        <v>77175</v>
      </c>
      <c r="AY77">
        <v>77634</v>
      </c>
      <c r="AZ77">
        <v>77850</v>
      </c>
      <c r="BA77">
        <v>78225</v>
      </c>
      <c r="BB77">
        <v>78449</v>
      </c>
      <c r="BC77">
        <v>78646</v>
      </c>
      <c r="BD77">
        <v>79144</v>
      </c>
      <c r="BE77">
        <v>79348</v>
      </c>
      <c r="BF77">
        <v>80090</v>
      </c>
      <c r="BG77">
        <v>80458</v>
      </c>
      <c r="BH77">
        <v>81080</v>
      </c>
      <c r="BI77">
        <v>81239</v>
      </c>
      <c r="BJ77">
        <v>81556</v>
      </c>
      <c r="BK77">
        <v>81981</v>
      </c>
      <c r="BL77">
        <v>82432</v>
      </c>
      <c r="BM77">
        <v>82864</v>
      </c>
      <c r="BN77">
        <v>83190</v>
      </c>
      <c r="BO77">
        <v>83523</v>
      </c>
      <c r="BP77">
        <v>83903</v>
      </c>
      <c r="BQ77">
        <v>84278</v>
      </c>
      <c r="BR77">
        <v>84473</v>
      </c>
      <c r="BS77">
        <v>84616</v>
      </c>
      <c r="BT77">
        <v>84964</v>
      </c>
      <c r="BU77">
        <v>85294</v>
      </c>
      <c r="BV77">
        <v>85533</v>
      </c>
      <c r="BW77">
        <v>85821</v>
      </c>
      <c r="BX77">
        <v>86094</v>
      </c>
      <c r="BY77">
        <v>86390</v>
      </c>
      <c r="BZ77">
        <v>86612</v>
      </c>
      <c r="CA77">
        <v>86887</v>
      </c>
      <c r="CB77">
        <v>87090</v>
      </c>
      <c r="CC77">
        <v>87260</v>
      </c>
      <c r="CD77">
        <v>87659</v>
      </c>
      <c r="CE77">
        <v>87853</v>
      </c>
      <c r="CF77">
        <v>88012</v>
      </c>
      <c r="CG77">
        <v>88150</v>
      </c>
      <c r="CH77">
        <v>88374</v>
      </c>
      <c r="CI77">
        <v>88598</v>
      </c>
      <c r="CJ77">
        <v>88874</v>
      </c>
      <c r="CK77">
        <v>89004</v>
      </c>
      <c r="CL77">
        <v>89198</v>
      </c>
      <c r="CM77">
        <v>89398</v>
      </c>
      <c r="CN77">
        <v>89580</v>
      </c>
      <c r="CO77">
        <v>89759</v>
      </c>
      <c r="CP77">
        <v>90012</v>
      </c>
      <c r="CQ77">
        <v>90162</v>
      </c>
      <c r="CR77">
        <v>90378</v>
      </c>
      <c r="CS77">
        <v>90547</v>
      </c>
      <c r="CT77">
        <v>90706</v>
      </c>
      <c r="CU77">
        <v>90884</v>
      </c>
      <c r="CV77">
        <v>90989</v>
      </c>
      <c r="CW77">
        <v>91185</v>
      </c>
    </row>
    <row r="78" spans="1:101" x14ac:dyDescent="0.25">
      <c r="A78" t="s">
        <v>52</v>
      </c>
      <c r="B78">
        <v>43885</v>
      </c>
      <c r="C78">
        <v>44646</v>
      </c>
      <c r="D78">
        <v>45852</v>
      </c>
      <c r="E78">
        <v>45560</v>
      </c>
      <c r="F78">
        <v>46562</v>
      </c>
      <c r="G78">
        <v>46369</v>
      </c>
      <c r="H78">
        <v>46691</v>
      </c>
      <c r="I78">
        <v>47364</v>
      </c>
      <c r="J78">
        <v>47540</v>
      </c>
      <c r="K78">
        <v>48954</v>
      </c>
      <c r="L78">
        <v>48789</v>
      </c>
      <c r="M78">
        <v>48637</v>
      </c>
      <c r="N78">
        <v>50815</v>
      </c>
      <c r="O78">
        <v>50604</v>
      </c>
      <c r="P78">
        <v>50642</v>
      </c>
      <c r="Q78">
        <v>50997</v>
      </c>
      <c r="R78">
        <v>50890</v>
      </c>
      <c r="S78">
        <v>51081</v>
      </c>
      <c r="T78">
        <v>51492</v>
      </c>
      <c r="U78">
        <v>54046</v>
      </c>
      <c r="V78">
        <v>54660</v>
      </c>
      <c r="W78">
        <v>54701</v>
      </c>
      <c r="X78">
        <v>56966</v>
      </c>
      <c r="Y78">
        <v>57251</v>
      </c>
      <c r="Z78">
        <v>57679</v>
      </c>
      <c r="AA78">
        <v>58205</v>
      </c>
      <c r="AB78">
        <v>59447</v>
      </c>
      <c r="AC78">
        <v>60127</v>
      </c>
      <c r="AD78">
        <v>61052</v>
      </c>
      <c r="AE78">
        <v>61746</v>
      </c>
      <c r="AF78">
        <v>62855</v>
      </c>
      <c r="AG78">
        <v>63686</v>
      </c>
      <c r="AH78">
        <v>64716</v>
      </c>
      <c r="AI78">
        <v>65588</v>
      </c>
      <c r="AJ78">
        <v>66238</v>
      </c>
      <c r="AK78">
        <v>67158</v>
      </c>
      <c r="AL78">
        <v>67922</v>
      </c>
      <c r="AM78">
        <v>68625</v>
      </c>
      <c r="AN78">
        <v>69795</v>
      </c>
      <c r="AO78">
        <v>69796</v>
      </c>
      <c r="AP78">
        <v>70641</v>
      </c>
      <c r="AQ78">
        <v>70682</v>
      </c>
      <c r="AR78">
        <v>70726</v>
      </c>
      <c r="AS78">
        <v>71450</v>
      </c>
      <c r="AT78">
        <v>70663</v>
      </c>
      <c r="AU78">
        <v>70582</v>
      </c>
      <c r="AV78">
        <v>74311</v>
      </c>
      <c r="AW78">
        <v>75079</v>
      </c>
      <c r="AX78">
        <v>75845</v>
      </c>
      <c r="AY78">
        <v>76338</v>
      </c>
      <c r="AZ78">
        <v>76503</v>
      </c>
      <c r="BA78">
        <v>76942</v>
      </c>
      <c r="BB78">
        <v>77197</v>
      </c>
      <c r="BC78">
        <v>77419</v>
      </c>
      <c r="BD78">
        <v>77933</v>
      </c>
      <c r="BE78">
        <v>78156</v>
      </c>
      <c r="BF78">
        <v>78911</v>
      </c>
      <c r="BG78">
        <v>79297</v>
      </c>
      <c r="BH78">
        <v>79932</v>
      </c>
      <c r="BI78">
        <v>80111</v>
      </c>
      <c r="BJ78">
        <v>80444</v>
      </c>
      <c r="BK78">
        <v>80884</v>
      </c>
      <c r="BL78">
        <v>81349</v>
      </c>
      <c r="BM78">
        <v>81796</v>
      </c>
      <c r="BN78">
        <v>82138</v>
      </c>
      <c r="BO78">
        <v>82487</v>
      </c>
      <c r="BP78">
        <v>82881</v>
      </c>
      <c r="BQ78">
        <v>83270</v>
      </c>
      <c r="BR78">
        <v>83483</v>
      </c>
      <c r="BS78">
        <v>83643</v>
      </c>
      <c r="BT78">
        <v>84005</v>
      </c>
      <c r="BU78">
        <v>84349</v>
      </c>
      <c r="BV78">
        <v>84604</v>
      </c>
      <c r="BW78">
        <v>84905</v>
      </c>
      <c r="BX78">
        <v>85193</v>
      </c>
      <c r="BY78">
        <v>85502</v>
      </c>
      <c r="BZ78">
        <v>85739</v>
      </c>
      <c r="CA78">
        <v>86028</v>
      </c>
      <c r="CB78">
        <v>86244</v>
      </c>
      <c r="CC78">
        <v>86428</v>
      </c>
      <c r="CD78">
        <v>86839</v>
      </c>
      <c r="CE78">
        <v>87047</v>
      </c>
      <c r="CF78">
        <v>87219</v>
      </c>
      <c r="CG78">
        <v>87370</v>
      </c>
      <c r="CH78">
        <v>87606</v>
      </c>
      <c r="CI78">
        <v>87843</v>
      </c>
      <c r="CJ78">
        <v>88131</v>
      </c>
      <c r="CK78">
        <v>88274</v>
      </c>
      <c r="CL78">
        <v>88480</v>
      </c>
      <c r="CM78">
        <v>88692</v>
      </c>
      <c r="CN78">
        <v>88884</v>
      </c>
      <c r="CO78">
        <v>89076</v>
      </c>
      <c r="CP78">
        <v>89340</v>
      </c>
      <c r="CQ78">
        <v>89501</v>
      </c>
      <c r="CR78">
        <v>89727</v>
      </c>
      <c r="CS78">
        <v>89907</v>
      </c>
      <c r="CT78">
        <v>90076</v>
      </c>
      <c r="CU78">
        <v>90265</v>
      </c>
      <c r="CV78">
        <v>90380</v>
      </c>
      <c r="CW78">
        <v>90587</v>
      </c>
    </row>
    <row r="79" spans="1:101" x14ac:dyDescent="0.25">
      <c r="A79" t="s">
        <v>51</v>
      </c>
      <c r="B79">
        <v>41971</v>
      </c>
      <c r="C79">
        <v>42511</v>
      </c>
      <c r="D79">
        <v>43704</v>
      </c>
      <c r="E79">
        <v>43587</v>
      </c>
      <c r="F79">
        <v>44363</v>
      </c>
      <c r="G79">
        <v>44193</v>
      </c>
      <c r="H79">
        <v>44606</v>
      </c>
      <c r="I79">
        <v>45102</v>
      </c>
      <c r="J79">
        <v>45397</v>
      </c>
      <c r="K79">
        <v>46789</v>
      </c>
      <c r="L79">
        <v>46625</v>
      </c>
      <c r="M79">
        <v>46593</v>
      </c>
      <c r="N79">
        <v>48684</v>
      </c>
      <c r="O79">
        <v>48493</v>
      </c>
      <c r="P79">
        <v>48472</v>
      </c>
      <c r="Q79">
        <v>48908</v>
      </c>
      <c r="R79">
        <v>48742</v>
      </c>
      <c r="S79">
        <v>49057</v>
      </c>
      <c r="T79">
        <v>49352</v>
      </c>
      <c r="U79">
        <v>51930</v>
      </c>
      <c r="V79">
        <v>52520</v>
      </c>
      <c r="W79">
        <v>52596</v>
      </c>
      <c r="X79">
        <v>54767</v>
      </c>
      <c r="Y79">
        <v>55171</v>
      </c>
      <c r="Z79">
        <v>55545</v>
      </c>
      <c r="AA79">
        <v>56025</v>
      </c>
      <c r="AB79">
        <v>57401</v>
      </c>
      <c r="AC79">
        <v>58028</v>
      </c>
      <c r="AD79">
        <v>59009</v>
      </c>
      <c r="AE79">
        <v>59692</v>
      </c>
      <c r="AF79">
        <v>60796</v>
      </c>
      <c r="AG79">
        <v>61748</v>
      </c>
      <c r="AH79">
        <v>62737</v>
      </c>
      <c r="AI79">
        <v>63728</v>
      </c>
      <c r="AJ79">
        <v>64390</v>
      </c>
      <c r="AK79">
        <v>65390</v>
      </c>
      <c r="AL79">
        <v>66231</v>
      </c>
      <c r="AM79">
        <v>67019</v>
      </c>
      <c r="AN79">
        <v>68178</v>
      </c>
      <c r="AO79">
        <v>68268</v>
      </c>
      <c r="AP79">
        <v>69205</v>
      </c>
      <c r="AQ79">
        <v>69181</v>
      </c>
      <c r="AR79">
        <v>69212</v>
      </c>
      <c r="AS79">
        <v>70035</v>
      </c>
      <c r="AT79">
        <v>69151</v>
      </c>
      <c r="AU79">
        <v>69137</v>
      </c>
      <c r="AV79">
        <v>72906</v>
      </c>
      <c r="AW79">
        <v>73688</v>
      </c>
      <c r="AX79">
        <v>74506</v>
      </c>
      <c r="AY79">
        <v>74874</v>
      </c>
      <c r="AZ79">
        <v>75117</v>
      </c>
      <c r="BA79">
        <v>75588</v>
      </c>
      <c r="BB79">
        <v>75871</v>
      </c>
      <c r="BC79">
        <v>76113</v>
      </c>
      <c r="BD79">
        <v>76644</v>
      </c>
      <c r="BE79">
        <v>76888</v>
      </c>
      <c r="BF79">
        <v>77657</v>
      </c>
      <c r="BG79">
        <v>78061</v>
      </c>
      <c r="BH79">
        <v>78710</v>
      </c>
      <c r="BI79">
        <v>78908</v>
      </c>
      <c r="BJ79">
        <v>79259</v>
      </c>
      <c r="BK79">
        <v>79715</v>
      </c>
      <c r="BL79">
        <v>80196</v>
      </c>
      <c r="BM79">
        <v>80657</v>
      </c>
      <c r="BN79">
        <v>81017</v>
      </c>
      <c r="BO79">
        <v>81381</v>
      </c>
      <c r="BP79">
        <v>81792</v>
      </c>
      <c r="BQ79">
        <v>82196</v>
      </c>
      <c r="BR79">
        <v>82427</v>
      </c>
      <c r="BS79">
        <v>82604</v>
      </c>
      <c r="BT79">
        <v>82982</v>
      </c>
      <c r="BU79">
        <v>83341</v>
      </c>
      <c r="BV79">
        <v>83611</v>
      </c>
      <c r="BW79">
        <v>83928</v>
      </c>
      <c r="BX79">
        <v>84231</v>
      </c>
      <c r="BY79">
        <v>84555</v>
      </c>
      <c r="BZ79">
        <v>84807</v>
      </c>
      <c r="CA79">
        <v>85110</v>
      </c>
      <c r="CB79">
        <v>85341</v>
      </c>
      <c r="CC79">
        <v>85541</v>
      </c>
      <c r="CD79">
        <v>85964</v>
      </c>
      <c r="CE79">
        <v>86186</v>
      </c>
      <c r="CF79">
        <v>86372</v>
      </c>
      <c r="CG79">
        <v>86538</v>
      </c>
      <c r="CH79">
        <v>86787</v>
      </c>
      <c r="CI79">
        <v>87036</v>
      </c>
      <c r="CJ79">
        <v>87337</v>
      </c>
      <c r="CK79">
        <v>87494</v>
      </c>
      <c r="CL79">
        <v>87713</v>
      </c>
      <c r="CM79">
        <v>87937</v>
      </c>
      <c r="CN79">
        <v>88141</v>
      </c>
      <c r="CO79">
        <v>88345</v>
      </c>
      <c r="CP79">
        <v>88621</v>
      </c>
      <c r="CQ79">
        <v>88793</v>
      </c>
      <c r="CR79">
        <v>89032</v>
      </c>
      <c r="CS79">
        <v>89223</v>
      </c>
      <c r="CT79">
        <v>89404</v>
      </c>
      <c r="CU79">
        <v>89603</v>
      </c>
      <c r="CV79">
        <v>89729</v>
      </c>
      <c r="CW79">
        <v>89946</v>
      </c>
    </row>
    <row r="80" spans="1:101" x14ac:dyDescent="0.25">
      <c r="A80" t="s">
        <v>50</v>
      </c>
      <c r="B80">
        <v>39750</v>
      </c>
      <c r="C80">
        <v>40407</v>
      </c>
      <c r="D80">
        <v>41533</v>
      </c>
      <c r="E80">
        <v>41318</v>
      </c>
      <c r="F80">
        <v>42096</v>
      </c>
      <c r="G80">
        <v>42055</v>
      </c>
      <c r="H80">
        <v>42403</v>
      </c>
      <c r="I80">
        <v>42788</v>
      </c>
      <c r="J80">
        <v>43253</v>
      </c>
      <c r="K80">
        <v>44493</v>
      </c>
      <c r="L80">
        <v>44460</v>
      </c>
      <c r="M80">
        <v>44362</v>
      </c>
      <c r="N80">
        <v>46391</v>
      </c>
      <c r="O80">
        <v>46277</v>
      </c>
      <c r="P80">
        <v>46250</v>
      </c>
      <c r="Q80">
        <v>46702</v>
      </c>
      <c r="R80">
        <v>46529</v>
      </c>
      <c r="S80">
        <v>46885</v>
      </c>
      <c r="T80">
        <v>47072</v>
      </c>
      <c r="U80">
        <v>49683</v>
      </c>
      <c r="V80">
        <v>50295</v>
      </c>
      <c r="W80">
        <v>50273</v>
      </c>
      <c r="X80">
        <v>52532</v>
      </c>
      <c r="Y80">
        <v>52905</v>
      </c>
      <c r="Z80">
        <v>53306</v>
      </c>
      <c r="AA80">
        <v>53832</v>
      </c>
      <c r="AB80">
        <v>55244</v>
      </c>
      <c r="AC80">
        <v>55890</v>
      </c>
      <c r="AD80">
        <v>56856</v>
      </c>
      <c r="AE80">
        <v>57569</v>
      </c>
      <c r="AF80">
        <v>58666</v>
      </c>
      <c r="AG80">
        <v>59618</v>
      </c>
      <c r="AH80">
        <v>60776</v>
      </c>
      <c r="AI80">
        <v>61774</v>
      </c>
      <c r="AJ80">
        <v>62514</v>
      </c>
      <c r="AK80">
        <v>63614</v>
      </c>
      <c r="AL80">
        <v>64509</v>
      </c>
      <c r="AM80">
        <v>65363</v>
      </c>
      <c r="AN80">
        <v>66495</v>
      </c>
      <c r="AO80">
        <v>66640</v>
      </c>
      <c r="AP80">
        <v>67578</v>
      </c>
      <c r="AQ80">
        <v>67583</v>
      </c>
      <c r="AR80">
        <v>67700</v>
      </c>
      <c r="AS80">
        <v>68449</v>
      </c>
      <c r="AT80">
        <v>67636</v>
      </c>
      <c r="AU80">
        <v>67618</v>
      </c>
      <c r="AV80">
        <v>71329</v>
      </c>
      <c r="AW80">
        <v>72212</v>
      </c>
      <c r="AX80">
        <v>72923</v>
      </c>
      <c r="AY80">
        <v>73373</v>
      </c>
      <c r="AZ80">
        <v>73655</v>
      </c>
      <c r="BA80">
        <v>74151</v>
      </c>
      <c r="BB80">
        <v>74457</v>
      </c>
      <c r="BC80">
        <v>74722</v>
      </c>
      <c r="BD80">
        <v>75270</v>
      </c>
      <c r="BE80">
        <v>75537</v>
      </c>
      <c r="BF80">
        <v>76319</v>
      </c>
      <c r="BG80">
        <v>76742</v>
      </c>
      <c r="BH80">
        <v>77405</v>
      </c>
      <c r="BI80">
        <v>77624</v>
      </c>
      <c r="BJ80">
        <v>77994</v>
      </c>
      <c r="BK80">
        <v>78466</v>
      </c>
      <c r="BL80">
        <v>78963</v>
      </c>
      <c r="BM80">
        <v>79441</v>
      </c>
      <c r="BN80">
        <v>79818</v>
      </c>
      <c r="BO80">
        <v>80200</v>
      </c>
      <c r="BP80">
        <v>80627</v>
      </c>
      <c r="BQ80">
        <v>81048</v>
      </c>
      <c r="BR80">
        <v>81297</v>
      </c>
      <c r="BS80">
        <v>81493</v>
      </c>
      <c r="BT80">
        <v>81887</v>
      </c>
      <c r="BU80">
        <v>82263</v>
      </c>
      <c r="BV80">
        <v>82549</v>
      </c>
      <c r="BW80">
        <v>82882</v>
      </c>
      <c r="BX80">
        <v>83201</v>
      </c>
      <c r="BY80">
        <v>83540</v>
      </c>
      <c r="BZ80">
        <v>83808</v>
      </c>
      <c r="CA80">
        <v>84127</v>
      </c>
      <c r="CB80">
        <v>84375</v>
      </c>
      <c r="CC80">
        <v>84589</v>
      </c>
      <c r="CD80">
        <v>85026</v>
      </c>
      <c r="CE80">
        <v>85263</v>
      </c>
      <c r="CF80">
        <v>85465</v>
      </c>
      <c r="CG80">
        <v>85646</v>
      </c>
      <c r="CH80">
        <v>85909</v>
      </c>
      <c r="CI80">
        <v>86172</v>
      </c>
      <c r="CJ80">
        <v>86486</v>
      </c>
      <c r="CK80">
        <v>86657</v>
      </c>
      <c r="CL80">
        <v>86890</v>
      </c>
      <c r="CM80">
        <v>87128</v>
      </c>
      <c r="CN80">
        <v>87345</v>
      </c>
      <c r="CO80">
        <v>87563</v>
      </c>
      <c r="CP80">
        <v>87850</v>
      </c>
      <c r="CQ80">
        <v>88035</v>
      </c>
      <c r="CR80">
        <v>88286</v>
      </c>
      <c r="CS80">
        <v>88488</v>
      </c>
      <c r="CT80">
        <v>88682</v>
      </c>
      <c r="CU80">
        <v>88894</v>
      </c>
      <c r="CV80">
        <v>89031</v>
      </c>
      <c r="CW80" t="s">
        <v>218</v>
      </c>
    </row>
    <row r="81" spans="1:101" x14ac:dyDescent="0.25">
      <c r="A81" t="s">
        <v>49</v>
      </c>
      <c r="B81">
        <v>37632</v>
      </c>
      <c r="C81">
        <v>38253</v>
      </c>
      <c r="D81">
        <v>39264</v>
      </c>
      <c r="E81">
        <v>39039</v>
      </c>
      <c r="F81">
        <v>39820</v>
      </c>
      <c r="G81">
        <v>39710</v>
      </c>
      <c r="H81">
        <v>40051</v>
      </c>
      <c r="I81">
        <v>40464</v>
      </c>
      <c r="J81">
        <v>40996</v>
      </c>
      <c r="K81">
        <v>42181</v>
      </c>
      <c r="L81">
        <v>42185</v>
      </c>
      <c r="M81">
        <v>42071</v>
      </c>
      <c r="N81">
        <v>44056</v>
      </c>
      <c r="O81">
        <v>43854</v>
      </c>
      <c r="P81">
        <v>43976</v>
      </c>
      <c r="Q81">
        <v>44337</v>
      </c>
      <c r="R81">
        <v>44196</v>
      </c>
      <c r="S81">
        <v>44679</v>
      </c>
      <c r="T81">
        <v>44804</v>
      </c>
      <c r="U81">
        <v>47373</v>
      </c>
      <c r="V81">
        <v>47889</v>
      </c>
      <c r="W81">
        <v>48017</v>
      </c>
      <c r="X81">
        <v>50209</v>
      </c>
      <c r="Y81">
        <v>50464</v>
      </c>
      <c r="Z81">
        <v>50982</v>
      </c>
      <c r="AA81">
        <v>51524</v>
      </c>
      <c r="AB81">
        <v>52933</v>
      </c>
      <c r="AC81">
        <v>53601</v>
      </c>
      <c r="AD81">
        <v>54553</v>
      </c>
      <c r="AE81">
        <v>55278</v>
      </c>
      <c r="AF81">
        <v>56341</v>
      </c>
      <c r="AG81">
        <v>57449</v>
      </c>
      <c r="AH81">
        <v>58693</v>
      </c>
      <c r="AI81">
        <v>59798</v>
      </c>
      <c r="AJ81">
        <v>60609</v>
      </c>
      <c r="AK81">
        <v>61753</v>
      </c>
      <c r="AL81">
        <v>62588</v>
      </c>
      <c r="AM81">
        <v>63527</v>
      </c>
      <c r="AN81">
        <v>64753</v>
      </c>
      <c r="AO81">
        <v>64884</v>
      </c>
      <c r="AP81">
        <v>65867</v>
      </c>
      <c r="AQ81">
        <v>65978</v>
      </c>
      <c r="AR81">
        <v>66084</v>
      </c>
      <c r="AS81">
        <v>66780</v>
      </c>
      <c r="AT81">
        <v>66032</v>
      </c>
      <c r="AU81">
        <v>65996</v>
      </c>
      <c r="AV81">
        <v>69732</v>
      </c>
      <c r="AW81">
        <v>70511</v>
      </c>
      <c r="AX81">
        <v>71300</v>
      </c>
      <c r="AY81">
        <v>71787</v>
      </c>
      <c r="AZ81">
        <v>72101</v>
      </c>
      <c r="BA81">
        <v>72616</v>
      </c>
      <c r="BB81">
        <v>72945</v>
      </c>
      <c r="BC81">
        <v>73234</v>
      </c>
      <c r="BD81">
        <v>73802</v>
      </c>
      <c r="BE81">
        <v>74092</v>
      </c>
      <c r="BF81">
        <v>74886</v>
      </c>
      <c r="BG81">
        <v>75328</v>
      </c>
      <c r="BH81">
        <v>76006</v>
      </c>
      <c r="BI81">
        <v>76247</v>
      </c>
      <c r="BJ81">
        <v>76637</v>
      </c>
      <c r="BK81">
        <v>77127</v>
      </c>
      <c r="BL81">
        <v>77641</v>
      </c>
      <c r="BM81">
        <v>78135</v>
      </c>
      <c r="BN81">
        <v>78532</v>
      </c>
      <c r="BO81">
        <v>78932</v>
      </c>
      <c r="BP81">
        <v>79376</v>
      </c>
      <c r="BQ81">
        <v>79814</v>
      </c>
      <c r="BR81">
        <v>80083</v>
      </c>
      <c r="BS81">
        <v>80299</v>
      </c>
      <c r="BT81">
        <v>80710</v>
      </c>
      <c r="BU81">
        <v>81103</v>
      </c>
      <c r="BV81">
        <v>81407</v>
      </c>
      <c r="BW81">
        <v>81757</v>
      </c>
      <c r="BX81">
        <v>82093</v>
      </c>
      <c r="BY81">
        <v>82449</v>
      </c>
      <c r="BZ81">
        <v>82734</v>
      </c>
      <c r="CA81">
        <v>83069</v>
      </c>
      <c r="CB81">
        <v>83333</v>
      </c>
      <c r="CC81">
        <v>83565</v>
      </c>
      <c r="CD81">
        <v>84015</v>
      </c>
      <c r="CE81">
        <v>84269</v>
      </c>
      <c r="CF81">
        <v>84487</v>
      </c>
      <c r="CG81">
        <v>84684</v>
      </c>
      <c r="CH81">
        <v>84962</v>
      </c>
      <c r="CI81">
        <v>85240</v>
      </c>
      <c r="CJ81">
        <v>85568</v>
      </c>
      <c r="CK81">
        <v>85755</v>
      </c>
      <c r="CL81">
        <v>86002</v>
      </c>
      <c r="CM81">
        <v>86254</v>
      </c>
      <c r="CN81">
        <v>86486</v>
      </c>
      <c r="CO81">
        <v>86718</v>
      </c>
      <c r="CP81">
        <v>87017</v>
      </c>
      <c r="CQ81">
        <v>87216</v>
      </c>
      <c r="CR81">
        <v>87480</v>
      </c>
      <c r="CS81">
        <v>87695</v>
      </c>
      <c r="CT81">
        <v>87903</v>
      </c>
      <c r="CU81">
        <v>88126</v>
      </c>
      <c r="CV81" t="s">
        <v>218</v>
      </c>
      <c r="CW81" t="s">
        <v>218</v>
      </c>
    </row>
    <row r="82" spans="1:101" x14ac:dyDescent="0.25">
      <c r="A82" t="s">
        <v>48</v>
      </c>
      <c r="B82">
        <v>35518</v>
      </c>
      <c r="C82">
        <v>36014</v>
      </c>
      <c r="D82">
        <v>36935</v>
      </c>
      <c r="E82">
        <v>36716</v>
      </c>
      <c r="F82">
        <v>37469</v>
      </c>
      <c r="G82">
        <v>37394</v>
      </c>
      <c r="H82">
        <v>37629</v>
      </c>
      <c r="I82">
        <v>38186</v>
      </c>
      <c r="J82">
        <v>38641</v>
      </c>
      <c r="K82">
        <v>39731</v>
      </c>
      <c r="L82">
        <v>39768</v>
      </c>
      <c r="M82">
        <v>39722</v>
      </c>
      <c r="N82">
        <v>41548</v>
      </c>
      <c r="O82">
        <v>41645</v>
      </c>
      <c r="P82">
        <v>41560</v>
      </c>
      <c r="Q82">
        <v>41971</v>
      </c>
      <c r="R82">
        <v>41739</v>
      </c>
      <c r="S82">
        <v>42321</v>
      </c>
      <c r="T82">
        <v>42399</v>
      </c>
      <c r="U82">
        <v>44868</v>
      </c>
      <c r="V82">
        <v>45527</v>
      </c>
      <c r="W82">
        <v>45620</v>
      </c>
      <c r="X82">
        <v>47717</v>
      </c>
      <c r="Y82">
        <v>48008</v>
      </c>
      <c r="Z82">
        <v>48489</v>
      </c>
      <c r="AA82">
        <v>49099</v>
      </c>
      <c r="AB82">
        <v>50565</v>
      </c>
      <c r="AC82">
        <v>51191</v>
      </c>
      <c r="AD82">
        <v>52118</v>
      </c>
      <c r="AE82">
        <v>53017</v>
      </c>
      <c r="AF82">
        <v>54006</v>
      </c>
      <c r="AG82">
        <v>55296</v>
      </c>
      <c r="AH82">
        <v>56580</v>
      </c>
      <c r="AI82">
        <v>57726</v>
      </c>
      <c r="AJ82">
        <v>58690</v>
      </c>
      <c r="AK82">
        <v>59728</v>
      </c>
      <c r="AL82">
        <v>60743</v>
      </c>
      <c r="AM82">
        <v>61653</v>
      </c>
      <c r="AN82">
        <v>62885</v>
      </c>
      <c r="AO82">
        <v>62938</v>
      </c>
      <c r="AP82">
        <v>64098</v>
      </c>
      <c r="AQ82">
        <v>64125</v>
      </c>
      <c r="AR82">
        <v>64290</v>
      </c>
      <c r="AS82">
        <v>65025</v>
      </c>
      <c r="AT82">
        <v>64282</v>
      </c>
      <c r="AU82">
        <v>64309</v>
      </c>
      <c r="AV82">
        <v>67914</v>
      </c>
      <c r="AW82">
        <v>68767</v>
      </c>
      <c r="AX82">
        <v>69584</v>
      </c>
      <c r="AY82">
        <v>70099</v>
      </c>
      <c r="AZ82">
        <v>70438</v>
      </c>
      <c r="BA82">
        <v>70972</v>
      </c>
      <c r="BB82">
        <v>71327</v>
      </c>
      <c r="BC82">
        <v>71642</v>
      </c>
      <c r="BD82">
        <v>72228</v>
      </c>
      <c r="BE82">
        <v>72542</v>
      </c>
      <c r="BF82">
        <v>73350</v>
      </c>
      <c r="BG82">
        <v>73811</v>
      </c>
      <c r="BH82">
        <v>74503</v>
      </c>
      <c r="BI82">
        <v>74768</v>
      </c>
      <c r="BJ82">
        <v>75178</v>
      </c>
      <c r="BK82">
        <v>75687</v>
      </c>
      <c r="BL82">
        <v>76218</v>
      </c>
      <c r="BM82">
        <v>76731</v>
      </c>
      <c r="BN82">
        <v>77147</v>
      </c>
      <c r="BO82">
        <v>77567</v>
      </c>
      <c r="BP82">
        <v>78029</v>
      </c>
      <c r="BQ82">
        <v>78486</v>
      </c>
      <c r="BR82">
        <v>78775</v>
      </c>
      <c r="BS82">
        <v>79012</v>
      </c>
      <c r="BT82">
        <v>79440</v>
      </c>
      <c r="BU82">
        <v>79851</v>
      </c>
      <c r="BV82">
        <v>80174</v>
      </c>
      <c r="BW82">
        <v>80542</v>
      </c>
      <c r="BX82">
        <v>80896</v>
      </c>
      <c r="BY82">
        <v>81270</v>
      </c>
      <c r="BZ82">
        <v>81573</v>
      </c>
      <c r="CA82">
        <v>81925</v>
      </c>
      <c r="CB82">
        <v>82208</v>
      </c>
      <c r="CC82">
        <v>82457</v>
      </c>
      <c r="CD82">
        <v>82922</v>
      </c>
      <c r="CE82">
        <v>83194</v>
      </c>
      <c r="CF82">
        <v>83428</v>
      </c>
      <c r="CG82">
        <v>83643</v>
      </c>
      <c r="CH82">
        <v>83938</v>
      </c>
      <c r="CI82">
        <v>84231</v>
      </c>
      <c r="CJ82">
        <v>84575</v>
      </c>
      <c r="CK82">
        <v>84778</v>
      </c>
      <c r="CL82">
        <v>85041</v>
      </c>
      <c r="CM82">
        <v>85307</v>
      </c>
      <c r="CN82">
        <v>85555</v>
      </c>
      <c r="CO82">
        <v>85801</v>
      </c>
      <c r="CP82">
        <v>86115</v>
      </c>
      <c r="CQ82">
        <v>86329</v>
      </c>
      <c r="CR82">
        <v>86606</v>
      </c>
      <c r="CS82">
        <v>86835</v>
      </c>
      <c r="CT82">
        <v>87057</v>
      </c>
      <c r="CU82" t="s">
        <v>218</v>
      </c>
      <c r="CV82" t="s">
        <v>218</v>
      </c>
      <c r="CW82" t="s">
        <v>218</v>
      </c>
    </row>
    <row r="83" spans="1:101" x14ac:dyDescent="0.25">
      <c r="A83" t="s">
        <v>47</v>
      </c>
      <c r="B83">
        <v>33292</v>
      </c>
      <c r="C83">
        <v>33628</v>
      </c>
      <c r="D83">
        <v>34645</v>
      </c>
      <c r="E83">
        <v>34381</v>
      </c>
      <c r="F83">
        <v>35084</v>
      </c>
      <c r="G83">
        <v>35036</v>
      </c>
      <c r="H83">
        <v>35188</v>
      </c>
      <c r="I83">
        <v>35892</v>
      </c>
      <c r="J83">
        <v>36237</v>
      </c>
      <c r="K83">
        <v>37178</v>
      </c>
      <c r="L83">
        <v>37211</v>
      </c>
      <c r="M83">
        <v>37250</v>
      </c>
      <c r="N83">
        <v>39198</v>
      </c>
      <c r="O83">
        <v>39192</v>
      </c>
      <c r="P83">
        <v>39095</v>
      </c>
      <c r="Q83">
        <v>39476</v>
      </c>
      <c r="R83">
        <v>39416</v>
      </c>
      <c r="S83">
        <v>40018</v>
      </c>
      <c r="T83">
        <v>39921</v>
      </c>
      <c r="U83">
        <v>42365</v>
      </c>
      <c r="V83">
        <v>43008</v>
      </c>
      <c r="W83">
        <v>43146</v>
      </c>
      <c r="X83">
        <v>45212</v>
      </c>
      <c r="Y83">
        <v>45548</v>
      </c>
      <c r="Z83">
        <v>45900</v>
      </c>
      <c r="AA83">
        <v>46600</v>
      </c>
      <c r="AB83">
        <v>48062</v>
      </c>
      <c r="AC83">
        <v>48705</v>
      </c>
      <c r="AD83">
        <v>49789</v>
      </c>
      <c r="AE83">
        <v>50730</v>
      </c>
      <c r="AF83">
        <v>51654</v>
      </c>
      <c r="AG83">
        <v>53110</v>
      </c>
      <c r="AH83">
        <v>54405</v>
      </c>
      <c r="AI83">
        <v>55593</v>
      </c>
      <c r="AJ83">
        <v>56492</v>
      </c>
      <c r="AK83">
        <v>57564</v>
      </c>
      <c r="AL83">
        <v>58695</v>
      </c>
      <c r="AM83">
        <v>59667</v>
      </c>
      <c r="AN83">
        <v>60958</v>
      </c>
      <c r="AO83">
        <v>61086</v>
      </c>
      <c r="AP83">
        <v>62083</v>
      </c>
      <c r="AQ83">
        <v>62186</v>
      </c>
      <c r="AR83">
        <v>62392</v>
      </c>
      <c r="AS83">
        <v>63123</v>
      </c>
      <c r="AT83">
        <v>62428</v>
      </c>
      <c r="AU83">
        <v>62397</v>
      </c>
      <c r="AV83">
        <v>66042</v>
      </c>
      <c r="AW83">
        <v>66923</v>
      </c>
      <c r="AX83">
        <v>67760</v>
      </c>
      <c r="AY83">
        <v>68296</v>
      </c>
      <c r="AZ83">
        <v>68661</v>
      </c>
      <c r="BA83">
        <v>69217</v>
      </c>
      <c r="BB83">
        <v>69597</v>
      </c>
      <c r="BC83">
        <v>69938</v>
      </c>
      <c r="BD83">
        <v>70543</v>
      </c>
      <c r="BE83">
        <v>70882</v>
      </c>
      <c r="BF83">
        <v>71701</v>
      </c>
      <c r="BG83">
        <v>72183</v>
      </c>
      <c r="BH83">
        <v>72891</v>
      </c>
      <c r="BI83">
        <v>73181</v>
      </c>
      <c r="BJ83">
        <v>73612</v>
      </c>
      <c r="BK83">
        <v>74140</v>
      </c>
      <c r="BL83">
        <v>74690</v>
      </c>
      <c r="BM83">
        <v>75222</v>
      </c>
      <c r="BN83">
        <v>75658</v>
      </c>
      <c r="BO83">
        <v>76098</v>
      </c>
      <c r="BP83">
        <v>76580</v>
      </c>
      <c r="BQ83">
        <v>77055</v>
      </c>
      <c r="BR83">
        <v>77365</v>
      </c>
      <c r="BS83">
        <v>77624</v>
      </c>
      <c r="BT83">
        <v>78071</v>
      </c>
      <c r="BU83">
        <v>78502</v>
      </c>
      <c r="BV83">
        <v>78845</v>
      </c>
      <c r="BW83">
        <v>79232</v>
      </c>
      <c r="BX83">
        <v>79604</v>
      </c>
      <c r="BY83">
        <v>79996</v>
      </c>
      <c r="BZ83">
        <v>80319</v>
      </c>
      <c r="CA83">
        <v>80689</v>
      </c>
      <c r="CB83">
        <v>80991</v>
      </c>
      <c r="CC83">
        <v>81260</v>
      </c>
      <c r="CD83">
        <v>81741</v>
      </c>
      <c r="CE83">
        <v>82031</v>
      </c>
      <c r="CF83">
        <v>82284</v>
      </c>
      <c r="CG83">
        <v>82516</v>
      </c>
      <c r="CH83">
        <v>82829</v>
      </c>
      <c r="CI83">
        <v>83139</v>
      </c>
      <c r="CJ83">
        <v>83498</v>
      </c>
      <c r="CK83">
        <v>83719</v>
      </c>
      <c r="CL83">
        <v>83999</v>
      </c>
      <c r="CM83">
        <v>84281</v>
      </c>
      <c r="CN83">
        <v>84545</v>
      </c>
      <c r="CO83">
        <v>84807</v>
      </c>
      <c r="CP83">
        <v>85136</v>
      </c>
      <c r="CQ83">
        <v>85365</v>
      </c>
      <c r="CR83">
        <v>85658</v>
      </c>
      <c r="CS83">
        <v>85902</v>
      </c>
      <c r="CT83" t="s">
        <v>218</v>
      </c>
      <c r="CU83" t="s">
        <v>218</v>
      </c>
      <c r="CV83" t="s">
        <v>218</v>
      </c>
      <c r="CW83" t="s">
        <v>218</v>
      </c>
    </row>
    <row r="84" spans="1:101" x14ac:dyDescent="0.25">
      <c r="A84" t="s">
        <v>46</v>
      </c>
      <c r="B84">
        <v>30934</v>
      </c>
      <c r="C84">
        <v>31328</v>
      </c>
      <c r="D84">
        <v>32205</v>
      </c>
      <c r="E84">
        <v>32073</v>
      </c>
      <c r="F84">
        <v>32658</v>
      </c>
      <c r="G84">
        <v>32632</v>
      </c>
      <c r="H84">
        <v>32774</v>
      </c>
      <c r="I84">
        <v>33341</v>
      </c>
      <c r="J84">
        <v>33733</v>
      </c>
      <c r="K84">
        <v>34646</v>
      </c>
      <c r="L84">
        <v>34601</v>
      </c>
      <c r="M84">
        <v>34806</v>
      </c>
      <c r="N84">
        <v>36756</v>
      </c>
      <c r="O84">
        <v>36587</v>
      </c>
      <c r="P84">
        <v>36631</v>
      </c>
      <c r="Q84">
        <v>36912</v>
      </c>
      <c r="R84">
        <v>36840</v>
      </c>
      <c r="S84">
        <v>37455</v>
      </c>
      <c r="T84">
        <v>37453</v>
      </c>
      <c r="U84">
        <v>39763</v>
      </c>
      <c r="V84">
        <v>40357</v>
      </c>
      <c r="W84">
        <v>40617</v>
      </c>
      <c r="X84">
        <v>42635</v>
      </c>
      <c r="Y84">
        <v>43016</v>
      </c>
      <c r="Z84">
        <v>43335</v>
      </c>
      <c r="AA84">
        <v>44064</v>
      </c>
      <c r="AB84">
        <v>45530</v>
      </c>
      <c r="AC84">
        <v>46117</v>
      </c>
      <c r="AD84">
        <v>47367</v>
      </c>
      <c r="AE84">
        <v>48378</v>
      </c>
      <c r="AF84">
        <v>49401</v>
      </c>
      <c r="AG84">
        <v>50751</v>
      </c>
      <c r="AH84">
        <v>52155</v>
      </c>
      <c r="AI84">
        <v>53254</v>
      </c>
      <c r="AJ84">
        <v>54278</v>
      </c>
      <c r="AK84">
        <v>55405</v>
      </c>
      <c r="AL84">
        <v>56586</v>
      </c>
      <c r="AM84">
        <v>57574</v>
      </c>
      <c r="AN84">
        <v>58923</v>
      </c>
      <c r="AO84">
        <v>58985</v>
      </c>
      <c r="AP84">
        <v>60008</v>
      </c>
      <c r="AQ84">
        <v>60179</v>
      </c>
      <c r="AR84">
        <v>60408</v>
      </c>
      <c r="AS84">
        <v>61149</v>
      </c>
      <c r="AT84">
        <v>60352</v>
      </c>
      <c r="AU84">
        <v>60461</v>
      </c>
      <c r="AV84">
        <v>64065</v>
      </c>
      <c r="AW84">
        <v>64966</v>
      </c>
      <c r="AX84">
        <v>65815</v>
      </c>
      <c r="AY84">
        <v>66373</v>
      </c>
      <c r="AZ84">
        <v>66765</v>
      </c>
      <c r="BA84">
        <v>67344</v>
      </c>
      <c r="BB84">
        <v>67749</v>
      </c>
      <c r="BC84">
        <v>68116</v>
      </c>
      <c r="BD84">
        <v>68740</v>
      </c>
      <c r="BE84">
        <v>69103</v>
      </c>
      <c r="BF84">
        <v>69936</v>
      </c>
      <c r="BG84">
        <v>70439</v>
      </c>
      <c r="BH84">
        <v>71163</v>
      </c>
      <c r="BI84">
        <v>71478</v>
      </c>
      <c r="BJ84">
        <v>71932</v>
      </c>
      <c r="BK84">
        <v>72479</v>
      </c>
      <c r="BL84">
        <v>73048</v>
      </c>
      <c r="BM84">
        <v>73599</v>
      </c>
      <c r="BN84">
        <v>74057</v>
      </c>
      <c r="BO84">
        <v>74518</v>
      </c>
      <c r="BP84">
        <v>75019</v>
      </c>
      <c r="BQ84">
        <v>75514</v>
      </c>
      <c r="BR84">
        <v>75847</v>
      </c>
      <c r="BS84">
        <v>76130</v>
      </c>
      <c r="BT84">
        <v>76597</v>
      </c>
      <c r="BU84">
        <v>77047</v>
      </c>
      <c r="BV84">
        <v>77411</v>
      </c>
      <c r="BW84">
        <v>77817</v>
      </c>
      <c r="BX84">
        <v>78210</v>
      </c>
      <c r="BY84">
        <v>78622</v>
      </c>
      <c r="BZ84">
        <v>78965</v>
      </c>
      <c r="CA84">
        <v>79355</v>
      </c>
      <c r="CB84">
        <v>79676</v>
      </c>
      <c r="CC84">
        <v>79965</v>
      </c>
      <c r="CD84">
        <v>80463</v>
      </c>
      <c r="CE84">
        <v>80773</v>
      </c>
      <c r="CF84">
        <v>81045</v>
      </c>
      <c r="CG84">
        <v>81298</v>
      </c>
      <c r="CH84">
        <v>81628</v>
      </c>
      <c r="CI84">
        <v>81956</v>
      </c>
      <c r="CJ84">
        <v>82333</v>
      </c>
      <c r="CK84">
        <v>82572</v>
      </c>
      <c r="CL84">
        <v>82869</v>
      </c>
      <c r="CM84">
        <v>83169</v>
      </c>
      <c r="CN84">
        <v>83450</v>
      </c>
      <c r="CO84">
        <v>83729</v>
      </c>
      <c r="CP84">
        <v>84074</v>
      </c>
      <c r="CQ84">
        <v>84320</v>
      </c>
      <c r="CR84">
        <v>84629</v>
      </c>
      <c r="CS84" t="s">
        <v>218</v>
      </c>
      <c r="CT84" t="s">
        <v>218</v>
      </c>
      <c r="CU84" t="s">
        <v>218</v>
      </c>
      <c r="CV84" t="s">
        <v>218</v>
      </c>
      <c r="CW84" t="s">
        <v>218</v>
      </c>
    </row>
    <row r="85" spans="1:101" x14ac:dyDescent="0.25">
      <c r="A85" t="s">
        <v>45</v>
      </c>
      <c r="B85">
        <v>28690</v>
      </c>
      <c r="C85">
        <v>28927</v>
      </c>
      <c r="D85">
        <v>29804</v>
      </c>
      <c r="E85">
        <v>29633</v>
      </c>
      <c r="F85">
        <v>30250</v>
      </c>
      <c r="G85">
        <v>30082</v>
      </c>
      <c r="H85">
        <v>30294</v>
      </c>
      <c r="I85">
        <v>30928</v>
      </c>
      <c r="J85">
        <v>31206</v>
      </c>
      <c r="K85">
        <v>32121</v>
      </c>
      <c r="L85">
        <v>32108</v>
      </c>
      <c r="M85">
        <v>32343</v>
      </c>
      <c r="N85">
        <v>34183</v>
      </c>
      <c r="O85">
        <v>34116</v>
      </c>
      <c r="P85">
        <v>34060</v>
      </c>
      <c r="Q85">
        <v>34442</v>
      </c>
      <c r="R85">
        <v>34202</v>
      </c>
      <c r="S85">
        <v>34986</v>
      </c>
      <c r="T85">
        <v>34895</v>
      </c>
      <c r="U85">
        <v>37055</v>
      </c>
      <c r="V85">
        <v>37872</v>
      </c>
      <c r="W85">
        <v>38039</v>
      </c>
      <c r="X85">
        <v>39949</v>
      </c>
      <c r="Y85">
        <v>40350</v>
      </c>
      <c r="Z85">
        <v>40722</v>
      </c>
      <c r="AA85">
        <v>41470</v>
      </c>
      <c r="AB85">
        <v>42960</v>
      </c>
      <c r="AC85">
        <v>43727</v>
      </c>
      <c r="AD85">
        <v>44787</v>
      </c>
      <c r="AE85">
        <v>45903</v>
      </c>
      <c r="AF85">
        <v>46994</v>
      </c>
      <c r="AG85">
        <v>48365</v>
      </c>
      <c r="AH85">
        <v>49774</v>
      </c>
      <c r="AI85">
        <v>50820</v>
      </c>
      <c r="AJ85">
        <v>52009</v>
      </c>
      <c r="AK85">
        <v>53152</v>
      </c>
      <c r="AL85">
        <v>54349</v>
      </c>
      <c r="AM85">
        <v>55400</v>
      </c>
      <c r="AN85">
        <v>56769</v>
      </c>
      <c r="AO85">
        <v>56785</v>
      </c>
      <c r="AP85">
        <v>57881</v>
      </c>
      <c r="AQ85">
        <v>58003</v>
      </c>
      <c r="AR85">
        <v>58301</v>
      </c>
      <c r="AS85">
        <v>58878</v>
      </c>
      <c r="AT85">
        <v>58265</v>
      </c>
      <c r="AU85">
        <v>58434</v>
      </c>
      <c r="AV85">
        <v>61971</v>
      </c>
      <c r="AW85">
        <v>62880</v>
      </c>
      <c r="AX85">
        <v>63743</v>
      </c>
      <c r="AY85">
        <v>64324</v>
      </c>
      <c r="AZ85">
        <v>64745</v>
      </c>
      <c r="BA85">
        <v>65345</v>
      </c>
      <c r="BB85">
        <v>65776</v>
      </c>
      <c r="BC85">
        <v>66169</v>
      </c>
      <c r="BD85">
        <v>66811</v>
      </c>
      <c r="BE85">
        <v>67200</v>
      </c>
      <c r="BF85">
        <v>68046</v>
      </c>
      <c r="BG85">
        <v>68570</v>
      </c>
      <c r="BH85">
        <v>69311</v>
      </c>
      <c r="BI85">
        <v>69652</v>
      </c>
      <c r="BJ85">
        <v>70129</v>
      </c>
      <c r="BK85">
        <v>70697</v>
      </c>
      <c r="BL85">
        <v>71286</v>
      </c>
      <c r="BM85">
        <v>71857</v>
      </c>
      <c r="BN85">
        <v>72336</v>
      </c>
      <c r="BO85">
        <v>72819</v>
      </c>
      <c r="BP85">
        <v>73341</v>
      </c>
      <c r="BQ85">
        <v>73856</v>
      </c>
      <c r="BR85">
        <v>74214</v>
      </c>
      <c r="BS85">
        <v>74521</v>
      </c>
      <c r="BT85">
        <v>75008</v>
      </c>
      <c r="BU85">
        <v>75479</v>
      </c>
      <c r="BV85">
        <v>75864</v>
      </c>
      <c r="BW85">
        <v>76292</v>
      </c>
      <c r="BX85">
        <v>76705</v>
      </c>
      <c r="BY85">
        <v>77138</v>
      </c>
      <c r="BZ85">
        <v>77503</v>
      </c>
      <c r="CA85">
        <v>77912</v>
      </c>
      <c r="CB85">
        <v>78254</v>
      </c>
      <c r="CC85">
        <v>78566</v>
      </c>
      <c r="CD85">
        <v>79081</v>
      </c>
      <c r="CE85">
        <v>79412</v>
      </c>
      <c r="CF85">
        <v>79705</v>
      </c>
      <c r="CG85">
        <v>79978</v>
      </c>
      <c r="CH85">
        <v>80328</v>
      </c>
      <c r="CI85">
        <v>80675</v>
      </c>
      <c r="CJ85">
        <v>81070</v>
      </c>
      <c r="CK85">
        <v>81329</v>
      </c>
      <c r="CL85">
        <v>81645</v>
      </c>
      <c r="CM85">
        <v>81964</v>
      </c>
      <c r="CN85">
        <v>82263</v>
      </c>
      <c r="CO85">
        <v>82561</v>
      </c>
      <c r="CP85">
        <v>82922</v>
      </c>
      <c r="CQ85">
        <v>83186</v>
      </c>
      <c r="CR85" t="s">
        <v>218</v>
      </c>
      <c r="CS85" t="s">
        <v>218</v>
      </c>
      <c r="CT85" t="s">
        <v>218</v>
      </c>
      <c r="CU85" t="s">
        <v>218</v>
      </c>
      <c r="CV85" t="s">
        <v>218</v>
      </c>
      <c r="CW85" t="s">
        <v>218</v>
      </c>
    </row>
    <row r="86" spans="1:101" x14ac:dyDescent="0.25">
      <c r="A86" t="s">
        <v>44</v>
      </c>
      <c r="B86">
        <v>26320</v>
      </c>
      <c r="C86">
        <v>26613</v>
      </c>
      <c r="D86">
        <v>27461</v>
      </c>
      <c r="E86">
        <v>27243</v>
      </c>
      <c r="F86">
        <v>27819</v>
      </c>
      <c r="G86">
        <v>27726</v>
      </c>
      <c r="H86">
        <v>27901</v>
      </c>
      <c r="I86">
        <v>28435</v>
      </c>
      <c r="J86">
        <v>28691</v>
      </c>
      <c r="K86">
        <v>29590</v>
      </c>
      <c r="L86">
        <v>29569</v>
      </c>
      <c r="M86">
        <v>29779</v>
      </c>
      <c r="N86">
        <v>31528</v>
      </c>
      <c r="O86">
        <v>31534</v>
      </c>
      <c r="P86">
        <v>31534</v>
      </c>
      <c r="Q86">
        <v>31775</v>
      </c>
      <c r="R86">
        <v>31714</v>
      </c>
      <c r="S86">
        <v>32333</v>
      </c>
      <c r="T86">
        <v>32268</v>
      </c>
      <c r="U86">
        <v>34327</v>
      </c>
      <c r="V86">
        <v>35282</v>
      </c>
      <c r="W86">
        <v>35349</v>
      </c>
      <c r="X86">
        <v>37228</v>
      </c>
      <c r="Y86">
        <v>37689</v>
      </c>
      <c r="Z86">
        <v>37958</v>
      </c>
      <c r="AA86">
        <v>38795</v>
      </c>
      <c r="AB86">
        <v>40335</v>
      </c>
      <c r="AC86">
        <v>41150</v>
      </c>
      <c r="AD86">
        <v>42221</v>
      </c>
      <c r="AE86">
        <v>43385</v>
      </c>
      <c r="AF86">
        <v>44459</v>
      </c>
      <c r="AG86">
        <v>46027</v>
      </c>
      <c r="AH86">
        <v>47174</v>
      </c>
      <c r="AI86">
        <v>48447</v>
      </c>
      <c r="AJ86">
        <v>49533</v>
      </c>
      <c r="AK86">
        <v>50790</v>
      </c>
      <c r="AL86">
        <v>52093</v>
      </c>
      <c r="AM86">
        <v>53000</v>
      </c>
      <c r="AN86">
        <v>54395</v>
      </c>
      <c r="AO86">
        <v>54561</v>
      </c>
      <c r="AP86">
        <v>55635</v>
      </c>
      <c r="AQ86">
        <v>55814</v>
      </c>
      <c r="AR86">
        <v>55864</v>
      </c>
      <c r="AS86">
        <v>56596</v>
      </c>
      <c r="AT86">
        <v>56077</v>
      </c>
      <c r="AU86">
        <v>56292</v>
      </c>
      <c r="AV86">
        <v>59740</v>
      </c>
      <c r="AW86">
        <v>60660</v>
      </c>
      <c r="AX86">
        <v>61536</v>
      </c>
      <c r="AY86">
        <v>62139</v>
      </c>
      <c r="AZ86">
        <v>62587</v>
      </c>
      <c r="BA86">
        <v>63207</v>
      </c>
      <c r="BB86">
        <v>63664</v>
      </c>
      <c r="BC86">
        <v>64083</v>
      </c>
      <c r="BD86">
        <v>64743</v>
      </c>
      <c r="BE86">
        <v>65158</v>
      </c>
      <c r="BF86">
        <v>66016</v>
      </c>
      <c r="BG86">
        <v>66562</v>
      </c>
      <c r="BH86">
        <v>67319</v>
      </c>
      <c r="BI86">
        <v>67687</v>
      </c>
      <c r="BJ86">
        <v>68187</v>
      </c>
      <c r="BK86">
        <v>68776</v>
      </c>
      <c r="BL86">
        <v>69384</v>
      </c>
      <c r="BM86">
        <v>69975</v>
      </c>
      <c r="BN86">
        <v>70477</v>
      </c>
      <c r="BO86">
        <v>70982</v>
      </c>
      <c r="BP86">
        <v>71525</v>
      </c>
      <c r="BQ86">
        <v>72061</v>
      </c>
      <c r="BR86">
        <v>72443</v>
      </c>
      <c r="BS86">
        <v>72776</v>
      </c>
      <c r="BT86">
        <v>73284</v>
      </c>
      <c r="BU86">
        <v>73776</v>
      </c>
      <c r="BV86">
        <v>74185</v>
      </c>
      <c r="BW86">
        <v>74634</v>
      </c>
      <c r="BX86">
        <v>75069</v>
      </c>
      <c r="BY86">
        <v>75523</v>
      </c>
      <c r="BZ86">
        <v>75910</v>
      </c>
      <c r="CA86">
        <v>76341</v>
      </c>
      <c r="CB86">
        <v>76705</v>
      </c>
      <c r="CC86">
        <v>77039</v>
      </c>
      <c r="CD86">
        <v>77572</v>
      </c>
      <c r="CE86">
        <v>77924</v>
      </c>
      <c r="CF86">
        <v>78240</v>
      </c>
      <c r="CG86">
        <v>78535</v>
      </c>
      <c r="CH86">
        <v>78905</v>
      </c>
      <c r="CI86">
        <v>79273</v>
      </c>
      <c r="CJ86">
        <v>79687</v>
      </c>
      <c r="CK86">
        <v>79967</v>
      </c>
      <c r="CL86">
        <v>80303</v>
      </c>
      <c r="CM86">
        <v>80641</v>
      </c>
      <c r="CN86">
        <v>80960</v>
      </c>
      <c r="CO86">
        <v>81277</v>
      </c>
      <c r="CP86">
        <v>81656</v>
      </c>
      <c r="CQ86" t="s">
        <v>218</v>
      </c>
      <c r="CR86" t="s">
        <v>218</v>
      </c>
      <c r="CS86" t="s">
        <v>218</v>
      </c>
      <c r="CT86" t="s">
        <v>218</v>
      </c>
      <c r="CU86" t="s">
        <v>218</v>
      </c>
      <c r="CV86" t="s">
        <v>218</v>
      </c>
      <c r="CW86" t="s">
        <v>218</v>
      </c>
    </row>
    <row r="87" spans="1:101" x14ac:dyDescent="0.25">
      <c r="A87" t="s">
        <v>43</v>
      </c>
      <c r="B87">
        <v>24030</v>
      </c>
      <c r="C87">
        <v>24302</v>
      </c>
      <c r="D87">
        <v>25017</v>
      </c>
      <c r="E87">
        <v>24886</v>
      </c>
      <c r="F87">
        <v>25338</v>
      </c>
      <c r="G87">
        <v>25311</v>
      </c>
      <c r="H87">
        <v>25468</v>
      </c>
      <c r="I87">
        <v>25946</v>
      </c>
      <c r="J87">
        <v>26191</v>
      </c>
      <c r="K87">
        <v>27052</v>
      </c>
      <c r="L87">
        <v>26947</v>
      </c>
      <c r="M87">
        <v>27247</v>
      </c>
      <c r="N87">
        <v>28919</v>
      </c>
      <c r="O87">
        <v>28970</v>
      </c>
      <c r="P87">
        <v>28810</v>
      </c>
      <c r="Q87">
        <v>29149</v>
      </c>
      <c r="R87">
        <v>29119</v>
      </c>
      <c r="S87">
        <v>29626</v>
      </c>
      <c r="T87">
        <v>29721</v>
      </c>
      <c r="U87">
        <v>31628</v>
      </c>
      <c r="V87">
        <v>32547</v>
      </c>
      <c r="W87">
        <v>32648</v>
      </c>
      <c r="X87">
        <v>34532</v>
      </c>
      <c r="Y87">
        <v>34927</v>
      </c>
      <c r="Z87">
        <v>35227</v>
      </c>
      <c r="AA87">
        <v>36244</v>
      </c>
      <c r="AB87">
        <v>37627</v>
      </c>
      <c r="AC87">
        <v>38490</v>
      </c>
      <c r="AD87">
        <v>39592</v>
      </c>
      <c r="AE87">
        <v>40813</v>
      </c>
      <c r="AF87">
        <v>41900</v>
      </c>
      <c r="AG87">
        <v>43514</v>
      </c>
      <c r="AH87">
        <v>44644</v>
      </c>
      <c r="AI87">
        <v>45840</v>
      </c>
      <c r="AJ87">
        <v>47062</v>
      </c>
      <c r="AK87">
        <v>48337</v>
      </c>
      <c r="AL87">
        <v>49540</v>
      </c>
      <c r="AM87">
        <v>50502</v>
      </c>
      <c r="AN87">
        <v>51909</v>
      </c>
      <c r="AO87">
        <v>52116</v>
      </c>
      <c r="AP87">
        <v>53165</v>
      </c>
      <c r="AQ87">
        <v>53180</v>
      </c>
      <c r="AR87">
        <v>53422</v>
      </c>
      <c r="AS87">
        <v>54203</v>
      </c>
      <c r="AT87">
        <v>53763</v>
      </c>
      <c r="AU87">
        <v>54011</v>
      </c>
      <c r="AV87">
        <v>57363</v>
      </c>
      <c r="AW87">
        <v>58291</v>
      </c>
      <c r="AX87">
        <v>59178</v>
      </c>
      <c r="AY87">
        <v>59802</v>
      </c>
      <c r="AZ87">
        <v>60276</v>
      </c>
      <c r="BA87">
        <v>60915</v>
      </c>
      <c r="BB87">
        <v>61396</v>
      </c>
      <c r="BC87">
        <v>61840</v>
      </c>
      <c r="BD87">
        <v>62517</v>
      </c>
      <c r="BE87">
        <v>62958</v>
      </c>
      <c r="BF87">
        <v>63827</v>
      </c>
      <c r="BG87">
        <v>64395</v>
      </c>
      <c r="BH87">
        <v>65166</v>
      </c>
      <c r="BI87">
        <v>65562</v>
      </c>
      <c r="BJ87">
        <v>66085</v>
      </c>
      <c r="BK87">
        <v>66693</v>
      </c>
      <c r="BL87">
        <v>67321</v>
      </c>
      <c r="BM87">
        <v>67932</v>
      </c>
      <c r="BN87">
        <v>68456</v>
      </c>
      <c r="BO87">
        <v>68983</v>
      </c>
      <c r="BP87">
        <v>69547</v>
      </c>
      <c r="BQ87">
        <v>70104</v>
      </c>
      <c r="BR87">
        <v>70511</v>
      </c>
      <c r="BS87">
        <v>70870</v>
      </c>
      <c r="BT87">
        <v>71399</v>
      </c>
      <c r="BU87">
        <v>71913</v>
      </c>
      <c r="BV87">
        <v>72345</v>
      </c>
      <c r="BW87">
        <v>72817</v>
      </c>
      <c r="BX87">
        <v>73274</v>
      </c>
      <c r="BY87">
        <v>73750</v>
      </c>
      <c r="BZ87">
        <v>74160</v>
      </c>
      <c r="CA87">
        <v>74611</v>
      </c>
      <c r="CB87">
        <v>74999</v>
      </c>
      <c r="CC87">
        <v>75356</v>
      </c>
      <c r="CD87">
        <v>75908</v>
      </c>
      <c r="CE87">
        <v>76283</v>
      </c>
      <c r="CF87">
        <v>76622</v>
      </c>
      <c r="CG87">
        <v>76940</v>
      </c>
      <c r="CH87">
        <v>77332</v>
      </c>
      <c r="CI87">
        <v>77720</v>
      </c>
      <c r="CJ87">
        <v>78154</v>
      </c>
      <c r="CK87">
        <v>78456</v>
      </c>
      <c r="CL87">
        <v>78814</v>
      </c>
      <c r="CM87">
        <v>79171</v>
      </c>
      <c r="CN87">
        <v>79511</v>
      </c>
      <c r="CO87">
        <v>79849</v>
      </c>
      <c r="CP87" t="s">
        <v>218</v>
      </c>
      <c r="CQ87" t="s">
        <v>218</v>
      </c>
      <c r="CR87" t="s">
        <v>218</v>
      </c>
      <c r="CS87" t="s">
        <v>218</v>
      </c>
      <c r="CT87" t="s">
        <v>218</v>
      </c>
      <c r="CU87" t="s">
        <v>218</v>
      </c>
      <c r="CV87" t="s">
        <v>218</v>
      </c>
      <c r="CW87" t="s">
        <v>218</v>
      </c>
    </row>
    <row r="88" spans="1:101" x14ac:dyDescent="0.25">
      <c r="A88" t="s">
        <v>42</v>
      </c>
      <c r="B88">
        <v>21720</v>
      </c>
      <c r="C88">
        <v>22048</v>
      </c>
      <c r="D88">
        <v>22625</v>
      </c>
      <c r="E88">
        <v>22511</v>
      </c>
      <c r="F88">
        <v>22945</v>
      </c>
      <c r="G88">
        <v>22925</v>
      </c>
      <c r="H88">
        <v>23019</v>
      </c>
      <c r="I88">
        <v>23567</v>
      </c>
      <c r="J88">
        <v>23802</v>
      </c>
      <c r="K88">
        <v>24433</v>
      </c>
      <c r="L88">
        <v>24419</v>
      </c>
      <c r="M88">
        <v>24700</v>
      </c>
      <c r="N88">
        <v>26295</v>
      </c>
      <c r="O88">
        <v>26295</v>
      </c>
      <c r="P88">
        <v>26301</v>
      </c>
      <c r="Q88">
        <v>26570</v>
      </c>
      <c r="R88">
        <v>26440</v>
      </c>
      <c r="S88">
        <v>27048</v>
      </c>
      <c r="T88">
        <v>27120</v>
      </c>
      <c r="U88">
        <v>29026</v>
      </c>
      <c r="V88">
        <v>29837</v>
      </c>
      <c r="W88">
        <v>30055</v>
      </c>
      <c r="X88">
        <v>31688</v>
      </c>
      <c r="Y88">
        <v>32179</v>
      </c>
      <c r="Z88">
        <v>32599</v>
      </c>
      <c r="AA88">
        <v>33642</v>
      </c>
      <c r="AB88">
        <v>34920</v>
      </c>
      <c r="AC88">
        <v>35952</v>
      </c>
      <c r="AD88">
        <v>37004</v>
      </c>
      <c r="AE88">
        <v>38164</v>
      </c>
      <c r="AF88">
        <v>39294</v>
      </c>
      <c r="AG88">
        <v>40909</v>
      </c>
      <c r="AH88">
        <v>41968</v>
      </c>
      <c r="AI88">
        <v>43199</v>
      </c>
      <c r="AJ88">
        <v>44459</v>
      </c>
      <c r="AK88">
        <v>45706</v>
      </c>
      <c r="AL88">
        <v>46863</v>
      </c>
      <c r="AM88">
        <v>47791</v>
      </c>
      <c r="AN88">
        <v>49211</v>
      </c>
      <c r="AO88">
        <v>49428</v>
      </c>
      <c r="AP88">
        <v>50342</v>
      </c>
      <c r="AQ88">
        <v>50555</v>
      </c>
      <c r="AR88">
        <v>50872</v>
      </c>
      <c r="AS88">
        <v>51679</v>
      </c>
      <c r="AT88">
        <v>51302</v>
      </c>
      <c r="AU88">
        <v>51582</v>
      </c>
      <c r="AV88">
        <v>54831</v>
      </c>
      <c r="AW88">
        <v>55764</v>
      </c>
      <c r="AX88">
        <v>56659</v>
      </c>
      <c r="AY88">
        <v>57301</v>
      </c>
      <c r="AZ88">
        <v>57799</v>
      </c>
      <c r="BA88">
        <v>58454</v>
      </c>
      <c r="BB88">
        <v>58958</v>
      </c>
      <c r="BC88">
        <v>59428</v>
      </c>
      <c r="BD88">
        <v>60121</v>
      </c>
      <c r="BE88">
        <v>60587</v>
      </c>
      <c r="BF88">
        <v>61465</v>
      </c>
      <c r="BG88">
        <v>62054</v>
      </c>
      <c r="BH88">
        <v>62839</v>
      </c>
      <c r="BI88">
        <v>63261</v>
      </c>
      <c r="BJ88">
        <v>63806</v>
      </c>
      <c r="BK88">
        <v>64434</v>
      </c>
      <c r="BL88">
        <v>65080</v>
      </c>
      <c r="BM88">
        <v>65711</v>
      </c>
      <c r="BN88">
        <v>66256</v>
      </c>
      <c r="BO88">
        <v>66806</v>
      </c>
      <c r="BP88">
        <v>67390</v>
      </c>
      <c r="BQ88">
        <v>67968</v>
      </c>
      <c r="BR88">
        <v>68401</v>
      </c>
      <c r="BS88">
        <v>68786</v>
      </c>
      <c r="BT88">
        <v>69337</v>
      </c>
      <c r="BU88">
        <v>69871</v>
      </c>
      <c r="BV88">
        <v>70327</v>
      </c>
      <c r="BW88">
        <v>70822</v>
      </c>
      <c r="BX88">
        <v>71302</v>
      </c>
      <c r="BY88">
        <v>71800</v>
      </c>
      <c r="BZ88">
        <v>72233</v>
      </c>
      <c r="CA88">
        <v>72707</v>
      </c>
      <c r="CB88">
        <v>73118</v>
      </c>
      <c r="CC88">
        <v>73499</v>
      </c>
      <c r="CD88">
        <v>74070</v>
      </c>
      <c r="CE88">
        <v>74469</v>
      </c>
      <c r="CF88">
        <v>74832</v>
      </c>
      <c r="CG88">
        <v>75174</v>
      </c>
      <c r="CH88">
        <v>75588</v>
      </c>
      <c r="CI88">
        <v>75997</v>
      </c>
      <c r="CJ88">
        <v>76453</v>
      </c>
      <c r="CK88">
        <v>76778</v>
      </c>
      <c r="CL88">
        <v>77158</v>
      </c>
      <c r="CM88">
        <v>77536</v>
      </c>
      <c r="CN88">
        <v>77899</v>
      </c>
      <c r="CO88" t="s">
        <v>218</v>
      </c>
      <c r="CP88" t="s">
        <v>218</v>
      </c>
      <c r="CQ88" t="s">
        <v>218</v>
      </c>
      <c r="CR88" t="s">
        <v>218</v>
      </c>
      <c r="CS88" t="s">
        <v>218</v>
      </c>
      <c r="CT88" t="s">
        <v>218</v>
      </c>
      <c r="CU88" t="s">
        <v>218</v>
      </c>
      <c r="CV88" t="s">
        <v>218</v>
      </c>
      <c r="CW88" t="s">
        <v>218</v>
      </c>
    </row>
    <row r="89" spans="1:101" x14ac:dyDescent="0.25">
      <c r="A89" t="s">
        <v>41</v>
      </c>
      <c r="B89">
        <v>19508</v>
      </c>
      <c r="C89">
        <v>19870</v>
      </c>
      <c r="D89">
        <v>20303</v>
      </c>
      <c r="E89">
        <v>20180</v>
      </c>
      <c r="F89">
        <v>20584</v>
      </c>
      <c r="G89">
        <v>20562</v>
      </c>
      <c r="H89">
        <v>20812</v>
      </c>
      <c r="I89">
        <v>21127</v>
      </c>
      <c r="J89">
        <v>21383</v>
      </c>
      <c r="K89">
        <v>21938</v>
      </c>
      <c r="L89">
        <v>22014</v>
      </c>
      <c r="M89">
        <v>22301</v>
      </c>
      <c r="N89">
        <v>23548</v>
      </c>
      <c r="O89">
        <v>23766</v>
      </c>
      <c r="P89">
        <v>23753</v>
      </c>
      <c r="Q89">
        <v>24063</v>
      </c>
      <c r="R89">
        <v>23833</v>
      </c>
      <c r="S89">
        <v>24506</v>
      </c>
      <c r="T89">
        <v>24582</v>
      </c>
      <c r="U89">
        <v>26294</v>
      </c>
      <c r="V89">
        <v>27127</v>
      </c>
      <c r="W89">
        <v>27295</v>
      </c>
      <c r="X89">
        <v>28834</v>
      </c>
      <c r="Y89">
        <v>29425</v>
      </c>
      <c r="Z89">
        <v>29816</v>
      </c>
      <c r="AA89">
        <v>31025</v>
      </c>
      <c r="AB89">
        <v>32332</v>
      </c>
      <c r="AC89">
        <v>33409</v>
      </c>
      <c r="AD89">
        <v>34305</v>
      </c>
      <c r="AE89">
        <v>35568</v>
      </c>
      <c r="AF89">
        <v>36557</v>
      </c>
      <c r="AG89">
        <v>38254</v>
      </c>
      <c r="AH89">
        <v>39244</v>
      </c>
      <c r="AI89">
        <v>40569</v>
      </c>
      <c r="AJ89">
        <v>41633</v>
      </c>
      <c r="AK89">
        <v>42910</v>
      </c>
      <c r="AL89">
        <v>44017</v>
      </c>
      <c r="AM89">
        <v>45150</v>
      </c>
      <c r="AN89">
        <v>46478</v>
      </c>
      <c r="AO89">
        <v>46461</v>
      </c>
      <c r="AP89">
        <v>47538</v>
      </c>
      <c r="AQ89">
        <v>47825</v>
      </c>
      <c r="AR89">
        <v>48190</v>
      </c>
      <c r="AS89">
        <v>49000</v>
      </c>
      <c r="AT89">
        <v>48688</v>
      </c>
      <c r="AU89">
        <v>49001</v>
      </c>
      <c r="AV89">
        <v>52135</v>
      </c>
      <c r="AW89">
        <v>53070</v>
      </c>
      <c r="AX89">
        <v>53968</v>
      </c>
      <c r="AY89">
        <v>54625</v>
      </c>
      <c r="AZ89">
        <v>55145</v>
      </c>
      <c r="BA89">
        <v>55815</v>
      </c>
      <c r="BB89">
        <v>56342</v>
      </c>
      <c r="BC89">
        <v>56835</v>
      </c>
      <c r="BD89">
        <v>57543</v>
      </c>
      <c r="BE89">
        <v>58033</v>
      </c>
      <c r="BF89">
        <v>58919</v>
      </c>
      <c r="BG89">
        <v>59527</v>
      </c>
      <c r="BH89">
        <v>60323</v>
      </c>
      <c r="BI89">
        <v>60772</v>
      </c>
      <c r="BJ89">
        <v>61338</v>
      </c>
      <c r="BK89">
        <v>61985</v>
      </c>
      <c r="BL89">
        <v>62648</v>
      </c>
      <c r="BM89">
        <v>63297</v>
      </c>
      <c r="BN89">
        <v>63864</v>
      </c>
      <c r="BO89">
        <v>64434</v>
      </c>
      <c r="BP89">
        <v>65039</v>
      </c>
      <c r="BQ89">
        <v>65637</v>
      </c>
      <c r="BR89">
        <v>66095</v>
      </c>
      <c r="BS89">
        <v>66507</v>
      </c>
      <c r="BT89">
        <v>67078</v>
      </c>
      <c r="BU89">
        <v>67635</v>
      </c>
      <c r="BV89">
        <v>68114</v>
      </c>
      <c r="BW89">
        <v>68631</v>
      </c>
      <c r="BX89">
        <v>69134</v>
      </c>
      <c r="BY89">
        <v>69654</v>
      </c>
      <c r="BZ89">
        <v>70111</v>
      </c>
      <c r="CA89">
        <v>70608</v>
      </c>
      <c r="CB89">
        <v>71044</v>
      </c>
      <c r="CC89">
        <v>71449</v>
      </c>
      <c r="CD89">
        <v>72040</v>
      </c>
      <c r="CE89">
        <v>72463</v>
      </c>
      <c r="CF89">
        <v>72850</v>
      </c>
      <c r="CG89">
        <v>73218</v>
      </c>
      <c r="CH89">
        <v>73653</v>
      </c>
      <c r="CI89">
        <v>74086</v>
      </c>
      <c r="CJ89">
        <v>74563</v>
      </c>
      <c r="CK89">
        <v>74912</v>
      </c>
      <c r="CL89">
        <v>75315</v>
      </c>
      <c r="CM89">
        <v>75716</v>
      </c>
      <c r="CN89" t="s">
        <v>218</v>
      </c>
      <c r="CO89" t="s">
        <v>218</v>
      </c>
      <c r="CP89" t="s">
        <v>218</v>
      </c>
      <c r="CQ89" t="s">
        <v>218</v>
      </c>
      <c r="CR89" t="s">
        <v>218</v>
      </c>
      <c r="CS89" t="s">
        <v>218</v>
      </c>
      <c r="CT89" t="s">
        <v>218</v>
      </c>
      <c r="CU89" t="s">
        <v>218</v>
      </c>
      <c r="CV89" t="s">
        <v>218</v>
      </c>
      <c r="CW89" t="s">
        <v>218</v>
      </c>
    </row>
    <row r="90" spans="1:101" x14ac:dyDescent="0.25">
      <c r="A90" t="s">
        <v>40</v>
      </c>
      <c r="B90">
        <v>17344</v>
      </c>
      <c r="C90">
        <v>17753</v>
      </c>
      <c r="D90">
        <v>18144</v>
      </c>
      <c r="E90">
        <v>18003</v>
      </c>
      <c r="F90">
        <v>18309</v>
      </c>
      <c r="G90">
        <v>18290</v>
      </c>
      <c r="H90">
        <v>18513</v>
      </c>
      <c r="I90">
        <v>18759</v>
      </c>
      <c r="J90">
        <v>19060</v>
      </c>
      <c r="K90">
        <v>19544</v>
      </c>
      <c r="L90">
        <v>19736</v>
      </c>
      <c r="M90">
        <v>19797</v>
      </c>
      <c r="N90">
        <v>21028</v>
      </c>
      <c r="O90">
        <v>21159</v>
      </c>
      <c r="P90">
        <v>21246</v>
      </c>
      <c r="Q90">
        <v>21582</v>
      </c>
      <c r="R90">
        <v>21346</v>
      </c>
      <c r="S90">
        <v>21991</v>
      </c>
      <c r="T90">
        <v>22049</v>
      </c>
      <c r="U90">
        <v>23730</v>
      </c>
      <c r="V90">
        <v>24510</v>
      </c>
      <c r="W90">
        <v>24601</v>
      </c>
      <c r="X90">
        <v>26224</v>
      </c>
      <c r="Y90">
        <v>26700</v>
      </c>
      <c r="Z90">
        <v>27220</v>
      </c>
      <c r="AA90">
        <v>28405</v>
      </c>
      <c r="AB90">
        <v>29627</v>
      </c>
      <c r="AC90">
        <v>30774</v>
      </c>
      <c r="AD90">
        <v>31661</v>
      </c>
      <c r="AE90">
        <v>32804</v>
      </c>
      <c r="AF90">
        <v>33703</v>
      </c>
      <c r="AG90">
        <v>35438</v>
      </c>
      <c r="AH90">
        <v>36510</v>
      </c>
      <c r="AI90">
        <v>37720</v>
      </c>
      <c r="AJ90">
        <v>38803</v>
      </c>
      <c r="AK90">
        <v>40056</v>
      </c>
      <c r="AL90">
        <v>41028</v>
      </c>
      <c r="AM90">
        <v>42286</v>
      </c>
      <c r="AN90">
        <v>43318</v>
      </c>
      <c r="AO90">
        <v>43526</v>
      </c>
      <c r="AP90">
        <v>44628</v>
      </c>
      <c r="AQ90">
        <v>44966</v>
      </c>
      <c r="AR90">
        <v>45355</v>
      </c>
      <c r="AS90">
        <v>46165</v>
      </c>
      <c r="AT90">
        <v>45920</v>
      </c>
      <c r="AU90">
        <v>46263</v>
      </c>
      <c r="AV90">
        <v>49271</v>
      </c>
      <c r="AW90">
        <v>50202</v>
      </c>
      <c r="AX90">
        <v>51099</v>
      </c>
      <c r="AY90">
        <v>51769</v>
      </c>
      <c r="AZ90">
        <v>52308</v>
      </c>
      <c r="BA90">
        <v>52991</v>
      </c>
      <c r="BB90">
        <v>53538</v>
      </c>
      <c r="BC90">
        <v>54053</v>
      </c>
      <c r="BD90">
        <v>54773</v>
      </c>
      <c r="BE90">
        <v>55286</v>
      </c>
      <c r="BF90">
        <v>56176</v>
      </c>
      <c r="BG90">
        <v>56802</v>
      </c>
      <c r="BH90">
        <v>57607</v>
      </c>
      <c r="BI90">
        <v>58081</v>
      </c>
      <c r="BJ90">
        <v>58667</v>
      </c>
      <c r="BK90">
        <v>59330</v>
      </c>
      <c r="BL90">
        <v>60009</v>
      </c>
      <c r="BM90">
        <v>60675</v>
      </c>
      <c r="BN90">
        <v>61263</v>
      </c>
      <c r="BO90">
        <v>61853</v>
      </c>
      <c r="BP90">
        <v>62477</v>
      </c>
      <c r="BQ90">
        <v>63094</v>
      </c>
      <c r="BR90">
        <v>63577</v>
      </c>
      <c r="BS90">
        <v>64016</v>
      </c>
      <c r="BT90">
        <v>64607</v>
      </c>
      <c r="BU90">
        <v>65184</v>
      </c>
      <c r="BV90">
        <v>65687</v>
      </c>
      <c r="BW90">
        <v>66227</v>
      </c>
      <c r="BX90">
        <v>66752</v>
      </c>
      <c r="BY90">
        <v>67294</v>
      </c>
      <c r="BZ90">
        <v>67775</v>
      </c>
      <c r="CA90">
        <v>68295</v>
      </c>
      <c r="CB90">
        <v>68754</v>
      </c>
      <c r="CC90">
        <v>69186</v>
      </c>
      <c r="CD90">
        <v>69796</v>
      </c>
      <c r="CE90">
        <v>70243</v>
      </c>
      <c r="CF90">
        <v>70655</v>
      </c>
      <c r="CG90">
        <v>71048</v>
      </c>
      <c r="CH90">
        <v>71508</v>
      </c>
      <c r="CI90">
        <v>71963</v>
      </c>
      <c r="CJ90">
        <v>72463</v>
      </c>
      <c r="CK90">
        <v>72837</v>
      </c>
      <c r="CL90">
        <v>73264</v>
      </c>
      <c r="CM90" t="s">
        <v>218</v>
      </c>
      <c r="CN90" t="s">
        <v>218</v>
      </c>
      <c r="CO90" t="s">
        <v>218</v>
      </c>
      <c r="CP90" t="s">
        <v>218</v>
      </c>
      <c r="CQ90" t="s">
        <v>218</v>
      </c>
      <c r="CR90" t="s">
        <v>218</v>
      </c>
      <c r="CS90" t="s">
        <v>218</v>
      </c>
      <c r="CT90" t="s">
        <v>218</v>
      </c>
      <c r="CU90" t="s">
        <v>218</v>
      </c>
      <c r="CV90" t="s">
        <v>218</v>
      </c>
      <c r="CW90" t="s">
        <v>218</v>
      </c>
    </row>
    <row r="91" spans="1:101" x14ac:dyDescent="0.25">
      <c r="A91" t="s">
        <v>39</v>
      </c>
      <c r="B91">
        <v>15315</v>
      </c>
      <c r="C91">
        <v>15686</v>
      </c>
      <c r="D91">
        <v>15926</v>
      </c>
      <c r="E91">
        <v>15873</v>
      </c>
      <c r="F91">
        <v>16181</v>
      </c>
      <c r="G91">
        <v>16150</v>
      </c>
      <c r="H91">
        <v>16266</v>
      </c>
      <c r="I91">
        <v>16573</v>
      </c>
      <c r="J91">
        <v>16846</v>
      </c>
      <c r="K91">
        <v>17267</v>
      </c>
      <c r="L91">
        <v>17384</v>
      </c>
      <c r="M91">
        <v>17511</v>
      </c>
      <c r="N91">
        <v>18449</v>
      </c>
      <c r="O91">
        <v>18619</v>
      </c>
      <c r="P91">
        <v>18853</v>
      </c>
      <c r="Q91">
        <v>19100</v>
      </c>
      <c r="R91">
        <v>18925</v>
      </c>
      <c r="S91">
        <v>19543</v>
      </c>
      <c r="T91">
        <v>19550</v>
      </c>
      <c r="U91">
        <v>21196</v>
      </c>
      <c r="V91">
        <v>21891</v>
      </c>
      <c r="W91">
        <v>22176</v>
      </c>
      <c r="X91">
        <v>23566</v>
      </c>
      <c r="Y91">
        <v>24099</v>
      </c>
      <c r="Z91">
        <v>24683</v>
      </c>
      <c r="AA91">
        <v>25843</v>
      </c>
      <c r="AB91">
        <v>26974</v>
      </c>
      <c r="AC91">
        <v>28165</v>
      </c>
      <c r="AD91">
        <v>29051</v>
      </c>
      <c r="AE91">
        <v>30099</v>
      </c>
      <c r="AF91">
        <v>30965</v>
      </c>
      <c r="AG91">
        <v>32717</v>
      </c>
      <c r="AH91">
        <v>33628</v>
      </c>
      <c r="AI91">
        <v>34662</v>
      </c>
      <c r="AJ91">
        <v>35926</v>
      </c>
      <c r="AK91">
        <v>37106</v>
      </c>
      <c r="AL91">
        <v>38104</v>
      </c>
      <c r="AM91">
        <v>38998</v>
      </c>
      <c r="AN91">
        <v>40206</v>
      </c>
      <c r="AO91">
        <v>40494</v>
      </c>
      <c r="AP91">
        <v>41590</v>
      </c>
      <c r="AQ91">
        <v>41952</v>
      </c>
      <c r="AR91">
        <v>42364</v>
      </c>
      <c r="AS91">
        <v>43170</v>
      </c>
      <c r="AT91">
        <v>42990</v>
      </c>
      <c r="AU91">
        <v>43358</v>
      </c>
      <c r="AV91">
        <v>46226</v>
      </c>
      <c r="AW91">
        <v>47149</v>
      </c>
      <c r="AX91">
        <v>48040</v>
      </c>
      <c r="AY91">
        <v>48718</v>
      </c>
      <c r="AZ91">
        <v>49274</v>
      </c>
      <c r="BA91">
        <v>49965</v>
      </c>
      <c r="BB91">
        <v>50529</v>
      </c>
      <c r="BC91">
        <v>51063</v>
      </c>
      <c r="BD91">
        <v>51792</v>
      </c>
      <c r="BE91">
        <v>52324</v>
      </c>
      <c r="BF91">
        <v>53215</v>
      </c>
      <c r="BG91">
        <v>53855</v>
      </c>
      <c r="BH91">
        <v>54665</v>
      </c>
      <c r="BI91">
        <v>55162</v>
      </c>
      <c r="BJ91">
        <v>55766</v>
      </c>
      <c r="BK91">
        <v>56443</v>
      </c>
      <c r="BL91">
        <v>57135</v>
      </c>
      <c r="BM91">
        <v>57815</v>
      </c>
      <c r="BN91">
        <v>58421</v>
      </c>
      <c r="BO91">
        <v>59030</v>
      </c>
      <c r="BP91">
        <v>59671</v>
      </c>
      <c r="BQ91">
        <v>60305</v>
      </c>
      <c r="BR91">
        <v>60812</v>
      </c>
      <c r="BS91">
        <v>61276</v>
      </c>
      <c r="BT91">
        <v>61886</v>
      </c>
      <c r="BU91">
        <v>62483</v>
      </c>
      <c r="BV91">
        <v>63008</v>
      </c>
      <c r="BW91">
        <v>63569</v>
      </c>
      <c r="BX91">
        <v>64116</v>
      </c>
      <c r="BY91">
        <v>64679</v>
      </c>
      <c r="BZ91">
        <v>65184</v>
      </c>
      <c r="CA91">
        <v>65725</v>
      </c>
      <c r="CB91">
        <v>66209</v>
      </c>
      <c r="CC91">
        <v>66665</v>
      </c>
      <c r="CD91">
        <v>67294</v>
      </c>
      <c r="CE91">
        <v>67765</v>
      </c>
      <c r="CF91">
        <v>68202</v>
      </c>
      <c r="CG91">
        <v>68621</v>
      </c>
      <c r="CH91">
        <v>69104</v>
      </c>
      <c r="CI91">
        <v>69583</v>
      </c>
      <c r="CJ91">
        <v>70104</v>
      </c>
      <c r="CK91">
        <v>70504</v>
      </c>
      <c r="CL91" t="s">
        <v>218</v>
      </c>
      <c r="CM91" t="s">
        <v>218</v>
      </c>
      <c r="CN91" t="s">
        <v>218</v>
      </c>
      <c r="CO91" t="s">
        <v>218</v>
      </c>
      <c r="CP91" t="s">
        <v>218</v>
      </c>
      <c r="CQ91" t="s">
        <v>218</v>
      </c>
      <c r="CR91" t="s">
        <v>218</v>
      </c>
      <c r="CS91" t="s">
        <v>218</v>
      </c>
      <c r="CT91" t="s">
        <v>218</v>
      </c>
      <c r="CU91" t="s">
        <v>218</v>
      </c>
      <c r="CV91" t="s">
        <v>218</v>
      </c>
      <c r="CW91" t="s">
        <v>218</v>
      </c>
    </row>
    <row r="92" spans="1:101" x14ac:dyDescent="0.25">
      <c r="A92" t="s">
        <v>38</v>
      </c>
      <c r="B92">
        <v>13306</v>
      </c>
      <c r="C92">
        <v>13659</v>
      </c>
      <c r="D92">
        <v>13859</v>
      </c>
      <c r="E92">
        <v>13820</v>
      </c>
      <c r="F92">
        <v>14093</v>
      </c>
      <c r="G92">
        <v>13981</v>
      </c>
      <c r="H92">
        <v>14135</v>
      </c>
      <c r="I92">
        <v>14397</v>
      </c>
      <c r="J92">
        <v>14724</v>
      </c>
      <c r="K92">
        <v>14887</v>
      </c>
      <c r="L92">
        <v>15104</v>
      </c>
      <c r="M92">
        <v>15276</v>
      </c>
      <c r="N92">
        <v>16035</v>
      </c>
      <c r="O92">
        <v>16277</v>
      </c>
      <c r="P92">
        <v>16508</v>
      </c>
      <c r="Q92">
        <v>16653</v>
      </c>
      <c r="R92">
        <v>16458</v>
      </c>
      <c r="S92">
        <v>17128</v>
      </c>
      <c r="T92">
        <v>17106</v>
      </c>
      <c r="U92">
        <v>18666</v>
      </c>
      <c r="V92">
        <v>19467</v>
      </c>
      <c r="W92">
        <v>19703</v>
      </c>
      <c r="X92">
        <v>21093</v>
      </c>
      <c r="Y92">
        <v>21510</v>
      </c>
      <c r="Z92">
        <v>22083</v>
      </c>
      <c r="AA92">
        <v>23332</v>
      </c>
      <c r="AB92">
        <v>24464</v>
      </c>
      <c r="AC92">
        <v>25581</v>
      </c>
      <c r="AD92">
        <v>26276</v>
      </c>
      <c r="AE92">
        <v>27355</v>
      </c>
      <c r="AF92">
        <v>28299</v>
      </c>
      <c r="AG92">
        <v>29806</v>
      </c>
      <c r="AH92">
        <v>30686</v>
      </c>
      <c r="AI92">
        <v>31671</v>
      </c>
      <c r="AJ92">
        <v>32943</v>
      </c>
      <c r="AK92">
        <v>34044</v>
      </c>
      <c r="AL92">
        <v>34740</v>
      </c>
      <c r="AM92">
        <v>35802</v>
      </c>
      <c r="AN92">
        <v>37012</v>
      </c>
      <c r="AO92">
        <v>37347</v>
      </c>
      <c r="AP92">
        <v>38405</v>
      </c>
      <c r="AQ92">
        <v>38788</v>
      </c>
      <c r="AR92">
        <v>39219</v>
      </c>
      <c r="AS92">
        <v>40014</v>
      </c>
      <c r="AT92">
        <v>39895</v>
      </c>
      <c r="AU92">
        <v>40284</v>
      </c>
      <c r="AV92">
        <v>42997</v>
      </c>
      <c r="AW92">
        <v>43903</v>
      </c>
      <c r="AX92">
        <v>44782</v>
      </c>
      <c r="AY92">
        <v>45462</v>
      </c>
      <c r="AZ92">
        <v>46030</v>
      </c>
      <c r="BA92">
        <v>46725</v>
      </c>
      <c r="BB92">
        <v>47302</v>
      </c>
      <c r="BC92">
        <v>47851</v>
      </c>
      <c r="BD92">
        <v>48583</v>
      </c>
      <c r="BE92">
        <v>49131</v>
      </c>
      <c r="BF92">
        <v>50016</v>
      </c>
      <c r="BG92">
        <v>50666</v>
      </c>
      <c r="BH92">
        <v>51477</v>
      </c>
      <c r="BI92">
        <v>51993</v>
      </c>
      <c r="BJ92">
        <v>52611</v>
      </c>
      <c r="BK92">
        <v>53297</v>
      </c>
      <c r="BL92">
        <v>53999</v>
      </c>
      <c r="BM92">
        <v>54690</v>
      </c>
      <c r="BN92">
        <v>55310</v>
      </c>
      <c r="BO92">
        <v>55934</v>
      </c>
      <c r="BP92">
        <v>56589</v>
      </c>
      <c r="BQ92">
        <v>57238</v>
      </c>
      <c r="BR92">
        <v>57764</v>
      </c>
      <c r="BS92">
        <v>58252</v>
      </c>
      <c r="BT92">
        <v>58878</v>
      </c>
      <c r="BU92">
        <v>59492</v>
      </c>
      <c r="BV92">
        <v>60038</v>
      </c>
      <c r="BW92">
        <v>60618</v>
      </c>
      <c r="BX92">
        <v>61184</v>
      </c>
      <c r="BY92">
        <v>61766</v>
      </c>
      <c r="BZ92">
        <v>62292</v>
      </c>
      <c r="CA92">
        <v>62854</v>
      </c>
      <c r="CB92">
        <v>63360</v>
      </c>
      <c r="CC92">
        <v>63840</v>
      </c>
      <c r="CD92">
        <v>64485</v>
      </c>
      <c r="CE92">
        <v>64979</v>
      </c>
      <c r="CF92">
        <v>65442</v>
      </c>
      <c r="CG92">
        <v>65886</v>
      </c>
      <c r="CH92">
        <v>66391</v>
      </c>
      <c r="CI92">
        <v>66893</v>
      </c>
      <c r="CJ92">
        <v>67434</v>
      </c>
      <c r="CK92" t="s">
        <v>218</v>
      </c>
      <c r="CL92" t="s">
        <v>218</v>
      </c>
      <c r="CM92" t="s">
        <v>218</v>
      </c>
      <c r="CN92" t="s">
        <v>218</v>
      </c>
      <c r="CO92" t="s">
        <v>218</v>
      </c>
      <c r="CP92" t="s">
        <v>218</v>
      </c>
      <c r="CQ92" t="s">
        <v>218</v>
      </c>
      <c r="CR92" t="s">
        <v>218</v>
      </c>
      <c r="CS92" t="s">
        <v>218</v>
      </c>
      <c r="CT92" t="s">
        <v>218</v>
      </c>
      <c r="CU92" t="s">
        <v>218</v>
      </c>
      <c r="CV92" t="s">
        <v>218</v>
      </c>
      <c r="CW92" t="s">
        <v>218</v>
      </c>
    </row>
    <row r="93" spans="1:101" x14ac:dyDescent="0.25">
      <c r="A93" t="s">
        <v>37</v>
      </c>
      <c r="B93">
        <v>11377</v>
      </c>
      <c r="C93">
        <v>11678</v>
      </c>
      <c r="D93">
        <v>11930</v>
      </c>
      <c r="E93">
        <v>11928</v>
      </c>
      <c r="F93">
        <v>12161</v>
      </c>
      <c r="G93">
        <v>12020</v>
      </c>
      <c r="H93">
        <v>12125</v>
      </c>
      <c r="I93">
        <v>12401</v>
      </c>
      <c r="J93">
        <v>12607</v>
      </c>
      <c r="K93">
        <v>12818</v>
      </c>
      <c r="L93">
        <v>13048</v>
      </c>
      <c r="M93">
        <v>13122</v>
      </c>
      <c r="N93">
        <v>13832</v>
      </c>
      <c r="O93">
        <v>14039</v>
      </c>
      <c r="P93">
        <v>14240</v>
      </c>
      <c r="Q93">
        <v>14368</v>
      </c>
      <c r="R93">
        <v>14341</v>
      </c>
      <c r="S93">
        <v>14785</v>
      </c>
      <c r="T93">
        <v>14816</v>
      </c>
      <c r="U93">
        <v>16355</v>
      </c>
      <c r="V93">
        <v>17105</v>
      </c>
      <c r="W93">
        <v>17471</v>
      </c>
      <c r="X93">
        <v>18673</v>
      </c>
      <c r="Y93">
        <v>19115</v>
      </c>
      <c r="Z93">
        <v>19673</v>
      </c>
      <c r="AA93">
        <v>20839</v>
      </c>
      <c r="AB93">
        <v>21941</v>
      </c>
      <c r="AC93">
        <v>22802</v>
      </c>
      <c r="AD93">
        <v>23594</v>
      </c>
      <c r="AE93">
        <v>24635</v>
      </c>
      <c r="AF93">
        <v>25471</v>
      </c>
      <c r="AG93">
        <v>26796</v>
      </c>
      <c r="AH93">
        <v>27633</v>
      </c>
      <c r="AI93">
        <v>28701</v>
      </c>
      <c r="AJ93">
        <v>29858</v>
      </c>
      <c r="AK93">
        <v>30631</v>
      </c>
      <c r="AL93">
        <v>31498</v>
      </c>
      <c r="AM93">
        <v>32557</v>
      </c>
      <c r="AN93">
        <v>33728</v>
      </c>
      <c r="AO93">
        <v>34078</v>
      </c>
      <c r="AP93">
        <v>35091</v>
      </c>
      <c r="AQ93">
        <v>35490</v>
      </c>
      <c r="AR93">
        <v>35933</v>
      </c>
      <c r="AS93">
        <v>36710</v>
      </c>
      <c r="AT93">
        <v>36646</v>
      </c>
      <c r="AU93">
        <v>37049</v>
      </c>
      <c r="AV93">
        <v>39592</v>
      </c>
      <c r="AW93">
        <v>40475</v>
      </c>
      <c r="AX93">
        <v>41333</v>
      </c>
      <c r="AY93">
        <v>42011</v>
      </c>
      <c r="AZ93">
        <v>42585</v>
      </c>
      <c r="BA93">
        <v>43277</v>
      </c>
      <c r="BB93">
        <v>43861</v>
      </c>
      <c r="BC93">
        <v>44420</v>
      </c>
      <c r="BD93">
        <v>45148</v>
      </c>
      <c r="BE93">
        <v>45707</v>
      </c>
      <c r="BF93">
        <v>46579</v>
      </c>
      <c r="BG93">
        <v>47234</v>
      </c>
      <c r="BH93">
        <v>48040</v>
      </c>
      <c r="BI93">
        <v>48571</v>
      </c>
      <c r="BJ93">
        <v>49196</v>
      </c>
      <c r="BK93">
        <v>49888</v>
      </c>
      <c r="BL93">
        <v>50594</v>
      </c>
      <c r="BM93">
        <v>51290</v>
      </c>
      <c r="BN93">
        <v>51921</v>
      </c>
      <c r="BO93">
        <v>52555</v>
      </c>
      <c r="BP93">
        <v>53220</v>
      </c>
      <c r="BQ93">
        <v>53878</v>
      </c>
      <c r="BR93">
        <v>54422</v>
      </c>
      <c r="BS93">
        <v>54929</v>
      </c>
      <c r="BT93">
        <v>55568</v>
      </c>
      <c r="BU93">
        <v>56195</v>
      </c>
      <c r="BV93">
        <v>56758</v>
      </c>
      <c r="BW93">
        <v>57354</v>
      </c>
      <c r="BX93">
        <v>57937</v>
      </c>
      <c r="BY93">
        <v>58535</v>
      </c>
      <c r="BZ93">
        <v>59080</v>
      </c>
      <c r="CA93">
        <v>59659</v>
      </c>
      <c r="CB93">
        <v>60186</v>
      </c>
      <c r="CC93">
        <v>60687</v>
      </c>
      <c r="CD93">
        <v>61346</v>
      </c>
      <c r="CE93">
        <v>61862</v>
      </c>
      <c r="CF93">
        <v>62347</v>
      </c>
      <c r="CG93">
        <v>62814</v>
      </c>
      <c r="CH93">
        <v>63340</v>
      </c>
      <c r="CI93">
        <v>63863</v>
      </c>
      <c r="CJ93" t="s">
        <v>218</v>
      </c>
      <c r="CK93" t="s">
        <v>218</v>
      </c>
      <c r="CL93" t="s">
        <v>218</v>
      </c>
      <c r="CM93" t="s">
        <v>218</v>
      </c>
      <c r="CN93" t="s">
        <v>218</v>
      </c>
      <c r="CO93" t="s">
        <v>218</v>
      </c>
      <c r="CP93" t="s">
        <v>218</v>
      </c>
      <c r="CQ93" t="s">
        <v>218</v>
      </c>
      <c r="CR93" t="s">
        <v>218</v>
      </c>
      <c r="CS93" t="s">
        <v>218</v>
      </c>
      <c r="CT93" t="s">
        <v>218</v>
      </c>
      <c r="CU93" t="s">
        <v>218</v>
      </c>
      <c r="CV93" t="s">
        <v>218</v>
      </c>
      <c r="CW93" t="s">
        <v>218</v>
      </c>
    </row>
    <row r="94" spans="1:101" x14ac:dyDescent="0.25">
      <c r="A94" t="s">
        <v>36</v>
      </c>
      <c r="B94">
        <v>9667</v>
      </c>
      <c r="C94">
        <v>9936</v>
      </c>
      <c r="D94">
        <v>10148</v>
      </c>
      <c r="E94">
        <v>10068</v>
      </c>
      <c r="F94">
        <v>10344</v>
      </c>
      <c r="G94">
        <v>10203</v>
      </c>
      <c r="H94">
        <v>10248</v>
      </c>
      <c r="I94">
        <v>10394</v>
      </c>
      <c r="J94">
        <v>10771</v>
      </c>
      <c r="K94">
        <v>10876</v>
      </c>
      <c r="L94">
        <v>11076</v>
      </c>
      <c r="M94">
        <v>11276</v>
      </c>
      <c r="N94">
        <v>11741</v>
      </c>
      <c r="O94">
        <v>12000</v>
      </c>
      <c r="P94">
        <v>12183</v>
      </c>
      <c r="Q94">
        <v>12345</v>
      </c>
      <c r="R94">
        <v>12260</v>
      </c>
      <c r="S94">
        <v>12660</v>
      </c>
      <c r="T94">
        <v>12808</v>
      </c>
      <c r="U94">
        <v>14226</v>
      </c>
      <c r="V94">
        <v>14756</v>
      </c>
      <c r="W94">
        <v>15286</v>
      </c>
      <c r="X94">
        <v>16345</v>
      </c>
      <c r="Y94">
        <v>16788</v>
      </c>
      <c r="Z94">
        <v>17304</v>
      </c>
      <c r="AA94">
        <v>18493</v>
      </c>
      <c r="AB94">
        <v>19431</v>
      </c>
      <c r="AC94">
        <v>20182</v>
      </c>
      <c r="AD94">
        <v>20948</v>
      </c>
      <c r="AE94">
        <v>21739</v>
      </c>
      <c r="AF94">
        <v>22572</v>
      </c>
      <c r="AG94">
        <v>23803</v>
      </c>
      <c r="AH94">
        <v>24548</v>
      </c>
      <c r="AI94">
        <v>25614</v>
      </c>
      <c r="AJ94">
        <v>26461</v>
      </c>
      <c r="AK94">
        <v>27377</v>
      </c>
      <c r="AL94">
        <v>28244</v>
      </c>
      <c r="AM94">
        <v>29259</v>
      </c>
      <c r="AN94">
        <v>30354</v>
      </c>
      <c r="AO94">
        <v>30715</v>
      </c>
      <c r="AP94">
        <v>31676</v>
      </c>
      <c r="AQ94">
        <v>32083</v>
      </c>
      <c r="AR94">
        <v>32530</v>
      </c>
      <c r="AS94">
        <v>33279</v>
      </c>
      <c r="AT94">
        <v>33266</v>
      </c>
      <c r="AU94">
        <v>33676</v>
      </c>
      <c r="AV94">
        <v>36034</v>
      </c>
      <c r="AW94">
        <v>36886</v>
      </c>
      <c r="AX94">
        <v>37716</v>
      </c>
      <c r="AY94">
        <v>38383</v>
      </c>
      <c r="AZ94">
        <v>38956</v>
      </c>
      <c r="BA94">
        <v>39639</v>
      </c>
      <c r="BB94">
        <v>40223</v>
      </c>
      <c r="BC94">
        <v>40784</v>
      </c>
      <c r="BD94">
        <v>41501</v>
      </c>
      <c r="BE94">
        <v>42064</v>
      </c>
      <c r="BF94">
        <v>42917</v>
      </c>
      <c r="BG94">
        <v>43569</v>
      </c>
      <c r="BH94">
        <v>44362</v>
      </c>
      <c r="BI94">
        <v>44902</v>
      </c>
      <c r="BJ94">
        <v>45530</v>
      </c>
      <c r="BK94">
        <v>46220</v>
      </c>
      <c r="BL94">
        <v>46924</v>
      </c>
      <c r="BM94">
        <v>47619</v>
      </c>
      <c r="BN94">
        <v>48255</v>
      </c>
      <c r="BO94">
        <v>48893</v>
      </c>
      <c r="BP94">
        <v>49562</v>
      </c>
      <c r="BQ94">
        <v>50224</v>
      </c>
      <c r="BR94">
        <v>50781</v>
      </c>
      <c r="BS94">
        <v>51304</v>
      </c>
      <c r="BT94">
        <v>51950</v>
      </c>
      <c r="BU94">
        <v>52585</v>
      </c>
      <c r="BV94">
        <v>53161</v>
      </c>
      <c r="BW94">
        <v>53768</v>
      </c>
      <c r="BX94">
        <v>54363</v>
      </c>
      <c r="BY94">
        <v>54973</v>
      </c>
      <c r="BZ94">
        <v>55533</v>
      </c>
      <c r="CA94">
        <v>56126</v>
      </c>
      <c r="CB94">
        <v>56670</v>
      </c>
      <c r="CC94">
        <v>57189</v>
      </c>
      <c r="CD94">
        <v>57858</v>
      </c>
      <c r="CE94">
        <v>58392</v>
      </c>
      <c r="CF94">
        <v>58897</v>
      </c>
      <c r="CG94">
        <v>59385</v>
      </c>
      <c r="CH94">
        <v>59929</v>
      </c>
      <c r="CI94" t="s">
        <v>218</v>
      </c>
      <c r="CJ94" t="s">
        <v>218</v>
      </c>
      <c r="CK94" t="s">
        <v>218</v>
      </c>
      <c r="CL94" t="s">
        <v>218</v>
      </c>
      <c r="CM94" t="s">
        <v>218</v>
      </c>
      <c r="CN94" t="s">
        <v>218</v>
      </c>
      <c r="CO94" t="s">
        <v>218</v>
      </c>
      <c r="CP94" t="s">
        <v>218</v>
      </c>
      <c r="CQ94" t="s">
        <v>218</v>
      </c>
      <c r="CR94" t="s">
        <v>218</v>
      </c>
      <c r="CS94" t="s">
        <v>218</v>
      </c>
      <c r="CT94" t="s">
        <v>218</v>
      </c>
      <c r="CU94" t="s">
        <v>218</v>
      </c>
      <c r="CV94" t="s">
        <v>218</v>
      </c>
      <c r="CW94" t="s">
        <v>218</v>
      </c>
    </row>
    <row r="95" spans="1:101" x14ac:dyDescent="0.25">
      <c r="A95" t="s">
        <v>35</v>
      </c>
      <c r="B95">
        <v>8094</v>
      </c>
      <c r="C95">
        <v>8311</v>
      </c>
      <c r="D95">
        <v>8421</v>
      </c>
      <c r="E95">
        <v>8387</v>
      </c>
      <c r="F95">
        <v>8642</v>
      </c>
      <c r="G95">
        <v>8552</v>
      </c>
      <c r="H95">
        <v>8558</v>
      </c>
      <c r="I95">
        <v>8715</v>
      </c>
      <c r="J95">
        <v>8989</v>
      </c>
      <c r="K95">
        <v>9034</v>
      </c>
      <c r="L95">
        <v>9294</v>
      </c>
      <c r="M95">
        <v>9476</v>
      </c>
      <c r="N95">
        <v>9811</v>
      </c>
      <c r="O95">
        <v>10043</v>
      </c>
      <c r="P95">
        <v>10230</v>
      </c>
      <c r="Q95">
        <v>10350</v>
      </c>
      <c r="R95">
        <v>10225</v>
      </c>
      <c r="S95">
        <v>10733</v>
      </c>
      <c r="T95">
        <v>10858</v>
      </c>
      <c r="U95">
        <v>12124</v>
      </c>
      <c r="V95">
        <v>12684</v>
      </c>
      <c r="W95">
        <v>13271</v>
      </c>
      <c r="X95">
        <v>14194</v>
      </c>
      <c r="Y95">
        <v>14664</v>
      </c>
      <c r="Z95">
        <v>15134</v>
      </c>
      <c r="AA95">
        <v>16041</v>
      </c>
      <c r="AB95">
        <v>16961</v>
      </c>
      <c r="AC95">
        <v>17765</v>
      </c>
      <c r="AD95">
        <v>18307</v>
      </c>
      <c r="AE95">
        <v>18987</v>
      </c>
      <c r="AF95">
        <v>19795</v>
      </c>
      <c r="AG95">
        <v>20881</v>
      </c>
      <c r="AH95">
        <v>21638</v>
      </c>
      <c r="AI95">
        <v>22294</v>
      </c>
      <c r="AJ95">
        <v>23264</v>
      </c>
      <c r="AK95">
        <v>24159</v>
      </c>
      <c r="AL95">
        <v>24986</v>
      </c>
      <c r="AM95">
        <v>25924</v>
      </c>
      <c r="AN95">
        <v>26938</v>
      </c>
      <c r="AO95">
        <v>27302</v>
      </c>
      <c r="AP95">
        <v>28201</v>
      </c>
      <c r="AQ95">
        <v>28608</v>
      </c>
      <c r="AR95">
        <v>29050</v>
      </c>
      <c r="AS95">
        <v>29763</v>
      </c>
      <c r="AT95">
        <v>29793</v>
      </c>
      <c r="AU95">
        <v>30203</v>
      </c>
      <c r="AV95">
        <v>32363</v>
      </c>
      <c r="AW95">
        <v>33174</v>
      </c>
      <c r="AX95">
        <v>33968</v>
      </c>
      <c r="AY95">
        <v>34616</v>
      </c>
      <c r="AZ95">
        <v>35181</v>
      </c>
      <c r="BA95">
        <v>35845</v>
      </c>
      <c r="BB95">
        <v>36420</v>
      </c>
      <c r="BC95">
        <v>36977</v>
      </c>
      <c r="BD95">
        <v>37675</v>
      </c>
      <c r="BE95">
        <v>38234</v>
      </c>
      <c r="BF95">
        <v>39058</v>
      </c>
      <c r="BG95">
        <v>39701</v>
      </c>
      <c r="BH95">
        <v>40473</v>
      </c>
      <c r="BI95">
        <v>41014</v>
      </c>
      <c r="BJ95">
        <v>41637</v>
      </c>
      <c r="BK95">
        <v>42317</v>
      </c>
      <c r="BL95">
        <v>43012</v>
      </c>
      <c r="BM95">
        <v>43698</v>
      </c>
      <c r="BN95">
        <v>44332</v>
      </c>
      <c r="BO95">
        <v>44969</v>
      </c>
      <c r="BP95">
        <v>45633</v>
      </c>
      <c r="BQ95">
        <v>46293</v>
      </c>
      <c r="BR95">
        <v>46857</v>
      </c>
      <c r="BS95">
        <v>47389</v>
      </c>
      <c r="BT95">
        <v>48035</v>
      </c>
      <c r="BU95">
        <v>48673</v>
      </c>
      <c r="BV95">
        <v>49256</v>
      </c>
      <c r="BW95">
        <v>49868</v>
      </c>
      <c r="BX95">
        <v>50470</v>
      </c>
      <c r="BY95">
        <v>51086</v>
      </c>
      <c r="BZ95">
        <v>51656</v>
      </c>
      <c r="CA95">
        <v>52258</v>
      </c>
      <c r="CB95">
        <v>52813</v>
      </c>
      <c r="CC95">
        <v>53346</v>
      </c>
      <c r="CD95">
        <v>54019</v>
      </c>
      <c r="CE95">
        <v>54567</v>
      </c>
      <c r="CF95">
        <v>55088</v>
      </c>
      <c r="CG95">
        <v>55593</v>
      </c>
      <c r="CH95" t="s">
        <v>218</v>
      </c>
      <c r="CI95" t="s">
        <v>218</v>
      </c>
      <c r="CJ95" t="s">
        <v>218</v>
      </c>
      <c r="CK95" t="s">
        <v>218</v>
      </c>
      <c r="CL95" t="s">
        <v>218</v>
      </c>
      <c r="CM95" t="s">
        <v>218</v>
      </c>
      <c r="CN95" t="s">
        <v>218</v>
      </c>
      <c r="CO95" t="s">
        <v>218</v>
      </c>
      <c r="CP95" t="s">
        <v>218</v>
      </c>
      <c r="CQ95" t="s">
        <v>218</v>
      </c>
      <c r="CR95" t="s">
        <v>218</v>
      </c>
      <c r="CS95" t="s">
        <v>218</v>
      </c>
      <c r="CT95" t="s">
        <v>218</v>
      </c>
      <c r="CU95" t="s">
        <v>218</v>
      </c>
      <c r="CV95" t="s">
        <v>218</v>
      </c>
      <c r="CW95" t="s">
        <v>218</v>
      </c>
    </row>
    <row r="96" spans="1:101" x14ac:dyDescent="0.25">
      <c r="A96" t="s">
        <v>34</v>
      </c>
      <c r="B96">
        <v>6703</v>
      </c>
      <c r="C96">
        <v>6806</v>
      </c>
      <c r="D96">
        <v>6884</v>
      </c>
      <c r="E96">
        <v>6894</v>
      </c>
      <c r="F96">
        <v>7115</v>
      </c>
      <c r="G96">
        <v>6972</v>
      </c>
      <c r="H96">
        <v>7052</v>
      </c>
      <c r="I96">
        <v>7105</v>
      </c>
      <c r="J96">
        <v>7373</v>
      </c>
      <c r="K96">
        <v>7410</v>
      </c>
      <c r="L96">
        <v>7663</v>
      </c>
      <c r="M96">
        <v>7820</v>
      </c>
      <c r="N96">
        <v>8107</v>
      </c>
      <c r="O96">
        <v>8330</v>
      </c>
      <c r="P96">
        <v>8383</v>
      </c>
      <c r="Q96">
        <v>8529</v>
      </c>
      <c r="R96">
        <v>8514</v>
      </c>
      <c r="S96">
        <v>9002</v>
      </c>
      <c r="T96">
        <v>9101</v>
      </c>
      <c r="U96">
        <v>10174</v>
      </c>
      <c r="V96">
        <v>10717</v>
      </c>
      <c r="W96">
        <v>11300</v>
      </c>
      <c r="X96">
        <v>12067</v>
      </c>
      <c r="Y96">
        <v>12597</v>
      </c>
      <c r="Z96">
        <v>12995</v>
      </c>
      <c r="AA96">
        <v>13669</v>
      </c>
      <c r="AB96">
        <v>14622</v>
      </c>
      <c r="AC96">
        <v>15279</v>
      </c>
      <c r="AD96">
        <v>15737</v>
      </c>
      <c r="AE96">
        <v>16329</v>
      </c>
      <c r="AF96">
        <v>16985</v>
      </c>
      <c r="AG96">
        <v>17956</v>
      </c>
      <c r="AH96">
        <v>18462</v>
      </c>
      <c r="AI96">
        <v>19242</v>
      </c>
      <c r="AJ96">
        <v>20167</v>
      </c>
      <c r="AK96">
        <v>21002</v>
      </c>
      <c r="AL96">
        <v>21757</v>
      </c>
      <c r="AM96">
        <v>22612</v>
      </c>
      <c r="AN96">
        <v>23537</v>
      </c>
      <c r="AO96">
        <v>23897</v>
      </c>
      <c r="AP96">
        <v>24724</v>
      </c>
      <c r="AQ96">
        <v>25122</v>
      </c>
      <c r="AR96">
        <v>25550</v>
      </c>
      <c r="AS96">
        <v>26217</v>
      </c>
      <c r="AT96">
        <v>26284</v>
      </c>
      <c r="AU96">
        <v>26686</v>
      </c>
      <c r="AV96">
        <v>28637</v>
      </c>
      <c r="AW96">
        <v>29398</v>
      </c>
      <c r="AX96">
        <v>30147</v>
      </c>
      <c r="AY96">
        <v>30767</v>
      </c>
      <c r="AZ96">
        <v>31314</v>
      </c>
      <c r="BA96">
        <v>31950</v>
      </c>
      <c r="BB96">
        <v>32509</v>
      </c>
      <c r="BC96">
        <v>33052</v>
      </c>
      <c r="BD96">
        <v>33722</v>
      </c>
      <c r="BE96">
        <v>34269</v>
      </c>
      <c r="BF96">
        <v>35054</v>
      </c>
      <c r="BG96">
        <v>35678</v>
      </c>
      <c r="BH96">
        <v>36420</v>
      </c>
      <c r="BI96">
        <v>36955</v>
      </c>
      <c r="BJ96">
        <v>37564</v>
      </c>
      <c r="BK96">
        <v>38226</v>
      </c>
      <c r="BL96">
        <v>38902</v>
      </c>
      <c r="BM96">
        <v>39572</v>
      </c>
      <c r="BN96">
        <v>40195</v>
      </c>
      <c r="BO96">
        <v>40821</v>
      </c>
      <c r="BP96">
        <v>41474</v>
      </c>
      <c r="BQ96">
        <v>42123</v>
      </c>
      <c r="BR96">
        <v>42685</v>
      </c>
      <c r="BS96">
        <v>43219</v>
      </c>
      <c r="BT96">
        <v>43858</v>
      </c>
      <c r="BU96">
        <v>44490</v>
      </c>
      <c r="BV96">
        <v>45072</v>
      </c>
      <c r="BW96">
        <v>45683</v>
      </c>
      <c r="BX96">
        <v>46284</v>
      </c>
      <c r="BY96">
        <v>46899</v>
      </c>
      <c r="BZ96">
        <v>47472</v>
      </c>
      <c r="CA96">
        <v>48075</v>
      </c>
      <c r="CB96">
        <v>48635</v>
      </c>
      <c r="CC96">
        <v>49176</v>
      </c>
      <c r="CD96">
        <v>49847</v>
      </c>
      <c r="CE96">
        <v>50402</v>
      </c>
      <c r="CF96">
        <v>50933</v>
      </c>
      <c r="CG96" t="s">
        <v>218</v>
      </c>
      <c r="CH96" t="s">
        <v>218</v>
      </c>
      <c r="CI96" t="s">
        <v>218</v>
      </c>
      <c r="CJ96" t="s">
        <v>218</v>
      </c>
      <c r="CK96" t="s">
        <v>218</v>
      </c>
      <c r="CL96" t="s">
        <v>218</v>
      </c>
      <c r="CM96" t="s">
        <v>218</v>
      </c>
      <c r="CN96" t="s">
        <v>218</v>
      </c>
      <c r="CO96" t="s">
        <v>218</v>
      </c>
      <c r="CP96" t="s">
        <v>218</v>
      </c>
      <c r="CQ96" t="s">
        <v>218</v>
      </c>
      <c r="CR96" t="s">
        <v>218</v>
      </c>
      <c r="CS96" t="s">
        <v>218</v>
      </c>
      <c r="CT96" t="s">
        <v>218</v>
      </c>
      <c r="CU96" t="s">
        <v>218</v>
      </c>
      <c r="CV96" t="s">
        <v>218</v>
      </c>
      <c r="CW96" t="s">
        <v>218</v>
      </c>
    </row>
    <row r="97" spans="1:101" x14ac:dyDescent="0.25">
      <c r="A97" t="s">
        <v>33</v>
      </c>
      <c r="B97">
        <v>5428</v>
      </c>
      <c r="C97">
        <v>5519</v>
      </c>
      <c r="D97">
        <v>5549</v>
      </c>
      <c r="E97">
        <v>5632</v>
      </c>
      <c r="F97">
        <v>5622</v>
      </c>
      <c r="G97">
        <v>5656</v>
      </c>
      <c r="H97">
        <v>5696</v>
      </c>
      <c r="I97">
        <v>5730</v>
      </c>
      <c r="J97">
        <v>5934</v>
      </c>
      <c r="K97">
        <v>5976</v>
      </c>
      <c r="L97">
        <v>6142</v>
      </c>
      <c r="M97">
        <v>6341</v>
      </c>
      <c r="N97">
        <v>6534</v>
      </c>
      <c r="O97">
        <v>6766</v>
      </c>
      <c r="P97">
        <v>6792</v>
      </c>
      <c r="Q97">
        <v>6938</v>
      </c>
      <c r="R97">
        <v>6944</v>
      </c>
      <c r="S97">
        <v>7433</v>
      </c>
      <c r="T97">
        <v>7572</v>
      </c>
      <c r="U97">
        <v>8443</v>
      </c>
      <c r="V97">
        <v>8991</v>
      </c>
      <c r="W97">
        <v>9470</v>
      </c>
      <c r="X97">
        <v>10103</v>
      </c>
      <c r="Y97">
        <v>10648</v>
      </c>
      <c r="Z97">
        <v>10950</v>
      </c>
      <c r="AA97">
        <v>11619</v>
      </c>
      <c r="AB97">
        <v>12401</v>
      </c>
      <c r="AC97">
        <v>12898</v>
      </c>
      <c r="AD97">
        <v>13299</v>
      </c>
      <c r="AE97">
        <v>13760</v>
      </c>
      <c r="AF97">
        <v>14431</v>
      </c>
      <c r="AG97">
        <v>15010</v>
      </c>
      <c r="AH97">
        <v>15628</v>
      </c>
      <c r="AI97">
        <v>16361</v>
      </c>
      <c r="AJ97">
        <v>17199</v>
      </c>
      <c r="AK97">
        <v>17942</v>
      </c>
      <c r="AL97">
        <v>18621</v>
      </c>
      <c r="AM97">
        <v>19389</v>
      </c>
      <c r="AN97">
        <v>20219</v>
      </c>
      <c r="AO97">
        <v>20564</v>
      </c>
      <c r="AP97">
        <v>21312</v>
      </c>
      <c r="AQ97">
        <v>21691</v>
      </c>
      <c r="AR97">
        <v>22096</v>
      </c>
      <c r="AS97">
        <v>22710</v>
      </c>
      <c r="AT97">
        <v>22805</v>
      </c>
      <c r="AU97">
        <v>23191</v>
      </c>
      <c r="AV97">
        <v>24926</v>
      </c>
      <c r="AW97">
        <v>25629</v>
      </c>
      <c r="AX97">
        <v>26323</v>
      </c>
      <c r="AY97">
        <v>26906</v>
      </c>
      <c r="AZ97">
        <v>27426</v>
      </c>
      <c r="BA97">
        <v>28026</v>
      </c>
      <c r="BB97">
        <v>28558</v>
      </c>
      <c r="BC97">
        <v>29078</v>
      </c>
      <c r="BD97">
        <v>29711</v>
      </c>
      <c r="BE97">
        <v>30237</v>
      </c>
      <c r="BF97">
        <v>30974</v>
      </c>
      <c r="BG97">
        <v>31570</v>
      </c>
      <c r="BH97">
        <v>32271</v>
      </c>
      <c r="BI97">
        <v>32791</v>
      </c>
      <c r="BJ97">
        <v>33377</v>
      </c>
      <c r="BK97">
        <v>34011</v>
      </c>
      <c r="BL97">
        <v>34659</v>
      </c>
      <c r="BM97">
        <v>35302</v>
      </c>
      <c r="BN97">
        <v>35905</v>
      </c>
      <c r="BO97">
        <v>36511</v>
      </c>
      <c r="BP97">
        <v>37142</v>
      </c>
      <c r="BQ97">
        <v>37771</v>
      </c>
      <c r="BR97">
        <v>38324</v>
      </c>
      <c r="BS97">
        <v>38851</v>
      </c>
      <c r="BT97">
        <v>39474</v>
      </c>
      <c r="BU97">
        <v>40091</v>
      </c>
      <c r="BV97">
        <v>40664</v>
      </c>
      <c r="BW97">
        <v>41263</v>
      </c>
      <c r="BX97">
        <v>41855</v>
      </c>
      <c r="BY97">
        <v>42460</v>
      </c>
      <c r="BZ97">
        <v>43028</v>
      </c>
      <c r="CA97">
        <v>43624</v>
      </c>
      <c r="CB97">
        <v>44181</v>
      </c>
      <c r="CC97">
        <v>44722</v>
      </c>
      <c r="CD97">
        <v>45381</v>
      </c>
      <c r="CE97">
        <v>45935</v>
      </c>
      <c r="CF97" t="s">
        <v>218</v>
      </c>
      <c r="CG97" t="s">
        <v>218</v>
      </c>
      <c r="CH97" t="s">
        <v>218</v>
      </c>
      <c r="CI97" t="s">
        <v>218</v>
      </c>
      <c r="CJ97" t="s">
        <v>218</v>
      </c>
      <c r="CK97" t="s">
        <v>218</v>
      </c>
      <c r="CL97" t="s">
        <v>218</v>
      </c>
      <c r="CM97" t="s">
        <v>218</v>
      </c>
      <c r="CN97" t="s">
        <v>218</v>
      </c>
      <c r="CO97" t="s">
        <v>218</v>
      </c>
      <c r="CP97" t="s">
        <v>218</v>
      </c>
      <c r="CQ97" t="s">
        <v>218</v>
      </c>
      <c r="CR97" t="s">
        <v>218</v>
      </c>
      <c r="CS97" t="s">
        <v>218</v>
      </c>
      <c r="CT97" t="s">
        <v>218</v>
      </c>
      <c r="CU97" t="s">
        <v>218</v>
      </c>
      <c r="CV97" t="s">
        <v>218</v>
      </c>
      <c r="CW97" t="s">
        <v>218</v>
      </c>
    </row>
    <row r="98" spans="1:101" x14ac:dyDescent="0.25">
      <c r="A98" t="s">
        <v>32</v>
      </c>
      <c r="B98">
        <v>4323</v>
      </c>
      <c r="C98">
        <v>4427</v>
      </c>
      <c r="D98">
        <v>4419</v>
      </c>
      <c r="E98">
        <v>4333</v>
      </c>
      <c r="F98">
        <v>4406</v>
      </c>
      <c r="G98">
        <v>4490</v>
      </c>
      <c r="H98">
        <v>4502</v>
      </c>
      <c r="I98">
        <v>4562</v>
      </c>
      <c r="J98">
        <v>4686</v>
      </c>
      <c r="K98">
        <v>4685</v>
      </c>
      <c r="L98">
        <v>4907</v>
      </c>
      <c r="M98">
        <v>5042</v>
      </c>
      <c r="N98">
        <v>5212</v>
      </c>
      <c r="O98">
        <v>5301</v>
      </c>
      <c r="P98">
        <v>5479</v>
      </c>
      <c r="Q98">
        <v>5568</v>
      </c>
      <c r="R98">
        <v>5675</v>
      </c>
      <c r="S98">
        <v>5951</v>
      </c>
      <c r="T98">
        <v>6166</v>
      </c>
      <c r="U98">
        <v>6930</v>
      </c>
      <c r="V98">
        <v>7412</v>
      </c>
      <c r="W98">
        <v>7862</v>
      </c>
      <c r="X98">
        <v>8261</v>
      </c>
      <c r="Y98">
        <v>8857</v>
      </c>
      <c r="Z98">
        <v>9118</v>
      </c>
      <c r="AA98">
        <v>9614</v>
      </c>
      <c r="AB98">
        <v>10280</v>
      </c>
      <c r="AC98">
        <v>10664</v>
      </c>
      <c r="AD98">
        <v>10889</v>
      </c>
      <c r="AE98">
        <v>11406</v>
      </c>
      <c r="AF98">
        <v>11814</v>
      </c>
      <c r="AG98">
        <v>12442</v>
      </c>
      <c r="AH98">
        <v>13014</v>
      </c>
      <c r="AI98">
        <v>13666</v>
      </c>
      <c r="AJ98">
        <v>14392</v>
      </c>
      <c r="AK98">
        <v>15042</v>
      </c>
      <c r="AL98">
        <v>15641</v>
      </c>
      <c r="AM98">
        <v>16318</v>
      </c>
      <c r="AN98">
        <v>17047</v>
      </c>
      <c r="AO98">
        <v>17369</v>
      </c>
      <c r="AP98">
        <v>18033</v>
      </c>
      <c r="AQ98">
        <v>18385</v>
      </c>
      <c r="AR98">
        <v>18760</v>
      </c>
      <c r="AS98">
        <v>19314</v>
      </c>
      <c r="AT98">
        <v>19427</v>
      </c>
      <c r="AU98">
        <v>19789</v>
      </c>
      <c r="AV98">
        <v>21306</v>
      </c>
      <c r="AW98">
        <v>21943</v>
      </c>
      <c r="AX98">
        <v>22574</v>
      </c>
      <c r="AY98">
        <v>23112</v>
      </c>
      <c r="AZ98">
        <v>23596</v>
      </c>
      <c r="BA98">
        <v>24151</v>
      </c>
      <c r="BB98">
        <v>24648</v>
      </c>
      <c r="BC98">
        <v>25136</v>
      </c>
      <c r="BD98">
        <v>25723</v>
      </c>
      <c r="BE98">
        <v>26218</v>
      </c>
      <c r="BF98">
        <v>26897</v>
      </c>
      <c r="BG98">
        <v>27456</v>
      </c>
      <c r="BH98">
        <v>28107</v>
      </c>
      <c r="BI98">
        <v>28602</v>
      </c>
      <c r="BJ98">
        <v>29156</v>
      </c>
      <c r="BK98">
        <v>29752</v>
      </c>
      <c r="BL98">
        <v>30361</v>
      </c>
      <c r="BM98">
        <v>30968</v>
      </c>
      <c r="BN98">
        <v>31541</v>
      </c>
      <c r="BO98">
        <v>32118</v>
      </c>
      <c r="BP98">
        <v>32718</v>
      </c>
      <c r="BQ98">
        <v>33317</v>
      </c>
      <c r="BR98">
        <v>33849</v>
      </c>
      <c r="BS98">
        <v>34360</v>
      </c>
      <c r="BT98">
        <v>34956</v>
      </c>
      <c r="BU98">
        <v>35548</v>
      </c>
      <c r="BV98">
        <v>36103</v>
      </c>
      <c r="BW98">
        <v>36681</v>
      </c>
      <c r="BX98">
        <v>37254</v>
      </c>
      <c r="BY98">
        <v>37839</v>
      </c>
      <c r="BZ98">
        <v>38392</v>
      </c>
      <c r="CA98">
        <v>38971</v>
      </c>
      <c r="CB98">
        <v>39517</v>
      </c>
      <c r="CC98">
        <v>40048</v>
      </c>
      <c r="CD98">
        <v>40686</v>
      </c>
      <c r="CE98" t="s">
        <v>218</v>
      </c>
      <c r="CF98" t="s">
        <v>218</v>
      </c>
      <c r="CG98" t="s">
        <v>218</v>
      </c>
      <c r="CH98" t="s">
        <v>218</v>
      </c>
      <c r="CI98" t="s">
        <v>218</v>
      </c>
      <c r="CJ98" t="s">
        <v>218</v>
      </c>
      <c r="CK98" t="s">
        <v>218</v>
      </c>
      <c r="CL98" t="s">
        <v>218</v>
      </c>
      <c r="CM98" t="s">
        <v>218</v>
      </c>
      <c r="CN98" t="s">
        <v>218</v>
      </c>
      <c r="CO98" t="s">
        <v>218</v>
      </c>
      <c r="CP98" t="s">
        <v>218</v>
      </c>
      <c r="CQ98" t="s">
        <v>218</v>
      </c>
      <c r="CR98" t="s">
        <v>218</v>
      </c>
      <c r="CS98" t="s">
        <v>218</v>
      </c>
      <c r="CT98" t="s">
        <v>218</v>
      </c>
      <c r="CU98" t="s">
        <v>218</v>
      </c>
      <c r="CV98" t="s">
        <v>218</v>
      </c>
      <c r="CW98" t="s">
        <v>218</v>
      </c>
    </row>
    <row r="99" spans="1:101" x14ac:dyDescent="0.25">
      <c r="A99" t="s">
        <v>31</v>
      </c>
      <c r="B99">
        <v>3371</v>
      </c>
      <c r="C99">
        <v>3492</v>
      </c>
      <c r="D99">
        <v>3355</v>
      </c>
      <c r="E99">
        <v>3388</v>
      </c>
      <c r="F99">
        <v>3400</v>
      </c>
      <c r="G99">
        <v>3464</v>
      </c>
      <c r="H99">
        <v>3502</v>
      </c>
      <c r="I99">
        <v>3449</v>
      </c>
      <c r="J99">
        <v>3594</v>
      </c>
      <c r="K99">
        <v>3580</v>
      </c>
      <c r="L99">
        <v>3761</v>
      </c>
      <c r="M99">
        <v>3899</v>
      </c>
      <c r="N99">
        <v>4041</v>
      </c>
      <c r="O99">
        <v>4167</v>
      </c>
      <c r="P99">
        <v>4317</v>
      </c>
      <c r="Q99">
        <v>4363</v>
      </c>
      <c r="R99">
        <v>4477</v>
      </c>
      <c r="S99">
        <v>4739</v>
      </c>
      <c r="T99">
        <v>4969</v>
      </c>
      <c r="U99">
        <v>5519</v>
      </c>
      <c r="V99">
        <v>6009</v>
      </c>
      <c r="W99">
        <v>6267</v>
      </c>
      <c r="X99">
        <v>6648</v>
      </c>
      <c r="Y99">
        <v>7262</v>
      </c>
      <c r="Z99">
        <v>7301</v>
      </c>
      <c r="AA99">
        <v>7710</v>
      </c>
      <c r="AB99">
        <v>8337</v>
      </c>
      <c r="AC99">
        <v>8577</v>
      </c>
      <c r="AD99">
        <v>8804</v>
      </c>
      <c r="AE99">
        <v>9110</v>
      </c>
      <c r="AF99">
        <v>9571</v>
      </c>
      <c r="AG99">
        <v>10128</v>
      </c>
      <c r="AH99">
        <v>10628</v>
      </c>
      <c r="AI99">
        <v>11181</v>
      </c>
      <c r="AJ99">
        <v>11797</v>
      </c>
      <c r="AK99">
        <v>12355</v>
      </c>
      <c r="AL99">
        <v>12873</v>
      </c>
      <c r="AM99">
        <v>13455</v>
      </c>
      <c r="AN99">
        <v>14083</v>
      </c>
      <c r="AO99">
        <v>14375</v>
      </c>
      <c r="AP99">
        <v>14950</v>
      </c>
      <c r="AQ99">
        <v>15269</v>
      </c>
      <c r="AR99">
        <v>15609</v>
      </c>
      <c r="AS99">
        <v>16098</v>
      </c>
      <c r="AT99">
        <v>16221</v>
      </c>
      <c r="AU99">
        <v>16552</v>
      </c>
      <c r="AV99">
        <v>17851</v>
      </c>
      <c r="AW99">
        <v>18417</v>
      </c>
      <c r="AX99">
        <v>18979</v>
      </c>
      <c r="AY99">
        <v>19464</v>
      </c>
      <c r="AZ99">
        <v>19905</v>
      </c>
      <c r="BA99">
        <v>20406</v>
      </c>
      <c r="BB99">
        <v>20861</v>
      </c>
      <c r="BC99">
        <v>21308</v>
      </c>
      <c r="BD99">
        <v>21841</v>
      </c>
      <c r="BE99">
        <v>22297</v>
      </c>
      <c r="BF99">
        <v>22911</v>
      </c>
      <c r="BG99">
        <v>23423</v>
      </c>
      <c r="BH99">
        <v>24016</v>
      </c>
      <c r="BI99">
        <v>24477</v>
      </c>
      <c r="BJ99">
        <v>24988</v>
      </c>
      <c r="BK99">
        <v>25538</v>
      </c>
      <c r="BL99">
        <v>26100</v>
      </c>
      <c r="BM99">
        <v>26661</v>
      </c>
      <c r="BN99">
        <v>27194</v>
      </c>
      <c r="BO99">
        <v>27731</v>
      </c>
      <c r="BP99">
        <v>28290</v>
      </c>
      <c r="BQ99">
        <v>28849</v>
      </c>
      <c r="BR99">
        <v>29351</v>
      </c>
      <c r="BS99">
        <v>29836</v>
      </c>
      <c r="BT99">
        <v>30396</v>
      </c>
      <c r="BU99">
        <v>30953</v>
      </c>
      <c r="BV99">
        <v>31479</v>
      </c>
      <c r="BW99">
        <v>32026</v>
      </c>
      <c r="BX99">
        <v>32569</v>
      </c>
      <c r="BY99">
        <v>33124</v>
      </c>
      <c r="BZ99">
        <v>33653</v>
      </c>
      <c r="CA99">
        <v>34204</v>
      </c>
      <c r="CB99">
        <v>34727</v>
      </c>
      <c r="CC99">
        <v>35238</v>
      </c>
      <c r="CD99" t="s">
        <v>218</v>
      </c>
      <c r="CE99" t="s">
        <v>218</v>
      </c>
      <c r="CF99" t="s">
        <v>218</v>
      </c>
      <c r="CG99" t="s">
        <v>218</v>
      </c>
      <c r="CH99" t="s">
        <v>218</v>
      </c>
      <c r="CI99" t="s">
        <v>218</v>
      </c>
      <c r="CJ99" t="s">
        <v>218</v>
      </c>
      <c r="CK99" t="s">
        <v>218</v>
      </c>
      <c r="CL99" t="s">
        <v>218</v>
      </c>
      <c r="CM99" t="s">
        <v>218</v>
      </c>
      <c r="CN99" t="s">
        <v>218</v>
      </c>
      <c r="CO99" t="s">
        <v>218</v>
      </c>
      <c r="CP99" t="s">
        <v>218</v>
      </c>
      <c r="CQ99" t="s">
        <v>218</v>
      </c>
      <c r="CR99" t="s">
        <v>218</v>
      </c>
      <c r="CS99" t="s">
        <v>218</v>
      </c>
      <c r="CT99" t="s">
        <v>218</v>
      </c>
      <c r="CU99" t="s">
        <v>218</v>
      </c>
      <c r="CV99" t="s">
        <v>218</v>
      </c>
      <c r="CW99" t="s">
        <v>218</v>
      </c>
    </row>
    <row r="100" spans="1:101" x14ac:dyDescent="0.25">
      <c r="A100" t="s">
        <v>30</v>
      </c>
      <c r="B100">
        <v>2590</v>
      </c>
      <c r="C100">
        <v>2610</v>
      </c>
      <c r="D100">
        <v>2538</v>
      </c>
      <c r="E100">
        <v>2582</v>
      </c>
      <c r="F100">
        <v>2546</v>
      </c>
      <c r="G100">
        <v>2656</v>
      </c>
      <c r="H100">
        <v>2667</v>
      </c>
      <c r="I100">
        <v>2545</v>
      </c>
      <c r="J100">
        <v>2714</v>
      </c>
      <c r="K100">
        <v>2718</v>
      </c>
      <c r="L100">
        <v>2896</v>
      </c>
      <c r="M100">
        <v>2924</v>
      </c>
      <c r="N100">
        <v>3107</v>
      </c>
      <c r="O100">
        <v>3198</v>
      </c>
      <c r="P100">
        <v>3333</v>
      </c>
      <c r="Q100">
        <v>3334</v>
      </c>
      <c r="R100">
        <v>3458</v>
      </c>
      <c r="S100">
        <v>3684</v>
      </c>
      <c r="T100">
        <v>3880</v>
      </c>
      <c r="U100">
        <v>4348</v>
      </c>
      <c r="V100">
        <v>4720</v>
      </c>
      <c r="W100">
        <v>4873</v>
      </c>
      <c r="X100">
        <v>5272</v>
      </c>
      <c r="Y100">
        <v>5748</v>
      </c>
      <c r="Z100">
        <v>5742</v>
      </c>
      <c r="AA100">
        <v>6116</v>
      </c>
      <c r="AB100">
        <v>6562</v>
      </c>
      <c r="AC100">
        <v>6798</v>
      </c>
      <c r="AD100">
        <v>6843</v>
      </c>
      <c r="AE100">
        <v>7195</v>
      </c>
      <c r="AF100">
        <v>7601</v>
      </c>
      <c r="AG100">
        <v>8072</v>
      </c>
      <c r="AH100">
        <v>8486</v>
      </c>
      <c r="AI100">
        <v>8945</v>
      </c>
      <c r="AJ100">
        <v>9457</v>
      </c>
      <c r="AK100">
        <v>9925</v>
      </c>
      <c r="AL100">
        <v>10361</v>
      </c>
      <c r="AM100">
        <v>10851</v>
      </c>
      <c r="AN100">
        <v>11378</v>
      </c>
      <c r="AO100">
        <v>11635</v>
      </c>
      <c r="AP100">
        <v>12123</v>
      </c>
      <c r="AQ100">
        <v>12404</v>
      </c>
      <c r="AR100">
        <v>12703</v>
      </c>
      <c r="AS100">
        <v>13124</v>
      </c>
      <c r="AT100">
        <v>13249</v>
      </c>
      <c r="AU100">
        <v>13544</v>
      </c>
      <c r="AV100">
        <v>14633</v>
      </c>
      <c r="AW100">
        <v>15123</v>
      </c>
      <c r="AX100">
        <v>15612</v>
      </c>
      <c r="AY100">
        <v>16038</v>
      </c>
      <c r="AZ100">
        <v>16430</v>
      </c>
      <c r="BA100">
        <v>16873</v>
      </c>
      <c r="BB100">
        <v>17277</v>
      </c>
      <c r="BC100">
        <v>17678</v>
      </c>
      <c r="BD100">
        <v>18150</v>
      </c>
      <c r="BE100">
        <v>18559</v>
      </c>
      <c r="BF100">
        <v>19102</v>
      </c>
      <c r="BG100">
        <v>19561</v>
      </c>
      <c r="BH100">
        <v>20089</v>
      </c>
      <c r="BI100">
        <v>20506</v>
      </c>
      <c r="BJ100">
        <v>20968</v>
      </c>
      <c r="BK100">
        <v>21463</v>
      </c>
      <c r="BL100">
        <v>21969</v>
      </c>
      <c r="BM100">
        <v>22476</v>
      </c>
      <c r="BN100">
        <v>22960</v>
      </c>
      <c r="BO100">
        <v>23450</v>
      </c>
      <c r="BP100">
        <v>23958</v>
      </c>
      <c r="BQ100">
        <v>24468</v>
      </c>
      <c r="BR100">
        <v>24931</v>
      </c>
      <c r="BS100">
        <v>25379</v>
      </c>
      <c r="BT100">
        <v>25893</v>
      </c>
      <c r="BU100">
        <v>26406</v>
      </c>
      <c r="BV100">
        <v>26892</v>
      </c>
      <c r="BW100">
        <v>27399</v>
      </c>
      <c r="BX100">
        <v>27903</v>
      </c>
      <c r="BY100">
        <v>28418</v>
      </c>
      <c r="BZ100">
        <v>28911</v>
      </c>
      <c r="CA100">
        <v>29424</v>
      </c>
      <c r="CB100">
        <v>29915</v>
      </c>
      <c r="CC100" t="s">
        <v>218</v>
      </c>
      <c r="CD100" t="s">
        <v>218</v>
      </c>
      <c r="CE100" t="s">
        <v>218</v>
      </c>
      <c r="CF100" t="s">
        <v>218</v>
      </c>
      <c r="CG100" t="s">
        <v>218</v>
      </c>
      <c r="CH100" t="s">
        <v>218</v>
      </c>
      <c r="CI100" t="s">
        <v>218</v>
      </c>
      <c r="CJ100" t="s">
        <v>218</v>
      </c>
      <c r="CK100" t="s">
        <v>218</v>
      </c>
      <c r="CL100" t="s">
        <v>218</v>
      </c>
      <c r="CM100" t="s">
        <v>218</v>
      </c>
      <c r="CN100" t="s">
        <v>218</v>
      </c>
      <c r="CO100" t="s">
        <v>218</v>
      </c>
      <c r="CP100" t="s">
        <v>218</v>
      </c>
      <c r="CQ100" t="s">
        <v>218</v>
      </c>
      <c r="CR100" t="s">
        <v>218</v>
      </c>
      <c r="CS100" t="s">
        <v>218</v>
      </c>
      <c r="CT100" t="s">
        <v>218</v>
      </c>
      <c r="CU100" t="s">
        <v>218</v>
      </c>
      <c r="CV100" t="s">
        <v>218</v>
      </c>
      <c r="CW100" t="s">
        <v>218</v>
      </c>
    </row>
    <row r="101" spans="1:101" x14ac:dyDescent="0.25">
      <c r="A101" t="s">
        <v>29</v>
      </c>
      <c r="B101">
        <v>1869</v>
      </c>
      <c r="C101">
        <v>1935</v>
      </c>
      <c r="D101">
        <v>1914</v>
      </c>
      <c r="E101">
        <v>1957</v>
      </c>
      <c r="F101">
        <v>1924</v>
      </c>
      <c r="G101">
        <v>1953</v>
      </c>
      <c r="H101">
        <v>1943</v>
      </c>
      <c r="I101">
        <v>1899</v>
      </c>
      <c r="J101">
        <v>2021</v>
      </c>
      <c r="K101">
        <v>2032</v>
      </c>
      <c r="L101">
        <v>2109</v>
      </c>
      <c r="M101">
        <v>2236</v>
      </c>
      <c r="N101">
        <v>2283</v>
      </c>
      <c r="O101">
        <v>2373</v>
      </c>
      <c r="P101">
        <v>2566</v>
      </c>
      <c r="Q101">
        <v>2492</v>
      </c>
      <c r="R101">
        <v>2620</v>
      </c>
      <c r="S101">
        <v>2822</v>
      </c>
      <c r="T101">
        <v>2989</v>
      </c>
      <c r="U101">
        <v>3326</v>
      </c>
      <c r="V101">
        <v>3610</v>
      </c>
      <c r="W101">
        <v>3727</v>
      </c>
      <c r="X101">
        <v>3935</v>
      </c>
      <c r="Y101">
        <v>4430</v>
      </c>
      <c r="Z101">
        <v>4411</v>
      </c>
      <c r="AA101">
        <v>4702</v>
      </c>
      <c r="AB101">
        <v>5017</v>
      </c>
      <c r="AC101">
        <v>5129</v>
      </c>
      <c r="AD101">
        <v>5261</v>
      </c>
      <c r="AE101">
        <v>5567</v>
      </c>
      <c r="AF101">
        <v>5903</v>
      </c>
      <c r="AG101">
        <v>6281</v>
      </c>
      <c r="AH101">
        <v>6616</v>
      </c>
      <c r="AI101">
        <v>6989</v>
      </c>
      <c r="AJ101">
        <v>7404</v>
      </c>
      <c r="AK101">
        <v>7785</v>
      </c>
      <c r="AL101">
        <v>8143</v>
      </c>
      <c r="AM101">
        <v>8544</v>
      </c>
      <c r="AN101">
        <v>8975</v>
      </c>
      <c r="AO101">
        <v>9195</v>
      </c>
      <c r="AP101">
        <v>9598</v>
      </c>
      <c r="AQ101">
        <v>9839</v>
      </c>
      <c r="AR101">
        <v>10095</v>
      </c>
      <c r="AS101">
        <v>10449</v>
      </c>
      <c r="AT101">
        <v>10567</v>
      </c>
      <c r="AU101">
        <v>10822</v>
      </c>
      <c r="AV101">
        <v>11713</v>
      </c>
      <c r="AW101">
        <v>12128</v>
      </c>
      <c r="AX101">
        <v>12542</v>
      </c>
      <c r="AY101">
        <v>12907</v>
      </c>
      <c r="AZ101">
        <v>13246</v>
      </c>
      <c r="BA101">
        <v>13626</v>
      </c>
      <c r="BB101">
        <v>13977</v>
      </c>
      <c r="BC101">
        <v>14325</v>
      </c>
      <c r="BD101">
        <v>14733</v>
      </c>
      <c r="BE101">
        <v>15091</v>
      </c>
      <c r="BF101">
        <v>15558</v>
      </c>
      <c r="BG101">
        <v>15959</v>
      </c>
      <c r="BH101">
        <v>16416</v>
      </c>
      <c r="BI101">
        <v>16785</v>
      </c>
      <c r="BJ101">
        <v>17191</v>
      </c>
      <c r="BK101">
        <v>17625</v>
      </c>
      <c r="BL101">
        <v>18070</v>
      </c>
      <c r="BM101">
        <v>18516</v>
      </c>
      <c r="BN101">
        <v>18945</v>
      </c>
      <c r="BO101">
        <v>19379</v>
      </c>
      <c r="BP101">
        <v>19830</v>
      </c>
      <c r="BQ101">
        <v>20283</v>
      </c>
      <c r="BR101">
        <v>20698</v>
      </c>
      <c r="BS101">
        <v>21103</v>
      </c>
      <c r="BT101">
        <v>21563</v>
      </c>
      <c r="BU101">
        <v>22022</v>
      </c>
      <c r="BV101">
        <v>22461</v>
      </c>
      <c r="BW101">
        <v>22918</v>
      </c>
      <c r="BX101">
        <v>23373</v>
      </c>
      <c r="BY101">
        <v>23839</v>
      </c>
      <c r="BZ101">
        <v>24287</v>
      </c>
      <c r="CA101">
        <v>24754</v>
      </c>
      <c r="CB101" t="s">
        <v>218</v>
      </c>
      <c r="CC101" t="s">
        <v>218</v>
      </c>
      <c r="CD101" t="s">
        <v>218</v>
      </c>
      <c r="CE101" t="s">
        <v>218</v>
      </c>
      <c r="CF101" t="s">
        <v>218</v>
      </c>
      <c r="CG101" t="s">
        <v>218</v>
      </c>
      <c r="CH101" t="s">
        <v>218</v>
      </c>
      <c r="CI101" t="s">
        <v>218</v>
      </c>
      <c r="CJ101" t="s">
        <v>218</v>
      </c>
      <c r="CK101" t="s">
        <v>218</v>
      </c>
      <c r="CL101" t="s">
        <v>218</v>
      </c>
      <c r="CM101" t="s">
        <v>218</v>
      </c>
      <c r="CN101" t="s">
        <v>218</v>
      </c>
      <c r="CO101" t="s">
        <v>218</v>
      </c>
      <c r="CP101" t="s">
        <v>218</v>
      </c>
      <c r="CQ101" t="s">
        <v>218</v>
      </c>
      <c r="CR101" t="s">
        <v>218</v>
      </c>
      <c r="CS101" t="s">
        <v>218</v>
      </c>
      <c r="CT101" t="s">
        <v>218</v>
      </c>
      <c r="CU101" t="s">
        <v>218</v>
      </c>
      <c r="CV101" t="s">
        <v>218</v>
      </c>
      <c r="CW101" t="s">
        <v>218</v>
      </c>
    </row>
    <row r="102" spans="1:101" x14ac:dyDescent="0.25">
      <c r="A102" t="s">
        <v>28</v>
      </c>
      <c r="B102">
        <v>1355</v>
      </c>
      <c r="C102">
        <v>1406</v>
      </c>
      <c r="D102">
        <v>1365</v>
      </c>
      <c r="E102">
        <v>1424</v>
      </c>
      <c r="F102">
        <v>1435</v>
      </c>
      <c r="G102">
        <v>1376</v>
      </c>
      <c r="H102">
        <v>1402</v>
      </c>
      <c r="I102">
        <v>1344</v>
      </c>
      <c r="J102">
        <v>1441</v>
      </c>
      <c r="K102">
        <v>1451</v>
      </c>
      <c r="L102">
        <v>1538</v>
      </c>
      <c r="M102">
        <v>1591</v>
      </c>
      <c r="N102">
        <v>1658</v>
      </c>
      <c r="O102">
        <v>1760</v>
      </c>
      <c r="P102">
        <v>1886</v>
      </c>
      <c r="Q102">
        <v>1812</v>
      </c>
      <c r="R102">
        <v>1919</v>
      </c>
      <c r="S102">
        <v>2113</v>
      </c>
      <c r="T102">
        <v>2184</v>
      </c>
      <c r="U102">
        <v>2464</v>
      </c>
      <c r="V102">
        <v>2719</v>
      </c>
      <c r="W102">
        <v>2753</v>
      </c>
      <c r="X102">
        <v>2947</v>
      </c>
      <c r="Y102">
        <v>3280</v>
      </c>
      <c r="Z102">
        <v>3253</v>
      </c>
      <c r="AA102">
        <v>3568</v>
      </c>
      <c r="AB102">
        <v>3677</v>
      </c>
      <c r="AC102">
        <v>3836</v>
      </c>
      <c r="AD102">
        <v>3961</v>
      </c>
      <c r="AE102">
        <v>4207</v>
      </c>
      <c r="AF102">
        <v>4469</v>
      </c>
      <c r="AG102">
        <v>4765</v>
      </c>
      <c r="AH102">
        <v>5030</v>
      </c>
      <c r="AI102">
        <v>5324</v>
      </c>
      <c r="AJ102">
        <v>5651</v>
      </c>
      <c r="AK102">
        <v>5953</v>
      </c>
      <c r="AL102">
        <v>6238</v>
      </c>
      <c r="AM102">
        <v>6557</v>
      </c>
      <c r="AN102">
        <v>6901</v>
      </c>
      <c r="AO102">
        <v>7083</v>
      </c>
      <c r="AP102">
        <v>7407</v>
      </c>
      <c r="AQ102">
        <v>7607</v>
      </c>
      <c r="AR102">
        <v>7819</v>
      </c>
      <c r="AS102">
        <v>8108</v>
      </c>
      <c r="AT102">
        <v>8215</v>
      </c>
      <c r="AU102">
        <v>8429</v>
      </c>
      <c r="AV102">
        <v>9139</v>
      </c>
      <c r="AW102">
        <v>9479</v>
      </c>
      <c r="AX102">
        <v>9821</v>
      </c>
      <c r="AY102">
        <v>10125</v>
      </c>
      <c r="AZ102">
        <v>10409</v>
      </c>
      <c r="BA102">
        <v>10726</v>
      </c>
      <c r="BB102">
        <v>11022</v>
      </c>
      <c r="BC102">
        <v>11316</v>
      </c>
      <c r="BD102">
        <v>11658</v>
      </c>
      <c r="BE102">
        <v>11962</v>
      </c>
      <c r="BF102">
        <v>12353</v>
      </c>
      <c r="BG102">
        <v>12692</v>
      </c>
      <c r="BH102">
        <v>13078</v>
      </c>
      <c r="BI102">
        <v>13394</v>
      </c>
      <c r="BJ102">
        <v>13741</v>
      </c>
      <c r="BK102">
        <v>14111</v>
      </c>
      <c r="BL102">
        <v>14490</v>
      </c>
      <c r="BM102">
        <v>14872</v>
      </c>
      <c r="BN102">
        <v>15241</v>
      </c>
      <c r="BO102">
        <v>15615</v>
      </c>
      <c r="BP102">
        <v>16004</v>
      </c>
      <c r="BQ102">
        <v>16395</v>
      </c>
      <c r="BR102">
        <v>16757</v>
      </c>
      <c r="BS102">
        <v>17111</v>
      </c>
      <c r="BT102">
        <v>17511</v>
      </c>
      <c r="BU102">
        <v>17911</v>
      </c>
      <c r="BV102">
        <v>18296</v>
      </c>
      <c r="BW102">
        <v>18696</v>
      </c>
      <c r="BX102">
        <v>19096</v>
      </c>
      <c r="BY102">
        <v>19505</v>
      </c>
      <c r="BZ102">
        <v>19901</v>
      </c>
      <c r="CA102" t="s">
        <v>218</v>
      </c>
      <c r="CB102" t="s">
        <v>218</v>
      </c>
      <c r="CC102" t="s">
        <v>218</v>
      </c>
      <c r="CD102" t="s">
        <v>218</v>
      </c>
      <c r="CE102" t="s">
        <v>218</v>
      </c>
      <c r="CF102" t="s">
        <v>218</v>
      </c>
      <c r="CG102" t="s">
        <v>218</v>
      </c>
      <c r="CH102" t="s">
        <v>218</v>
      </c>
      <c r="CI102" t="s">
        <v>218</v>
      </c>
      <c r="CJ102" t="s">
        <v>218</v>
      </c>
      <c r="CK102" t="s">
        <v>218</v>
      </c>
      <c r="CL102" t="s">
        <v>218</v>
      </c>
      <c r="CM102" t="s">
        <v>218</v>
      </c>
      <c r="CN102" t="s">
        <v>218</v>
      </c>
      <c r="CO102" t="s">
        <v>218</v>
      </c>
      <c r="CP102" t="s">
        <v>218</v>
      </c>
      <c r="CQ102" t="s">
        <v>218</v>
      </c>
      <c r="CR102" t="s">
        <v>218</v>
      </c>
      <c r="CS102" t="s">
        <v>218</v>
      </c>
      <c r="CT102" t="s">
        <v>218</v>
      </c>
      <c r="CU102" t="s">
        <v>218</v>
      </c>
      <c r="CV102" t="s">
        <v>218</v>
      </c>
      <c r="CW102" t="s">
        <v>218</v>
      </c>
    </row>
    <row r="103" spans="1:101" x14ac:dyDescent="0.25">
      <c r="A103" t="s">
        <v>27</v>
      </c>
      <c r="B103">
        <v>945</v>
      </c>
      <c r="C103">
        <v>974</v>
      </c>
      <c r="D103">
        <v>966</v>
      </c>
      <c r="E103">
        <v>1025</v>
      </c>
      <c r="F103">
        <v>1011</v>
      </c>
      <c r="G103">
        <v>960</v>
      </c>
      <c r="H103">
        <v>1009</v>
      </c>
      <c r="I103">
        <v>943</v>
      </c>
      <c r="J103">
        <v>992</v>
      </c>
      <c r="K103">
        <v>1032</v>
      </c>
      <c r="L103">
        <v>1093</v>
      </c>
      <c r="M103">
        <v>1109</v>
      </c>
      <c r="N103">
        <v>1180</v>
      </c>
      <c r="O103">
        <v>1249</v>
      </c>
      <c r="P103">
        <v>1363</v>
      </c>
      <c r="Q103">
        <v>1307</v>
      </c>
      <c r="R103">
        <v>1437</v>
      </c>
      <c r="S103">
        <v>1488</v>
      </c>
      <c r="T103">
        <v>1575</v>
      </c>
      <c r="U103">
        <v>1836</v>
      </c>
      <c r="V103">
        <v>1961</v>
      </c>
      <c r="W103">
        <v>1953</v>
      </c>
      <c r="X103">
        <v>2151</v>
      </c>
      <c r="Y103">
        <v>2343</v>
      </c>
      <c r="Z103">
        <v>2350</v>
      </c>
      <c r="AA103">
        <v>2543</v>
      </c>
      <c r="AB103">
        <v>2672</v>
      </c>
      <c r="AC103">
        <v>2805</v>
      </c>
      <c r="AD103">
        <v>2907</v>
      </c>
      <c r="AE103">
        <v>3093</v>
      </c>
      <c r="AF103">
        <v>3292</v>
      </c>
      <c r="AG103">
        <v>3517</v>
      </c>
      <c r="AH103">
        <v>3720</v>
      </c>
      <c r="AI103">
        <v>3945</v>
      </c>
      <c r="AJ103">
        <v>4195</v>
      </c>
      <c r="AK103">
        <v>4427</v>
      </c>
      <c r="AL103">
        <v>4648</v>
      </c>
      <c r="AM103">
        <v>4894</v>
      </c>
      <c r="AN103">
        <v>5159</v>
      </c>
      <c r="AO103">
        <v>5305</v>
      </c>
      <c r="AP103">
        <v>5558</v>
      </c>
      <c r="AQ103">
        <v>5719</v>
      </c>
      <c r="AR103">
        <v>5889</v>
      </c>
      <c r="AS103">
        <v>6118</v>
      </c>
      <c r="AT103">
        <v>6210</v>
      </c>
      <c r="AU103">
        <v>6382</v>
      </c>
      <c r="AV103">
        <v>6932</v>
      </c>
      <c r="AW103">
        <v>7203</v>
      </c>
      <c r="AX103">
        <v>7476</v>
      </c>
      <c r="AY103">
        <v>7721</v>
      </c>
      <c r="AZ103">
        <v>7951</v>
      </c>
      <c r="BA103">
        <v>8208</v>
      </c>
      <c r="BB103">
        <v>8449</v>
      </c>
      <c r="BC103">
        <v>8689</v>
      </c>
      <c r="BD103">
        <v>8967</v>
      </c>
      <c r="BE103">
        <v>9216</v>
      </c>
      <c r="BF103">
        <v>9534</v>
      </c>
      <c r="BG103">
        <v>9812</v>
      </c>
      <c r="BH103">
        <v>10127</v>
      </c>
      <c r="BI103">
        <v>10389</v>
      </c>
      <c r="BJ103">
        <v>10676</v>
      </c>
      <c r="BK103">
        <v>10981</v>
      </c>
      <c r="BL103">
        <v>11295</v>
      </c>
      <c r="BM103">
        <v>11612</v>
      </c>
      <c r="BN103">
        <v>11919</v>
      </c>
      <c r="BO103">
        <v>12231</v>
      </c>
      <c r="BP103">
        <v>12555</v>
      </c>
      <c r="BQ103">
        <v>12883</v>
      </c>
      <c r="BR103">
        <v>13188</v>
      </c>
      <c r="BS103">
        <v>13487</v>
      </c>
      <c r="BT103">
        <v>13824</v>
      </c>
      <c r="BU103">
        <v>14162</v>
      </c>
      <c r="BV103">
        <v>14488</v>
      </c>
      <c r="BW103">
        <v>14827</v>
      </c>
      <c r="BX103">
        <v>15167</v>
      </c>
      <c r="BY103">
        <v>15516</v>
      </c>
      <c r="BZ103" t="s">
        <v>218</v>
      </c>
      <c r="CA103" t="s">
        <v>218</v>
      </c>
      <c r="CB103" t="s">
        <v>218</v>
      </c>
      <c r="CC103" t="s">
        <v>218</v>
      </c>
      <c r="CD103" t="s">
        <v>218</v>
      </c>
      <c r="CE103" t="s">
        <v>218</v>
      </c>
      <c r="CF103" t="s">
        <v>218</v>
      </c>
      <c r="CG103" t="s">
        <v>218</v>
      </c>
      <c r="CH103" t="s">
        <v>218</v>
      </c>
      <c r="CI103" t="s">
        <v>218</v>
      </c>
      <c r="CJ103" t="s">
        <v>218</v>
      </c>
      <c r="CK103" t="s">
        <v>218</v>
      </c>
      <c r="CL103" t="s">
        <v>218</v>
      </c>
      <c r="CM103" t="s">
        <v>218</v>
      </c>
      <c r="CN103" t="s">
        <v>218</v>
      </c>
      <c r="CO103" t="s">
        <v>218</v>
      </c>
      <c r="CP103" t="s">
        <v>218</v>
      </c>
      <c r="CQ103" t="s">
        <v>218</v>
      </c>
      <c r="CR103" t="s">
        <v>218</v>
      </c>
      <c r="CS103" t="s">
        <v>218</v>
      </c>
      <c r="CT103" t="s">
        <v>218</v>
      </c>
      <c r="CU103" t="s">
        <v>218</v>
      </c>
      <c r="CV103" t="s">
        <v>218</v>
      </c>
      <c r="CW103" t="s">
        <v>218</v>
      </c>
    </row>
    <row r="104" spans="1:101" x14ac:dyDescent="0.25">
      <c r="A104" t="s">
        <v>26</v>
      </c>
      <c r="B104">
        <v>669</v>
      </c>
      <c r="C104">
        <v>643</v>
      </c>
      <c r="D104">
        <v>657</v>
      </c>
      <c r="E104">
        <v>701</v>
      </c>
      <c r="F104">
        <v>683</v>
      </c>
      <c r="G104">
        <v>624</v>
      </c>
      <c r="H104">
        <v>698</v>
      </c>
      <c r="I104">
        <v>635</v>
      </c>
      <c r="J104">
        <v>680</v>
      </c>
      <c r="K104">
        <v>684</v>
      </c>
      <c r="L104">
        <v>747</v>
      </c>
      <c r="M104">
        <v>763</v>
      </c>
      <c r="N104">
        <v>796</v>
      </c>
      <c r="O104">
        <v>884</v>
      </c>
      <c r="P104">
        <v>934</v>
      </c>
      <c r="Q104">
        <v>913</v>
      </c>
      <c r="R104">
        <v>990</v>
      </c>
      <c r="S104">
        <v>1048</v>
      </c>
      <c r="T104">
        <v>1106</v>
      </c>
      <c r="U104">
        <v>1288</v>
      </c>
      <c r="V104">
        <v>1354</v>
      </c>
      <c r="W104">
        <v>1336</v>
      </c>
      <c r="X104">
        <v>1479</v>
      </c>
      <c r="Y104">
        <v>1636</v>
      </c>
      <c r="Z104">
        <v>1617</v>
      </c>
      <c r="AA104">
        <v>1788</v>
      </c>
      <c r="AB104">
        <v>1892</v>
      </c>
      <c r="AC104">
        <v>1993</v>
      </c>
      <c r="AD104">
        <v>2069</v>
      </c>
      <c r="AE104">
        <v>2205</v>
      </c>
      <c r="AF104">
        <v>2351</v>
      </c>
      <c r="AG104">
        <v>2517</v>
      </c>
      <c r="AH104">
        <v>2667</v>
      </c>
      <c r="AI104">
        <v>2833</v>
      </c>
      <c r="AJ104">
        <v>3018</v>
      </c>
      <c r="AK104">
        <v>3190</v>
      </c>
      <c r="AL104">
        <v>3355</v>
      </c>
      <c r="AM104">
        <v>3539</v>
      </c>
      <c r="AN104">
        <v>3737</v>
      </c>
      <c r="AO104">
        <v>3850</v>
      </c>
      <c r="AP104">
        <v>4040</v>
      </c>
      <c r="AQ104">
        <v>4165</v>
      </c>
      <c r="AR104">
        <v>4296</v>
      </c>
      <c r="AS104">
        <v>4471</v>
      </c>
      <c r="AT104">
        <v>4546</v>
      </c>
      <c r="AU104">
        <v>4680</v>
      </c>
      <c r="AV104">
        <v>5092</v>
      </c>
      <c r="AW104">
        <v>5300</v>
      </c>
      <c r="AX104">
        <v>5511</v>
      </c>
      <c r="AY104">
        <v>5701</v>
      </c>
      <c r="AZ104">
        <v>5881</v>
      </c>
      <c r="BA104">
        <v>6081</v>
      </c>
      <c r="BB104">
        <v>6270</v>
      </c>
      <c r="BC104">
        <v>6460</v>
      </c>
      <c r="BD104">
        <v>6678</v>
      </c>
      <c r="BE104">
        <v>6874</v>
      </c>
      <c r="BF104">
        <v>7123</v>
      </c>
      <c r="BG104">
        <v>7343</v>
      </c>
      <c r="BH104">
        <v>7592</v>
      </c>
      <c r="BI104">
        <v>7801</v>
      </c>
      <c r="BJ104">
        <v>8029</v>
      </c>
      <c r="BK104">
        <v>8272</v>
      </c>
      <c r="BL104">
        <v>8522</v>
      </c>
      <c r="BM104">
        <v>8775</v>
      </c>
      <c r="BN104">
        <v>9021</v>
      </c>
      <c r="BO104">
        <v>9272</v>
      </c>
      <c r="BP104">
        <v>9533</v>
      </c>
      <c r="BQ104">
        <v>9797</v>
      </c>
      <c r="BR104">
        <v>10045</v>
      </c>
      <c r="BS104">
        <v>10289</v>
      </c>
      <c r="BT104">
        <v>10562</v>
      </c>
      <c r="BU104">
        <v>10837</v>
      </c>
      <c r="BV104">
        <v>11103</v>
      </c>
      <c r="BW104">
        <v>11380</v>
      </c>
      <c r="BX104">
        <v>11659</v>
      </c>
      <c r="BY104" t="s">
        <v>218</v>
      </c>
      <c r="BZ104" t="s">
        <v>218</v>
      </c>
      <c r="CA104" t="s">
        <v>218</v>
      </c>
      <c r="CB104" t="s">
        <v>218</v>
      </c>
      <c r="CC104" t="s">
        <v>218</v>
      </c>
      <c r="CD104" t="s">
        <v>218</v>
      </c>
      <c r="CE104" t="s">
        <v>218</v>
      </c>
      <c r="CF104" t="s">
        <v>218</v>
      </c>
      <c r="CG104" t="s">
        <v>218</v>
      </c>
      <c r="CH104" t="s">
        <v>218</v>
      </c>
      <c r="CI104" t="s">
        <v>218</v>
      </c>
      <c r="CJ104" t="s">
        <v>218</v>
      </c>
      <c r="CK104" t="s">
        <v>218</v>
      </c>
      <c r="CL104" t="s">
        <v>218</v>
      </c>
      <c r="CM104" t="s">
        <v>218</v>
      </c>
      <c r="CN104" t="s">
        <v>218</v>
      </c>
      <c r="CO104" t="s">
        <v>218</v>
      </c>
      <c r="CP104" t="s">
        <v>218</v>
      </c>
      <c r="CQ104" t="s">
        <v>218</v>
      </c>
      <c r="CR104" t="s">
        <v>218</v>
      </c>
      <c r="CS104" t="s">
        <v>218</v>
      </c>
      <c r="CT104" t="s">
        <v>218</v>
      </c>
      <c r="CU104" t="s">
        <v>218</v>
      </c>
      <c r="CV104" t="s">
        <v>218</v>
      </c>
      <c r="CW104" t="s">
        <v>218</v>
      </c>
    </row>
    <row r="105" spans="1:101" x14ac:dyDescent="0.25">
      <c r="A105" t="s">
        <v>25</v>
      </c>
      <c r="B105">
        <v>440</v>
      </c>
      <c r="C105">
        <v>439</v>
      </c>
      <c r="D105">
        <v>413</v>
      </c>
      <c r="E105">
        <v>487</v>
      </c>
      <c r="F105">
        <v>455</v>
      </c>
      <c r="G105">
        <v>401</v>
      </c>
      <c r="H105">
        <v>463</v>
      </c>
      <c r="I105">
        <v>412</v>
      </c>
      <c r="J105">
        <v>471</v>
      </c>
      <c r="K105">
        <v>475</v>
      </c>
      <c r="L105">
        <v>499</v>
      </c>
      <c r="M105">
        <v>508</v>
      </c>
      <c r="N105">
        <v>543</v>
      </c>
      <c r="O105">
        <v>621</v>
      </c>
      <c r="P105">
        <v>651</v>
      </c>
      <c r="Q105">
        <v>634</v>
      </c>
      <c r="R105">
        <v>658</v>
      </c>
      <c r="S105">
        <v>726</v>
      </c>
      <c r="T105">
        <v>760</v>
      </c>
      <c r="U105">
        <v>902</v>
      </c>
      <c r="V105">
        <v>899</v>
      </c>
      <c r="W105">
        <v>912</v>
      </c>
      <c r="X105">
        <v>1027</v>
      </c>
      <c r="Y105">
        <v>1085</v>
      </c>
      <c r="Z105">
        <v>1096</v>
      </c>
      <c r="AA105">
        <v>1222</v>
      </c>
      <c r="AB105">
        <v>1298</v>
      </c>
      <c r="AC105">
        <v>1369</v>
      </c>
      <c r="AD105">
        <v>1423</v>
      </c>
      <c r="AE105">
        <v>1519</v>
      </c>
      <c r="AF105">
        <v>1623</v>
      </c>
      <c r="AG105">
        <v>1740</v>
      </c>
      <c r="AH105">
        <v>1848</v>
      </c>
      <c r="AI105">
        <v>1966</v>
      </c>
      <c r="AJ105">
        <v>2097</v>
      </c>
      <c r="AK105">
        <v>2220</v>
      </c>
      <c r="AL105">
        <v>2339</v>
      </c>
      <c r="AM105">
        <v>2471</v>
      </c>
      <c r="AN105">
        <v>2614</v>
      </c>
      <c r="AO105">
        <v>2697</v>
      </c>
      <c r="AP105">
        <v>2835</v>
      </c>
      <c r="AQ105">
        <v>2927</v>
      </c>
      <c r="AR105">
        <v>3025</v>
      </c>
      <c r="AS105">
        <v>3153</v>
      </c>
      <c r="AT105">
        <v>3211</v>
      </c>
      <c r="AU105">
        <v>3312</v>
      </c>
      <c r="AV105">
        <v>3609</v>
      </c>
      <c r="AW105">
        <v>3763</v>
      </c>
      <c r="AX105">
        <v>3918</v>
      </c>
      <c r="AY105">
        <v>4060</v>
      </c>
      <c r="AZ105">
        <v>4196</v>
      </c>
      <c r="BA105">
        <v>4346</v>
      </c>
      <c r="BB105">
        <v>4488</v>
      </c>
      <c r="BC105">
        <v>4631</v>
      </c>
      <c r="BD105">
        <v>4795</v>
      </c>
      <c r="BE105">
        <v>4944</v>
      </c>
      <c r="BF105">
        <v>5131</v>
      </c>
      <c r="BG105">
        <v>5298</v>
      </c>
      <c r="BH105">
        <v>5486</v>
      </c>
      <c r="BI105">
        <v>5646</v>
      </c>
      <c r="BJ105">
        <v>5821</v>
      </c>
      <c r="BK105">
        <v>6006</v>
      </c>
      <c r="BL105">
        <v>6198</v>
      </c>
      <c r="BM105">
        <v>6391</v>
      </c>
      <c r="BN105">
        <v>6581</v>
      </c>
      <c r="BO105">
        <v>6775</v>
      </c>
      <c r="BP105">
        <v>6976</v>
      </c>
      <c r="BQ105">
        <v>7180</v>
      </c>
      <c r="BR105">
        <v>7373</v>
      </c>
      <c r="BS105">
        <v>7563</v>
      </c>
      <c r="BT105">
        <v>7776</v>
      </c>
      <c r="BU105">
        <v>7990</v>
      </c>
      <c r="BV105">
        <v>8199</v>
      </c>
      <c r="BW105">
        <v>8416</v>
      </c>
      <c r="BX105" t="s">
        <v>218</v>
      </c>
      <c r="BY105" t="s">
        <v>218</v>
      </c>
      <c r="BZ105" t="s">
        <v>218</v>
      </c>
      <c r="CA105" t="s">
        <v>218</v>
      </c>
      <c r="CB105" t="s">
        <v>218</v>
      </c>
      <c r="CC105" t="s">
        <v>218</v>
      </c>
      <c r="CD105" t="s">
        <v>218</v>
      </c>
      <c r="CE105" t="s">
        <v>218</v>
      </c>
      <c r="CF105" t="s">
        <v>218</v>
      </c>
      <c r="CG105" t="s">
        <v>218</v>
      </c>
      <c r="CH105" t="s">
        <v>218</v>
      </c>
      <c r="CI105" t="s">
        <v>218</v>
      </c>
      <c r="CJ105" t="s">
        <v>218</v>
      </c>
      <c r="CK105" t="s">
        <v>218</v>
      </c>
      <c r="CL105" t="s">
        <v>218</v>
      </c>
      <c r="CM105" t="s">
        <v>218</v>
      </c>
      <c r="CN105" t="s">
        <v>218</v>
      </c>
      <c r="CO105" t="s">
        <v>218</v>
      </c>
      <c r="CP105" t="s">
        <v>218</v>
      </c>
      <c r="CQ105" t="s">
        <v>218</v>
      </c>
      <c r="CR105" t="s">
        <v>218</v>
      </c>
      <c r="CS105" t="s">
        <v>218</v>
      </c>
      <c r="CT105" t="s">
        <v>218</v>
      </c>
      <c r="CU105" t="s">
        <v>218</v>
      </c>
      <c r="CV105" t="s">
        <v>218</v>
      </c>
      <c r="CW105" t="s">
        <v>218</v>
      </c>
    </row>
    <row r="106" spans="1:101" x14ac:dyDescent="0.25">
      <c r="A106" t="s">
        <v>24</v>
      </c>
      <c r="B106">
        <v>283</v>
      </c>
      <c r="C106">
        <v>280</v>
      </c>
      <c r="D106">
        <v>256</v>
      </c>
      <c r="E106">
        <v>310</v>
      </c>
      <c r="F106">
        <v>283</v>
      </c>
      <c r="G106">
        <v>256</v>
      </c>
      <c r="H106">
        <v>296</v>
      </c>
      <c r="I106">
        <v>245</v>
      </c>
      <c r="J106">
        <v>314</v>
      </c>
      <c r="K106">
        <v>330</v>
      </c>
      <c r="L106">
        <v>334</v>
      </c>
      <c r="M106">
        <v>344</v>
      </c>
      <c r="N106">
        <v>351</v>
      </c>
      <c r="O106">
        <v>411</v>
      </c>
      <c r="P106">
        <v>404</v>
      </c>
      <c r="Q106">
        <v>403</v>
      </c>
      <c r="R106">
        <v>429</v>
      </c>
      <c r="S106">
        <v>469</v>
      </c>
      <c r="T106">
        <v>512</v>
      </c>
      <c r="U106">
        <v>583</v>
      </c>
      <c r="V106">
        <v>595</v>
      </c>
      <c r="W106">
        <v>589</v>
      </c>
      <c r="X106">
        <v>654</v>
      </c>
      <c r="Y106">
        <v>709</v>
      </c>
      <c r="Z106">
        <v>722</v>
      </c>
      <c r="AA106">
        <v>807</v>
      </c>
      <c r="AB106">
        <v>859</v>
      </c>
      <c r="AC106">
        <v>908</v>
      </c>
      <c r="AD106">
        <v>945</v>
      </c>
      <c r="AE106">
        <v>1010</v>
      </c>
      <c r="AF106">
        <v>1081</v>
      </c>
      <c r="AG106">
        <v>1161</v>
      </c>
      <c r="AH106">
        <v>1235</v>
      </c>
      <c r="AI106">
        <v>1316</v>
      </c>
      <c r="AJ106">
        <v>1405</v>
      </c>
      <c r="AK106">
        <v>1491</v>
      </c>
      <c r="AL106">
        <v>1573</v>
      </c>
      <c r="AM106">
        <v>1664</v>
      </c>
      <c r="AN106">
        <v>1763</v>
      </c>
      <c r="AO106">
        <v>1822</v>
      </c>
      <c r="AP106">
        <v>1919</v>
      </c>
      <c r="AQ106">
        <v>1985</v>
      </c>
      <c r="AR106">
        <v>2054</v>
      </c>
      <c r="AS106">
        <v>2145</v>
      </c>
      <c r="AT106">
        <v>2188</v>
      </c>
      <c r="AU106">
        <v>2260</v>
      </c>
      <c r="AV106">
        <v>2467</v>
      </c>
      <c r="AW106">
        <v>2576</v>
      </c>
      <c r="AX106">
        <v>2688</v>
      </c>
      <c r="AY106">
        <v>2790</v>
      </c>
      <c r="AZ106">
        <v>2887</v>
      </c>
      <c r="BA106">
        <v>2995</v>
      </c>
      <c r="BB106">
        <v>3098</v>
      </c>
      <c r="BC106">
        <v>3202</v>
      </c>
      <c r="BD106">
        <v>3321</v>
      </c>
      <c r="BE106">
        <v>3430</v>
      </c>
      <c r="BF106">
        <v>3566</v>
      </c>
      <c r="BG106">
        <v>3688</v>
      </c>
      <c r="BH106">
        <v>3825</v>
      </c>
      <c r="BI106">
        <v>3942</v>
      </c>
      <c r="BJ106">
        <v>4071</v>
      </c>
      <c r="BK106">
        <v>4207</v>
      </c>
      <c r="BL106">
        <v>4348</v>
      </c>
      <c r="BM106">
        <v>4491</v>
      </c>
      <c r="BN106">
        <v>4632</v>
      </c>
      <c r="BO106">
        <v>4775</v>
      </c>
      <c r="BP106">
        <v>4925</v>
      </c>
      <c r="BQ106">
        <v>5077</v>
      </c>
      <c r="BR106">
        <v>5221</v>
      </c>
      <c r="BS106">
        <v>5364</v>
      </c>
      <c r="BT106">
        <v>5523</v>
      </c>
      <c r="BU106">
        <v>5684</v>
      </c>
      <c r="BV106">
        <v>5842</v>
      </c>
      <c r="BW106" t="s">
        <v>218</v>
      </c>
      <c r="BX106" t="s">
        <v>218</v>
      </c>
      <c r="BY106" t="s">
        <v>218</v>
      </c>
      <c r="BZ106" t="s">
        <v>218</v>
      </c>
      <c r="CA106" t="s">
        <v>218</v>
      </c>
      <c r="CB106" t="s">
        <v>218</v>
      </c>
      <c r="CC106" t="s">
        <v>218</v>
      </c>
      <c r="CD106" t="s">
        <v>218</v>
      </c>
      <c r="CE106" t="s">
        <v>218</v>
      </c>
      <c r="CF106" t="s">
        <v>218</v>
      </c>
      <c r="CG106" t="s">
        <v>218</v>
      </c>
      <c r="CH106" t="s">
        <v>218</v>
      </c>
      <c r="CI106" t="s">
        <v>218</v>
      </c>
      <c r="CJ106" t="s">
        <v>218</v>
      </c>
      <c r="CK106" t="s">
        <v>218</v>
      </c>
      <c r="CL106" t="s">
        <v>218</v>
      </c>
      <c r="CM106" t="s">
        <v>218</v>
      </c>
      <c r="CN106" t="s">
        <v>218</v>
      </c>
      <c r="CO106" t="s">
        <v>218</v>
      </c>
      <c r="CP106" t="s">
        <v>218</v>
      </c>
      <c r="CQ106" t="s">
        <v>218</v>
      </c>
      <c r="CR106" t="s">
        <v>218</v>
      </c>
      <c r="CS106" t="s">
        <v>218</v>
      </c>
      <c r="CT106" t="s">
        <v>218</v>
      </c>
      <c r="CU106" t="s">
        <v>218</v>
      </c>
      <c r="CV106" t="s">
        <v>218</v>
      </c>
      <c r="CW106" t="s">
        <v>218</v>
      </c>
    </row>
    <row r="107" spans="1:101" x14ac:dyDescent="0.25">
      <c r="A107" t="s">
        <v>17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98800-38B8-4C1C-BF9F-BBDB3A5D4932}">
  <sheetPr>
    <tabColor theme="0" tint="-0.499984740745262"/>
  </sheetPr>
  <dimension ref="A1:CW107"/>
  <sheetViews>
    <sheetView workbookViewId="0">
      <pane xSplit="1" ySplit="6" topLeftCell="B7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sheetData>
    <row r="1" spans="1:101" x14ac:dyDescent="0.25">
      <c r="A1" t="s">
        <v>132</v>
      </c>
    </row>
    <row r="2" spans="1:101" x14ac:dyDescent="0.25">
      <c r="A2" t="s">
        <v>219</v>
      </c>
    </row>
    <row r="3" spans="1:101" x14ac:dyDescent="0.25">
      <c r="A3" t="s">
        <v>221</v>
      </c>
    </row>
    <row r="4" spans="1:101" x14ac:dyDescent="0.25">
      <c r="B4" t="s">
        <v>131</v>
      </c>
    </row>
    <row r="5" spans="1:101" x14ac:dyDescent="0.25">
      <c r="B5">
        <v>1900</v>
      </c>
      <c r="C5">
        <v>1901</v>
      </c>
      <c r="D5">
        <v>1902</v>
      </c>
      <c r="E5">
        <v>1903</v>
      </c>
      <c r="F5">
        <v>1904</v>
      </c>
      <c r="G5">
        <v>1905</v>
      </c>
      <c r="H5">
        <v>1906</v>
      </c>
      <c r="I5">
        <v>1907</v>
      </c>
      <c r="J5">
        <v>1908</v>
      </c>
      <c r="K5">
        <v>1909</v>
      </c>
      <c r="L5">
        <v>1910</v>
      </c>
      <c r="M5">
        <v>1911</v>
      </c>
      <c r="N5">
        <v>1912</v>
      </c>
      <c r="O5">
        <v>1913</v>
      </c>
      <c r="P5">
        <v>1914</v>
      </c>
      <c r="Q5">
        <v>1915</v>
      </c>
      <c r="R5">
        <v>1916</v>
      </c>
      <c r="S5">
        <v>1917</v>
      </c>
      <c r="T5">
        <v>1918</v>
      </c>
      <c r="U5">
        <v>1919</v>
      </c>
      <c r="V5">
        <v>1920</v>
      </c>
      <c r="W5">
        <v>1921</v>
      </c>
      <c r="X5">
        <v>1922</v>
      </c>
      <c r="Y5">
        <v>1923</v>
      </c>
      <c r="Z5">
        <v>1924</v>
      </c>
      <c r="AA5">
        <v>1925</v>
      </c>
      <c r="AB5">
        <v>1926</v>
      </c>
      <c r="AC5">
        <v>1927</v>
      </c>
      <c r="AD5">
        <v>1928</v>
      </c>
      <c r="AE5">
        <v>1929</v>
      </c>
      <c r="AF5">
        <v>1930</v>
      </c>
      <c r="AG5">
        <v>1931</v>
      </c>
      <c r="AH5">
        <v>1932</v>
      </c>
      <c r="AI5">
        <v>1933</v>
      </c>
      <c r="AJ5">
        <v>1934</v>
      </c>
      <c r="AK5">
        <v>1935</v>
      </c>
      <c r="AL5">
        <v>1936</v>
      </c>
      <c r="AM5">
        <v>1937</v>
      </c>
      <c r="AN5">
        <v>1938</v>
      </c>
      <c r="AO5">
        <v>1939</v>
      </c>
      <c r="AP5">
        <v>1940</v>
      </c>
      <c r="AQ5">
        <v>1941</v>
      </c>
      <c r="AR5">
        <v>1942</v>
      </c>
      <c r="AS5">
        <v>1943</v>
      </c>
      <c r="AT5">
        <v>1944</v>
      </c>
      <c r="AU5">
        <v>1945</v>
      </c>
      <c r="AV5">
        <v>1946</v>
      </c>
      <c r="AW5">
        <v>1947</v>
      </c>
      <c r="AX5">
        <v>1948</v>
      </c>
      <c r="AY5">
        <v>1949</v>
      </c>
      <c r="AZ5">
        <v>1950</v>
      </c>
      <c r="BA5">
        <v>1951</v>
      </c>
      <c r="BB5">
        <v>1952</v>
      </c>
      <c r="BC5">
        <v>1953</v>
      </c>
      <c r="BD5">
        <v>1954</v>
      </c>
      <c r="BE5">
        <v>1955</v>
      </c>
      <c r="BF5">
        <v>1956</v>
      </c>
      <c r="BG5">
        <v>1957</v>
      </c>
      <c r="BH5">
        <v>1958</v>
      </c>
      <c r="BI5">
        <v>1959</v>
      </c>
      <c r="BJ5">
        <v>1960</v>
      </c>
      <c r="BK5">
        <v>1961</v>
      </c>
      <c r="BL5">
        <v>1962</v>
      </c>
      <c r="BM5">
        <v>1963</v>
      </c>
      <c r="BN5">
        <v>1964</v>
      </c>
      <c r="BO5">
        <v>1965</v>
      </c>
      <c r="BP5">
        <v>1966</v>
      </c>
      <c r="BQ5">
        <v>1967</v>
      </c>
      <c r="BR5">
        <v>1968</v>
      </c>
      <c r="BS5">
        <v>1969</v>
      </c>
      <c r="BT5">
        <v>1970</v>
      </c>
      <c r="BU5">
        <v>1971</v>
      </c>
      <c r="BV5">
        <v>1972</v>
      </c>
      <c r="BW5">
        <v>1973</v>
      </c>
      <c r="BX5">
        <v>1974</v>
      </c>
      <c r="BY5">
        <v>1975</v>
      </c>
      <c r="BZ5">
        <v>1976</v>
      </c>
      <c r="CA5">
        <v>1977</v>
      </c>
      <c r="CB5">
        <v>1978</v>
      </c>
      <c r="CC5">
        <v>1979</v>
      </c>
      <c r="CD5">
        <v>1980</v>
      </c>
      <c r="CE5">
        <v>1981</v>
      </c>
      <c r="CF5">
        <v>1982</v>
      </c>
      <c r="CG5">
        <v>1983</v>
      </c>
      <c r="CH5">
        <v>1984</v>
      </c>
      <c r="CI5">
        <v>1985</v>
      </c>
      <c r="CJ5">
        <v>1986</v>
      </c>
      <c r="CK5">
        <v>1987</v>
      </c>
      <c r="CL5">
        <v>1988</v>
      </c>
      <c r="CM5">
        <v>1989</v>
      </c>
      <c r="CN5">
        <v>1990</v>
      </c>
      <c r="CO5">
        <v>1991</v>
      </c>
      <c r="CP5">
        <v>1992</v>
      </c>
      <c r="CQ5">
        <v>1993</v>
      </c>
      <c r="CR5">
        <v>1994</v>
      </c>
      <c r="CS5">
        <v>1995</v>
      </c>
      <c r="CT5">
        <v>1996</v>
      </c>
      <c r="CU5">
        <v>1997</v>
      </c>
      <c r="CV5">
        <v>1998</v>
      </c>
      <c r="CW5">
        <v>1999</v>
      </c>
    </row>
    <row r="6" spans="1:101" x14ac:dyDescent="0.25">
      <c r="A6" t="s">
        <v>125</v>
      </c>
      <c r="B6" t="s">
        <v>124</v>
      </c>
      <c r="C6" t="s">
        <v>124</v>
      </c>
      <c r="D6" t="s">
        <v>124</v>
      </c>
      <c r="E6" t="s">
        <v>124</v>
      </c>
      <c r="F6" t="s">
        <v>124</v>
      </c>
      <c r="G6" t="s">
        <v>124</v>
      </c>
      <c r="H6" t="s">
        <v>124</v>
      </c>
      <c r="I6" t="s">
        <v>124</v>
      </c>
      <c r="J6" t="s">
        <v>124</v>
      </c>
      <c r="K6" t="s">
        <v>124</v>
      </c>
      <c r="L6" t="s">
        <v>124</v>
      </c>
      <c r="M6" t="s">
        <v>124</v>
      </c>
      <c r="N6" t="s">
        <v>124</v>
      </c>
      <c r="O6" t="s">
        <v>124</v>
      </c>
      <c r="P6" t="s">
        <v>124</v>
      </c>
      <c r="Q6" t="s">
        <v>124</v>
      </c>
      <c r="R6" t="s">
        <v>124</v>
      </c>
      <c r="S6" t="s">
        <v>124</v>
      </c>
      <c r="T6" t="s">
        <v>124</v>
      </c>
      <c r="U6" t="s">
        <v>124</v>
      </c>
      <c r="V6" t="s">
        <v>124</v>
      </c>
      <c r="W6" t="s">
        <v>124</v>
      </c>
      <c r="X6" t="s">
        <v>124</v>
      </c>
      <c r="Y6" t="s">
        <v>124</v>
      </c>
      <c r="Z6" t="s">
        <v>124</v>
      </c>
      <c r="AA6" t="s">
        <v>124</v>
      </c>
      <c r="AB6" t="s">
        <v>124</v>
      </c>
      <c r="AC6" t="s">
        <v>124</v>
      </c>
      <c r="AD6" t="s">
        <v>124</v>
      </c>
      <c r="AE6" t="s">
        <v>124</v>
      </c>
      <c r="AF6" t="s">
        <v>124</v>
      </c>
      <c r="AG6" t="s">
        <v>124</v>
      </c>
      <c r="AH6" t="s">
        <v>124</v>
      </c>
      <c r="AI6" t="s">
        <v>124</v>
      </c>
      <c r="AJ6" t="s">
        <v>124</v>
      </c>
      <c r="AK6" t="s">
        <v>124</v>
      </c>
      <c r="AL6" t="s">
        <v>124</v>
      </c>
      <c r="AM6" t="s">
        <v>124</v>
      </c>
      <c r="AN6" t="s">
        <v>124</v>
      </c>
      <c r="AO6" t="s">
        <v>124</v>
      </c>
      <c r="AP6" t="s">
        <v>124</v>
      </c>
      <c r="AQ6" t="s">
        <v>124</v>
      </c>
      <c r="AR6" t="s">
        <v>124</v>
      </c>
      <c r="AS6" t="s">
        <v>124</v>
      </c>
      <c r="AT6" t="s">
        <v>124</v>
      </c>
      <c r="AU6" t="s">
        <v>124</v>
      </c>
      <c r="AV6" t="s">
        <v>124</v>
      </c>
      <c r="AW6" t="s">
        <v>124</v>
      </c>
      <c r="AX6" t="s">
        <v>124</v>
      </c>
      <c r="AY6" t="s">
        <v>124</v>
      </c>
      <c r="AZ6" t="s">
        <v>124</v>
      </c>
      <c r="BA6" t="s">
        <v>124</v>
      </c>
      <c r="BB6" t="s">
        <v>124</v>
      </c>
      <c r="BC6" t="s">
        <v>124</v>
      </c>
      <c r="BD6" t="s">
        <v>124</v>
      </c>
      <c r="BE6" t="s">
        <v>124</v>
      </c>
      <c r="BF6" t="s">
        <v>124</v>
      </c>
      <c r="BG6" t="s">
        <v>124</v>
      </c>
      <c r="BH6" t="s">
        <v>124</v>
      </c>
      <c r="BI6" t="s">
        <v>124</v>
      </c>
      <c r="BJ6" t="s">
        <v>124</v>
      </c>
      <c r="BK6" t="s">
        <v>124</v>
      </c>
      <c r="BL6" t="s">
        <v>124</v>
      </c>
      <c r="BM6" t="s">
        <v>124</v>
      </c>
      <c r="BN6" t="s">
        <v>124</v>
      </c>
      <c r="BO6" t="s">
        <v>124</v>
      </c>
      <c r="BP6" t="s">
        <v>124</v>
      </c>
      <c r="BQ6" t="s">
        <v>124</v>
      </c>
      <c r="BR6" t="s">
        <v>124</v>
      </c>
      <c r="BS6" t="s">
        <v>124</v>
      </c>
      <c r="BT6" t="s">
        <v>124</v>
      </c>
      <c r="BU6" t="s">
        <v>124</v>
      </c>
      <c r="BV6" t="s">
        <v>124</v>
      </c>
      <c r="BW6" t="s">
        <v>124</v>
      </c>
      <c r="BX6" t="s">
        <v>124</v>
      </c>
      <c r="BY6" t="s">
        <v>124</v>
      </c>
      <c r="BZ6" t="s">
        <v>124</v>
      </c>
      <c r="CA6" t="s">
        <v>124</v>
      </c>
      <c r="CB6" t="s">
        <v>124</v>
      </c>
      <c r="CC6" t="s">
        <v>124</v>
      </c>
      <c r="CD6" t="s">
        <v>124</v>
      </c>
      <c r="CE6" t="s">
        <v>124</v>
      </c>
      <c r="CF6" t="s">
        <v>124</v>
      </c>
      <c r="CG6" t="s">
        <v>124</v>
      </c>
      <c r="CH6" t="s">
        <v>124</v>
      </c>
      <c r="CI6" t="s">
        <v>124</v>
      </c>
      <c r="CJ6" t="s">
        <v>124</v>
      </c>
      <c r="CK6" t="s">
        <v>124</v>
      </c>
      <c r="CL6" t="s">
        <v>124</v>
      </c>
      <c r="CM6" t="s">
        <v>124</v>
      </c>
      <c r="CN6" t="s">
        <v>124</v>
      </c>
      <c r="CO6" t="s">
        <v>124</v>
      </c>
      <c r="CP6" t="s">
        <v>124</v>
      </c>
      <c r="CQ6" t="s">
        <v>124</v>
      </c>
      <c r="CR6" t="s">
        <v>124</v>
      </c>
      <c r="CS6" t="s">
        <v>124</v>
      </c>
      <c r="CT6" t="s">
        <v>124</v>
      </c>
      <c r="CU6" t="s">
        <v>124</v>
      </c>
      <c r="CV6" t="s">
        <v>124</v>
      </c>
      <c r="CW6" t="s">
        <v>124</v>
      </c>
    </row>
    <row r="7" spans="1:101" x14ac:dyDescent="0.25">
      <c r="A7" t="s">
        <v>123</v>
      </c>
      <c r="B7">
        <v>100000</v>
      </c>
      <c r="C7">
        <v>100000</v>
      </c>
      <c r="D7">
        <v>100000</v>
      </c>
      <c r="E7">
        <v>100000</v>
      </c>
      <c r="F7">
        <v>100000</v>
      </c>
      <c r="G7">
        <v>100000</v>
      </c>
      <c r="H7">
        <v>100000</v>
      </c>
      <c r="I7">
        <v>100000</v>
      </c>
      <c r="J7">
        <v>100000</v>
      </c>
      <c r="K7">
        <v>100000</v>
      </c>
      <c r="L7">
        <v>100000</v>
      </c>
      <c r="M7">
        <v>100000</v>
      </c>
      <c r="N7">
        <v>100000</v>
      </c>
      <c r="O7">
        <v>100000</v>
      </c>
      <c r="P7">
        <v>100000</v>
      </c>
      <c r="Q7">
        <v>100000</v>
      </c>
      <c r="R7">
        <v>100000</v>
      </c>
      <c r="S7">
        <v>100000</v>
      </c>
      <c r="T7">
        <v>100000</v>
      </c>
      <c r="U7">
        <v>100000</v>
      </c>
      <c r="V7">
        <v>100000</v>
      </c>
      <c r="W7">
        <v>100000</v>
      </c>
      <c r="X7">
        <v>100000</v>
      </c>
      <c r="Y7">
        <v>100000</v>
      </c>
      <c r="Z7">
        <v>100000</v>
      </c>
      <c r="AA7">
        <v>100000</v>
      </c>
      <c r="AB7">
        <v>100000</v>
      </c>
      <c r="AC7">
        <v>100000</v>
      </c>
      <c r="AD7">
        <v>100000</v>
      </c>
      <c r="AE7">
        <v>100000</v>
      </c>
      <c r="AF7">
        <v>100000</v>
      </c>
      <c r="AG7">
        <v>100000</v>
      </c>
      <c r="AH7">
        <v>100000</v>
      </c>
      <c r="AI7">
        <v>100000</v>
      </c>
      <c r="AJ7">
        <v>100000</v>
      </c>
      <c r="AK7">
        <v>100000</v>
      </c>
      <c r="AL7">
        <v>100000</v>
      </c>
      <c r="AM7">
        <v>100000</v>
      </c>
      <c r="AN7">
        <v>100000</v>
      </c>
      <c r="AO7">
        <v>100000</v>
      </c>
      <c r="AP7">
        <v>100000</v>
      </c>
      <c r="AQ7">
        <v>100000</v>
      </c>
      <c r="AR7">
        <v>100000</v>
      </c>
      <c r="AS7">
        <v>100000</v>
      </c>
      <c r="AT7">
        <v>100000</v>
      </c>
      <c r="AU7">
        <v>100000</v>
      </c>
      <c r="AV7">
        <v>100000</v>
      </c>
      <c r="AW7">
        <v>100000</v>
      </c>
      <c r="AX7">
        <v>100000</v>
      </c>
      <c r="AY7">
        <v>100000</v>
      </c>
      <c r="AZ7">
        <v>100000</v>
      </c>
      <c r="BA7">
        <v>100000</v>
      </c>
      <c r="BB7">
        <v>100000</v>
      </c>
      <c r="BC7">
        <v>100000</v>
      </c>
      <c r="BD7">
        <v>100000</v>
      </c>
      <c r="BE7">
        <v>100000</v>
      </c>
      <c r="BF7">
        <v>100000</v>
      </c>
      <c r="BG7">
        <v>100000</v>
      </c>
      <c r="BH7">
        <v>100000</v>
      </c>
      <c r="BI7">
        <v>100000</v>
      </c>
      <c r="BJ7">
        <v>100000</v>
      </c>
      <c r="BK7">
        <v>100000</v>
      </c>
      <c r="BL7">
        <v>100000</v>
      </c>
      <c r="BM7">
        <v>100000</v>
      </c>
      <c r="BN7">
        <v>100000</v>
      </c>
      <c r="BO7">
        <v>100000</v>
      </c>
      <c r="BP7">
        <v>100000</v>
      </c>
      <c r="BQ7">
        <v>100000</v>
      </c>
      <c r="BR7">
        <v>100000</v>
      </c>
      <c r="BS7">
        <v>100000</v>
      </c>
      <c r="BT7">
        <v>100000</v>
      </c>
      <c r="BU7">
        <v>100000</v>
      </c>
      <c r="BV7">
        <v>100000</v>
      </c>
      <c r="BW7">
        <v>100000</v>
      </c>
      <c r="BX7">
        <v>100000</v>
      </c>
      <c r="BY7">
        <v>100000</v>
      </c>
      <c r="BZ7">
        <v>100000</v>
      </c>
      <c r="CA7">
        <v>100000</v>
      </c>
      <c r="CB7">
        <v>100000</v>
      </c>
      <c r="CC7">
        <v>100000</v>
      </c>
      <c r="CD7">
        <v>100000</v>
      </c>
      <c r="CE7">
        <v>100000</v>
      </c>
      <c r="CF7">
        <v>100000</v>
      </c>
      <c r="CG7">
        <v>100000</v>
      </c>
      <c r="CH7">
        <v>100000</v>
      </c>
      <c r="CI7">
        <v>100000</v>
      </c>
      <c r="CJ7">
        <v>100000</v>
      </c>
      <c r="CK7">
        <v>100000</v>
      </c>
      <c r="CL7">
        <v>100000</v>
      </c>
      <c r="CM7">
        <v>100000</v>
      </c>
      <c r="CN7">
        <v>100000</v>
      </c>
      <c r="CO7">
        <v>100000</v>
      </c>
      <c r="CP7">
        <v>100000</v>
      </c>
      <c r="CQ7">
        <v>100000</v>
      </c>
      <c r="CR7">
        <v>100000</v>
      </c>
      <c r="CS7">
        <v>100000</v>
      </c>
      <c r="CT7">
        <v>100000</v>
      </c>
      <c r="CU7">
        <v>100000</v>
      </c>
      <c r="CV7">
        <v>100000</v>
      </c>
      <c r="CW7">
        <v>100000</v>
      </c>
    </row>
    <row r="8" spans="1:101" x14ac:dyDescent="0.25">
      <c r="A8" t="s">
        <v>122</v>
      </c>
      <c r="B8">
        <v>89315</v>
      </c>
      <c r="C8">
        <v>89898</v>
      </c>
      <c r="D8">
        <v>91369</v>
      </c>
      <c r="E8">
        <v>90580</v>
      </c>
      <c r="F8">
        <v>90463</v>
      </c>
      <c r="G8">
        <v>91092</v>
      </c>
      <c r="H8">
        <v>90847</v>
      </c>
      <c r="I8">
        <v>92197</v>
      </c>
      <c r="J8">
        <v>91677</v>
      </c>
      <c r="K8">
        <v>93100</v>
      </c>
      <c r="L8">
        <v>92553</v>
      </c>
      <c r="M8">
        <v>90385</v>
      </c>
      <c r="N8">
        <v>93902</v>
      </c>
      <c r="O8">
        <v>93374</v>
      </c>
      <c r="P8">
        <v>93235</v>
      </c>
      <c r="Q8">
        <v>93973</v>
      </c>
      <c r="R8">
        <v>94051</v>
      </c>
      <c r="S8">
        <v>93960</v>
      </c>
      <c r="T8">
        <v>93277</v>
      </c>
      <c r="U8">
        <v>94641</v>
      </c>
      <c r="V8">
        <v>94778</v>
      </c>
      <c r="W8">
        <v>94424</v>
      </c>
      <c r="X8">
        <v>95563</v>
      </c>
      <c r="Y8">
        <v>95934</v>
      </c>
      <c r="Z8">
        <v>96176</v>
      </c>
      <c r="AA8">
        <v>96454</v>
      </c>
      <c r="AB8">
        <v>96283</v>
      </c>
      <c r="AC8">
        <v>96500</v>
      </c>
      <c r="AD8">
        <v>96866</v>
      </c>
      <c r="AE8">
        <v>96620</v>
      </c>
      <c r="AF8">
        <v>96834</v>
      </c>
      <c r="AG8">
        <v>97078</v>
      </c>
      <c r="AH8">
        <v>97009</v>
      </c>
      <c r="AI8">
        <v>97145</v>
      </c>
      <c r="AJ8">
        <v>97207</v>
      </c>
      <c r="AK8">
        <v>97392</v>
      </c>
      <c r="AL8">
        <v>97427</v>
      </c>
      <c r="AM8">
        <v>97534</v>
      </c>
      <c r="AN8">
        <v>97560</v>
      </c>
      <c r="AO8">
        <v>97638</v>
      </c>
      <c r="AP8">
        <v>97530</v>
      </c>
      <c r="AQ8">
        <v>97315</v>
      </c>
      <c r="AR8">
        <v>97362</v>
      </c>
      <c r="AS8">
        <v>97166</v>
      </c>
      <c r="AT8">
        <v>96712</v>
      </c>
      <c r="AU8">
        <v>95005</v>
      </c>
      <c r="AV8">
        <v>97386</v>
      </c>
      <c r="AW8">
        <v>97736</v>
      </c>
      <c r="AX8">
        <v>97938</v>
      </c>
      <c r="AY8">
        <v>98104</v>
      </c>
      <c r="AZ8">
        <v>98088</v>
      </c>
      <c r="BA8">
        <v>98050</v>
      </c>
      <c r="BB8">
        <v>98173</v>
      </c>
      <c r="BC8">
        <v>98304</v>
      </c>
      <c r="BD8">
        <v>98296</v>
      </c>
      <c r="BE8">
        <v>98384</v>
      </c>
      <c r="BF8">
        <v>98502</v>
      </c>
      <c r="BG8">
        <v>98607</v>
      </c>
      <c r="BH8">
        <v>98582</v>
      </c>
      <c r="BI8">
        <v>98647</v>
      </c>
      <c r="BJ8">
        <v>98655</v>
      </c>
      <c r="BK8">
        <v>98715</v>
      </c>
      <c r="BL8">
        <v>98693</v>
      </c>
      <c r="BM8">
        <v>98813</v>
      </c>
      <c r="BN8">
        <v>98858</v>
      </c>
      <c r="BO8">
        <v>98850</v>
      </c>
      <c r="BP8">
        <v>98889</v>
      </c>
      <c r="BQ8">
        <v>98948</v>
      </c>
      <c r="BR8">
        <v>98988</v>
      </c>
      <c r="BS8">
        <v>99013</v>
      </c>
      <c r="BT8">
        <v>99032</v>
      </c>
      <c r="BU8">
        <v>99100</v>
      </c>
      <c r="BV8">
        <v>99126</v>
      </c>
      <c r="BW8">
        <v>99089</v>
      </c>
      <c r="BX8">
        <v>99136</v>
      </c>
      <c r="BY8">
        <v>99203</v>
      </c>
      <c r="BZ8">
        <v>99144</v>
      </c>
      <c r="CA8">
        <v>99312</v>
      </c>
      <c r="CB8">
        <v>99307</v>
      </c>
      <c r="CC8">
        <v>99358</v>
      </c>
      <c r="CD8">
        <v>99365</v>
      </c>
      <c r="CE8">
        <v>99386</v>
      </c>
      <c r="CF8">
        <v>99399</v>
      </c>
      <c r="CG8">
        <v>99361</v>
      </c>
      <c r="CH8">
        <v>99419</v>
      </c>
      <c r="CI8">
        <v>99405</v>
      </c>
      <c r="CJ8">
        <v>99421</v>
      </c>
      <c r="CK8">
        <v>99453</v>
      </c>
      <c r="CL8">
        <v>99522</v>
      </c>
      <c r="CM8">
        <v>99487</v>
      </c>
      <c r="CN8">
        <v>99476</v>
      </c>
      <c r="CO8">
        <v>99546</v>
      </c>
      <c r="CP8">
        <v>99501</v>
      </c>
      <c r="CQ8">
        <v>99527</v>
      </c>
      <c r="CR8">
        <v>99567</v>
      </c>
      <c r="CS8">
        <v>99607</v>
      </c>
      <c r="CT8">
        <v>99548</v>
      </c>
      <c r="CU8">
        <v>99595</v>
      </c>
      <c r="CV8">
        <v>99606</v>
      </c>
      <c r="CW8">
        <v>99551</v>
      </c>
    </row>
    <row r="9" spans="1:101" x14ac:dyDescent="0.25">
      <c r="A9" t="s">
        <v>121</v>
      </c>
      <c r="B9">
        <v>82615</v>
      </c>
      <c r="C9">
        <v>83681</v>
      </c>
      <c r="D9">
        <v>85757</v>
      </c>
      <c r="E9">
        <v>84389</v>
      </c>
      <c r="F9">
        <v>85046</v>
      </c>
      <c r="G9">
        <v>85780</v>
      </c>
      <c r="H9">
        <v>85838</v>
      </c>
      <c r="I9">
        <v>86569</v>
      </c>
      <c r="J9">
        <v>87284</v>
      </c>
      <c r="K9">
        <v>88255</v>
      </c>
      <c r="L9">
        <v>87002</v>
      </c>
      <c r="M9">
        <v>86384</v>
      </c>
      <c r="N9">
        <v>89967</v>
      </c>
      <c r="O9">
        <v>89273</v>
      </c>
      <c r="P9">
        <v>89274</v>
      </c>
      <c r="Q9">
        <v>89926</v>
      </c>
      <c r="R9">
        <v>90084</v>
      </c>
      <c r="S9">
        <v>88659</v>
      </c>
      <c r="T9">
        <v>88765</v>
      </c>
      <c r="U9">
        <v>91393</v>
      </c>
      <c r="V9">
        <v>91854</v>
      </c>
      <c r="W9">
        <v>91274</v>
      </c>
      <c r="X9">
        <v>92809</v>
      </c>
      <c r="Y9">
        <v>93779</v>
      </c>
      <c r="Z9">
        <v>93992</v>
      </c>
      <c r="AA9">
        <v>94055</v>
      </c>
      <c r="AB9">
        <v>94025</v>
      </c>
      <c r="AC9">
        <v>94607</v>
      </c>
      <c r="AD9">
        <v>94534</v>
      </c>
      <c r="AE9">
        <v>94817</v>
      </c>
      <c r="AF9">
        <v>95023</v>
      </c>
      <c r="AG9">
        <v>95655</v>
      </c>
      <c r="AH9">
        <v>95782</v>
      </c>
      <c r="AI9">
        <v>95863</v>
      </c>
      <c r="AJ9">
        <v>96036</v>
      </c>
      <c r="AK9">
        <v>96216</v>
      </c>
      <c r="AL9">
        <v>96326</v>
      </c>
      <c r="AM9">
        <v>96500</v>
      </c>
      <c r="AN9">
        <v>96664</v>
      </c>
      <c r="AO9">
        <v>96408</v>
      </c>
      <c r="AP9">
        <v>96207</v>
      </c>
      <c r="AQ9">
        <v>96207</v>
      </c>
      <c r="AR9">
        <v>96116</v>
      </c>
      <c r="AS9">
        <v>95922</v>
      </c>
      <c r="AT9">
        <v>94276</v>
      </c>
      <c r="AU9">
        <v>93657</v>
      </c>
      <c r="AV9">
        <v>96585</v>
      </c>
      <c r="AW9">
        <v>97107</v>
      </c>
      <c r="AX9">
        <v>97380</v>
      </c>
      <c r="AY9">
        <v>97588</v>
      </c>
      <c r="AZ9">
        <v>97565</v>
      </c>
      <c r="BA9">
        <v>97608</v>
      </c>
      <c r="BB9">
        <v>97739</v>
      </c>
      <c r="BC9">
        <v>97912</v>
      </c>
      <c r="BD9">
        <v>97928</v>
      </c>
      <c r="BE9">
        <v>98070</v>
      </c>
      <c r="BF9">
        <v>98194</v>
      </c>
      <c r="BG9">
        <v>98300</v>
      </c>
      <c r="BH9">
        <v>98274</v>
      </c>
      <c r="BI9">
        <v>98339</v>
      </c>
      <c r="BJ9">
        <v>98403</v>
      </c>
      <c r="BK9">
        <v>98472</v>
      </c>
      <c r="BL9">
        <v>98447</v>
      </c>
      <c r="BM9">
        <v>98603</v>
      </c>
      <c r="BN9">
        <v>98686</v>
      </c>
      <c r="BO9">
        <v>98645</v>
      </c>
      <c r="BP9">
        <v>98695</v>
      </c>
      <c r="BQ9">
        <v>98760</v>
      </c>
      <c r="BR9">
        <v>98764</v>
      </c>
      <c r="BS9">
        <v>98819</v>
      </c>
      <c r="BT9">
        <v>98858</v>
      </c>
      <c r="BU9">
        <v>98923</v>
      </c>
      <c r="BV9">
        <v>98979</v>
      </c>
      <c r="BW9">
        <v>98908</v>
      </c>
      <c r="BX9">
        <v>98973</v>
      </c>
      <c r="BY9">
        <v>99052</v>
      </c>
      <c r="BZ9">
        <v>98991</v>
      </c>
      <c r="CA9">
        <v>99152</v>
      </c>
      <c r="CB9">
        <v>99170</v>
      </c>
      <c r="CC9">
        <v>99213</v>
      </c>
      <c r="CD9">
        <v>99222</v>
      </c>
      <c r="CE9">
        <v>99228</v>
      </c>
      <c r="CF9">
        <v>99249</v>
      </c>
      <c r="CG9">
        <v>99208</v>
      </c>
      <c r="CH9">
        <v>99265</v>
      </c>
      <c r="CI9">
        <v>99248</v>
      </c>
      <c r="CJ9">
        <v>99285</v>
      </c>
      <c r="CK9">
        <v>99344</v>
      </c>
      <c r="CL9">
        <v>99409</v>
      </c>
      <c r="CM9">
        <v>99364</v>
      </c>
      <c r="CN9">
        <v>99381</v>
      </c>
      <c r="CO9">
        <v>99451</v>
      </c>
      <c r="CP9">
        <v>99423</v>
      </c>
      <c r="CQ9">
        <v>99445</v>
      </c>
      <c r="CR9">
        <v>99473</v>
      </c>
      <c r="CS9">
        <v>99528</v>
      </c>
      <c r="CT9">
        <v>99484</v>
      </c>
      <c r="CU9">
        <v>99540</v>
      </c>
      <c r="CV9">
        <v>99534</v>
      </c>
      <c r="CW9">
        <v>99475</v>
      </c>
    </row>
    <row r="10" spans="1:101" x14ac:dyDescent="0.25">
      <c r="A10" t="s">
        <v>120</v>
      </c>
      <c r="B10">
        <v>80633</v>
      </c>
      <c r="C10">
        <v>81918</v>
      </c>
      <c r="D10">
        <v>83688</v>
      </c>
      <c r="E10">
        <v>82727</v>
      </c>
      <c r="F10">
        <v>83409</v>
      </c>
      <c r="G10">
        <v>84260</v>
      </c>
      <c r="H10">
        <v>83984</v>
      </c>
      <c r="I10">
        <v>85062</v>
      </c>
      <c r="J10">
        <v>85784</v>
      </c>
      <c r="K10">
        <v>86669</v>
      </c>
      <c r="L10">
        <v>85758</v>
      </c>
      <c r="M10">
        <v>85166</v>
      </c>
      <c r="N10">
        <v>88676</v>
      </c>
      <c r="O10">
        <v>87858</v>
      </c>
      <c r="P10">
        <v>87720</v>
      </c>
      <c r="Q10">
        <v>88420</v>
      </c>
      <c r="R10">
        <v>87548</v>
      </c>
      <c r="S10">
        <v>86641</v>
      </c>
      <c r="T10">
        <v>87571</v>
      </c>
      <c r="U10">
        <v>90373</v>
      </c>
      <c r="V10">
        <v>90820</v>
      </c>
      <c r="W10">
        <v>90403</v>
      </c>
      <c r="X10">
        <v>92084</v>
      </c>
      <c r="Y10">
        <v>93008</v>
      </c>
      <c r="Z10">
        <v>93168</v>
      </c>
      <c r="AA10">
        <v>93214</v>
      </c>
      <c r="AB10">
        <v>93305</v>
      </c>
      <c r="AC10">
        <v>93831</v>
      </c>
      <c r="AD10">
        <v>93921</v>
      </c>
      <c r="AE10">
        <v>94196</v>
      </c>
      <c r="AF10">
        <v>94483</v>
      </c>
      <c r="AG10">
        <v>95212</v>
      </c>
      <c r="AH10">
        <v>95342</v>
      </c>
      <c r="AI10">
        <v>95433</v>
      </c>
      <c r="AJ10">
        <v>95625</v>
      </c>
      <c r="AK10">
        <v>95859</v>
      </c>
      <c r="AL10">
        <v>95946</v>
      </c>
      <c r="AM10">
        <v>96188</v>
      </c>
      <c r="AN10">
        <v>96234</v>
      </c>
      <c r="AO10">
        <v>95985</v>
      </c>
      <c r="AP10">
        <v>95790</v>
      </c>
      <c r="AQ10">
        <v>95641</v>
      </c>
      <c r="AR10">
        <v>95481</v>
      </c>
      <c r="AS10">
        <v>95106</v>
      </c>
      <c r="AT10">
        <v>93764</v>
      </c>
      <c r="AU10">
        <v>93409</v>
      </c>
      <c r="AV10">
        <v>96378</v>
      </c>
      <c r="AW10">
        <v>96876</v>
      </c>
      <c r="AX10">
        <v>97169</v>
      </c>
      <c r="AY10">
        <v>97381</v>
      </c>
      <c r="AZ10">
        <v>97389</v>
      </c>
      <c r="BA10">
        <v>97415</v>
      </c>
      <c r="BB10">
        <v>97590</v>
      </c>
      <c r="BC10">
        <v>97763</v>
      </c>
      <c r="BD10">
        <v>97776</v>
      </c>
      <c r="BE10">
        <v>97935</v>
      </c>
      <c r="BF10">
        <v>98065</v>
      </c>
      <c r="BG10">
        <v>98165</v>
      </c>
      <c r="BH10">
        <v>98152</v>
      </c>
      <c r="BI10">
        <v>98236</v>
      </c>
      <c r="BJ10">
        <v>98289</v>
      </c>
      <c r="BK10">
        <v>98378</v>
      </c>
      <c r="BL10">
        <v>98349</v>
      </c>
      <c r="BM10">
        <v>98515</v>
      </c>
      <c r="BN10">
        <v>98578</v>
      </c>
      <c r="BO10">
        <v>98548</v>
      </c>
      <c r="BP10">
        <v>98598</v>
      </c>
      <c r="BQ10">
        <v>98660</v>
      </c>
      <c r="BR10">
        <v>98679</v>
      </c>
      <c r="BS10">
        <v>98748</v>
      </c>
      <c r="BT10">
        <v>98770</v>
      </c>
      <c r="BU10">
        <v>98847</v>
      </c>
      <c r="BV10">
        <v>98920</v>
      </c>
      <c r="BW10">
        <v>98846</v>
      </c>
      <c r="BX10">
        <v>98906</v>
      </c>
      <c r="BY10">
        <v>98997</v>
      </c>
      <c r="BZ10">
        <v>98910</v>
      </c>
      <c r="CA10">
        <v>99090</v>
      </c>
      <c r="CB10">
        <v>99105</v>
      </c>
      <c r="CC10">
        <v>99143</v>
      </c>
      <c r="CD10">
        <v>99152</v>
      </c>
      <c r="CE10">
        <v>99164</v>
      </c>
      <c r="CF10">
        <v>99198</v>
      </c>
      <c r="CG10">
        <v>99171</v>
      </c>
      <c r="CH10">
        <v>99209</v>
      </c>
      <c r="CI10">
        <v>99202</v>
      </c>
      <c r="CJ10">
        <v>99241</v>
      </c>
      <c r="CK10">
        <v>99317</v>
      </c>
      <c r="CL10">
        <v>99356</v>
      </c>
      <c r="CM10">
        <v>99317</v>
      </c>
      <c r="CN10">
        <v>99334</v>
      </c>
      <c r="CO10">
        <v>99413</v>
      </c>
      <c r="CP10">
        <v>99384</v>
      </c>
      <c r="CQ10">
        <v>99409</v>
      </c>
      <c r="CR10">
        <v>99435</v>
      </c>
      <c r="CS10">
        <v>99497</v>
      </c>
      <c r="CT10">
        <v>99450</v>
      </c>
      <c r="CU10">
        <v>99516</v>
      </c>
      <c r="CV10">
        <v>99504</v>
      </c>
      <c r="CW10">
        <v>99456</v>
      </c>
    </row>
    <row r="11" spans="1:101" x14ac:dyDescent="0.25">
      <c r="A11" t="s">
        <v>119</v>
      </c>
      <c r="B11">
        <v>79866</v>
      </c>
      <c r="C11">
        <v>80988</v>
      </c>
      <c r="D11">
        <v>82821</v>
      </c>
      <c r="E11">
        <v>82054</v>
      </c>
      <c r="F11">
        <v>82674</v>
      </c>
      <c r="G11">
        <v>83491</v>
      </c>
      <c r="H11">
        <v>83320</v>
      </c>
      <c r="I11">
        <v>84384</v>
      </c>
      <c r="J11">
        <v>85085</v>
      </c>
      <c r="K11">
        <v>86027</v>
      </c>
      <c r="L11">
        <v>85185</v>
      </c>
      <c r="M11">
        <v>84599</v>
      </c>
      <c r="N11">
        <v>87995</v>
      </c>
      <c r="O11">
        <v>87168</v>
      </c>
      <c r="P11">
        <v>87021</v>
      </c>
      <c r="Q11">
        <v>87051</v>
      </c>
      <c r="R11">
        <v>86557</v>
      </c>
      <c r="S11">
        <v>86065</v>
      </c>
      <c r="T11">
        <v>87134</v>
      </c>
      <c r="U11">
        <v>89868</v>
      </c>
      <c r="V11">
        <v>90412</v>
      </c>
      <c r="W11">
        <v>90042</v>
      </c>
      <c r="X11">
        <v>91714</v>
      </c>
      <c r="Y11">
        <v>92586</v>
      </c>
      <c r="Z11">
        <v>92737</v>
      </c>
      <c r="AA11">
        <v>92848</v>
      </c>
      <c r="AB11">
        <v>92914</v>
      </c>
      <c r="AC11">
        <v>93495</v>
      </c>
      <c r="AD11">
        <v>93593</v>
      </c>
      <c r="AE11">
        <v>93926</v>
      </c>
      <c r="AF11">
        <v>94216</v>
      </c>
      <c r="AG11">
        <v>94984</v>
      </c>
      <c r="AH11">
        <v>95131</v>
      </c>
      <c r="AI11">
        <v>95202</v>
      </c>
      <c r="AJ11">
        <v>95453</v>
      </c>
      <c r="AK11">
        <v>95649</v>
      </c>
      <c r="AL11">
        <v>95770</v>
      </c>
      <c r="AM11">
        <v>95977</v>
      </c>
      <c r="AN11">
        <v>95974</v>
      </c>
      <c r="AO11">
        <v>95698</v>
      </c>
      <c r="AP11">
        <v>95366</v>
      </c>
      <c r="AQ11">
        <v>95152</v>
      </c>
      <c r="AR11">
        <v>94916</v>
      </c>
      <c r="AS11">
        <v>94774</v>
      </c>
      <c r="AT11">
        <v>93575</v>
      </c>
      <c r="AU11">
        <v>93286</v>
      </c>
      <c r="AV11">
        <v>96256</v>
      </c>
      <c r="AW11">
        <v>96764</v>
      </c>
      <c r="AX11">
        <v>97051</v>
      </c>
      <c r="AY11">
        <v>97263</v>
      </c>
      <c r="AZ11">
        <v>97258</v>
      </c>
      <c r="BA11">
        <v>97322</v>
      </c>
      <c r="BB11">
        <v>97502</v>
      </c>
      <c r="BC11">
        <v>97675</v>
      </c>
      <c r="BD11">
        <v>97674</v>
      </c>
      <c r="BE11">
        <v>97844</v>
      </c>
      <c r="BF11">
        <v>97969</v>
      </c>
      <c r="BG11">
        <v>98083</v>
      </c>
      <c r="BH11">
        <v>98091</v>
      </c>
      <c r="BI11">
        <v>98158</v>
      </c>
      <c r="BJ11">
        <v>98225</v>
      </c>
      <c r="BK11">
        <v>98302</v>
      </c>
      <c r="BL11">
        <v>98279</v>
      </c>
      <c r="BM11">
        <v>98439</v>
      </c>
      <c r="BN11">
        <v>98503</v>
      </c>
      <c r="BO11">
        <v>98485</v>
      </c>
      <c r="BP11">
        <v>98524</v>
      </c>
      <c r="BQ11">
        <v>98603</v>
      </c>
      <c r="BR11">
        <v>98618</v>
      </c>
      <c r="BS11">
        <v>98693</v>
      </c>
      <c r="BT11">
        <v>98700</v>
      </c>
      <c r="BU11">
        <v>98803</v>
      </c>
      <c r="BV11">
        <v>98862</v>
      </c>
      <c r="BW11">
        <v>98802</v>
      </c>
      <c r="BX11">
        <v>98862</v>
      </c>
      <c r="BY11">
        <v>98950</v>
      </c>
      <c r="BZ11">
        <v>98877</v>
      </c>
      <c r="CA11">
        <v>99044</v>
      </c>
      <c r="CB11">
        <v>99055</v>
      </c>
      <c r="CC11">
        <v>99106</v>
      </c>
      <c r="CD11">
        <v>99125</v>
      </c>
      <c r="CE11">
        <v>99127</v>
      </c>
      <c r="CF11">
        <v>99166</v>
      </c>
      <c r="CG11">
        <v>99128</v>
      </c>
      <c r="CH11">
        <v>99181</v>
      </c>
      <c r="CI11">
        <v>99176</v>
      </c>
      <c r="CJ11">
        <v>99200</v>
      </c>
      <c r="CK11">
        <v>99282</v>
      </c>
      <c r="CL11">
        <v>99329</v>
      </c>
      <c r="CM11">
        <v>99290</v>
      </c>
      <c r="CN11">
        <v>99303</v>
      </c>
      <c r="CO11">
        <v>99393</v>
      </c>
      <c r="CP11">
        <v>99358</v>
      </c>
      <c r="CQ11">
        <v>99387</v>
      </c>
      <c r="CR11">
        <v>99406</v>
      </c>
      <c r="CS11">
        <v>99479</v>
      </c>
      <c r="CT11">
        <v>99425</v>
      </c>
      <c r="CU11">
        <v>99493</v>
      </c>
      <c r="CV11">
        <v>99485</v>
      </c>
      <c r="CW11">
        <v>99443</v>
      </c>
    </row>
    <row r="12" spans="1:101" x14ac:dyDescent="0.25">
      <c r="A12" t="s">
        <v>118</v>
      </c>
      <c r="B12">
        <v>79316</v>
      </c>
      <c r="C12">
        <v>80484</v>
      </c>
      <c r="D12">
        <v>82295</v>
      </c>
      <c r="E12">
        <v>81561</v>
      </c>
      <c r="F12">
        <v>82168</v>
      </c>
      <c r="G12">
        <v>83068</v>
      </c>
      <c r="H12">
        <v>82921</v>
      </c>
      <c r="I12">
        <v>83961</v>
      </c>
      <c r="J12">
        <v>84679</v>
      </c>
      <c r="K12">
        <v>85627</v>
      </c>
      <c r="L12">
        <v>84829</v>
      </c>
      <c r="M12">
        <v>84186</v>
      </c>
      <c r="N12">
        <v>87563</v>
      </c>
      <c r="O12">
        <v>86654</v>
      </c>
      <c r="P12">
        <v>86095</v>
      </c>
      <c r="Q12">
        <v>86402</v>
      </c>
      <c r="R12">
        <v>86152</v>
      </c>
      <c r="S12">
        <v>85748</v>
      </c>
      <c r="T12">
        <v>86866</v>
      </c>
      <c r="U12">
        <v>89594</v>
      </c>
      <c r="V12">
        <v>90176</v>
      </c>
      <c r="W12">
        <v>89767</v>
      </c>
      <c r="X12">
        <v>91419</v>
      </c>
      <c r="Y12">
        <v>92292</v>
      </c>
      <c r="Z12">
        <v>92489</v>
      </c>
      <c r="AA12">
        <v>92554</v>
      </c>
      <c r="AB12">
        <v>92676</v>
      </c>
      <c r="AC12">
        <v>93291</v>
      </c>
      <c r="AD12">
        <v>93401</v>
      </c>
      <c r="AE12">
        <v>93725</v>
      </c>
      <c r="AF12">
        <v>94040</v>
      </c>
      <c r="AG12">
        <v>94811</v>
      </c>
      <c r="AH12">
        <v>94942</v>
      </c>
      <c r="AI12">
        <v>95035</v>
      </c>
      <c r="AJ12">
        <v>95278</v>
      </c>
      <c r="AK12">
        <v>95493</v>
      </c>
      <c r="AL12">
        <v>95600</v>
      </c>
      <c r="AM12">
        <v>95786</v>
      </c>
      <c r="AN12">
        <v>95741</v>
      </c>
      <c r="AO12">
        <v>95359</v>
      </c>
      <c r="AP12">
        <v>94938</v>
      </c>
      <c r="AQ12">
        <v>94697</v>
      </c>
      <c r="AR12">
        <v>94663</v>
      </c>
      <c r="AS12">
        <v>94631</v>
      </c>
      <c r="AT12">
        <v>93457</v>
      </c>
      <c r="AU12">
        <v>93179</v>
      </c>
      <c r="AV12">
        <v>96163</v>
      </c>
      <c r="AW12">
        <v>96662</v>
      </c>
      <c r="AX12">
        <v>96980</v>
      </c>
      <c r="AY12">
        <v>97148</v>
      </c>
      <c r="AZ12">
        <v>97184</v>
      </c>
      <c r="BA12">
        <v>97251</v>
      </c>
      <c r="BB12">
        <v>97429</v>
      </c>
      <c r="BC12">
        <v>97584</v>
      </c>
      <c r="BD12">
        <v>97603</v>
      </c>
      <c r="BE12">
        <v>97756</v>
      </c>
      <c r="BF12">
        <v>97905</v>
      </c>
      <c r="BG12">
        <v>98029</v>
      </c>
      <c r="BH12">
        <v>98022</v>
      </c>
      <c r="BI12">
        <v>98108</v>
      </c>
      <c r="BJ12">
        <v>98160</v>
      </c>
      <c r="BK12">
        <v>98242</v>
      </c>
      <c r="BL12">
        <v>98223</v>
      </c>
      <c r="BM12">
        <v>98393</v>
      </c>
      <c r="BN12">
        <v>98445</v>
      </c>
      <c r="BO12">
        <v>98438</v>
      </c>
      <c r="BP12">
        <v>98475</v>
      </c>
      <c r="BQ12">
        <v>98545</v>
      </c>
      <c r="BR12">
        <v>98572</v>
      </c>
      <c r="BS12">
        <v>98646</v>
      </c>
      <c r="BT12">
        <v>98654</v>
      </c>
      <c r="BU12">
        <v>98763</v>
      </c>
      <c r="BV12">
        <v>98825</v>
      </c>
      <c r="BW12">
        <v>98762</v>
      </c>
      <c r="BX12">
        <v>98828</v>
      </c>
      <c r="BY12">
        <v>98917</v>
      </c>
      <c r="BZ12">
        <v>98846</v>
      </c>
      <c r="CA12">
        <v>99008</v>
      </c>
      <c r="CB12">
        <v>99025</v>
      </c>
      <c r="CC12">
        <v>99080</v>
      </c>
      <c r="CD12">
        <v>99100</v>
      </c>
      <c r="CE12">
        <v>99096</v>
      </c>
      <c r="CF12">
        <v>99154</v>
      </c>
      <c r="CG12">
        <v>99091</v>
      </c>
      <c r="CH12">
        <v>99164</v>
      </c>
      <c r="CI12">
        <v>99150</v>
      </c>
      <c r="CJ12">
        <v>99176</v>
      </c>
      <c r="CK12">
        <v>99261</v>
      </c>
      <c r="CL12">
        <v>99315</v>
      </c>
      <c r="CM12">
        <v>99266</v>
      </c>
      <c r="CN12">
        <v>99289</v>
      </c>
      <c r="CO12">
        <v>99375</v>
      </c>
      <c r="CP12">
        <v>99336</v>
      </c>
      <c r="CQ12">
        <v>99367</v>
      </c>
      <c r="CR12">
        <v>99391</v>
      </c>
      <c r="CS12">
        <v>99466</v>
      </c>
      <c r="CT12">
        <v>99412</v>
      </c>
      <c r="CU12">
        <v>99478</v>
      </c>
      <c r="CV12">
        <v>99465</v>
      </c>
      <c r="CW12">
        <v>99429</v>
      </c>
    </row>
    <row r="13" spans="1:101" x14ac:dyDescent="0.25">
      <c r="A13" t="s">
        <v>117</v>
      </c>
      <c r="B13">
        <v>78949</v>
      </c>
      <c r="C13">
        <v>80131</v>
      </c>
      <c r="D13">
        <v>81942</v>
      </c>
      <c r="E13">
        <v>81159</v>
      </c>
      <c r="F13">
        <v>81807</v>
      </c>
      <c r="G13">
        <v>82775</v>
      </c>
      <c r="H13">
        <v>82581</v>
      </c>
      <c r="I13">
        <v>83633</v>
      </c>
      <c r="J13">
        <v>84381</v>
      </c>
      <c r="K13">
        <v>85330</v>
      </c>
      <c r="L13">
        <v>84543</v>
      </c>
      <c r="M13">
        <v>83872</v>
      </c>
      <c r="N13">
        <v>87187</v>
      </c>
      <c r="O13">
        <v>85963</v>
      </c>
      <c r="P13">
        <v>85596</v>
      </c>
      <c r="Q13">
        <v>86089</v>
      </c>
      <c r="R13">
        <v>85906</v>
      </c>
      <c r="S13">
        <v>85549</v>
      </c>
      <c r="T13">
        <v>86666</v>
      </c>
      <c r="U13">
        <v>89381</v>
      </c>
      <c r="V13">
        <v>89940</v>
      </c>
      <c r="W13">
        <v>89538</v>
      </c>
      <c r="X13">
        <v>91160</v>
      </c>
      <c r="Y13">
        <v>92096</v>
      </c>
      <c r="Z13">
        <v>92250</v>
      </c>
      <c r="AA13">
        <v>92370</v>
      </c>
      <c r="AB13">
        <v>92502</v>
      </c>
      <c r="AC13">
        <v>93117</v>
      </c>
      <c r="AD13">
        <v>93251</v>
      </c>
      <c r="AE13">
        <v>93560</v>
      </c>
      <c r="AF13">
        <v>93894</v>
      </c>
      <c r="AG13">
        <v>94663</v>
      </c>
      <c r="AH13">
        <v>94811</v>
      </c>
      <c r="AI13">
        <v>94891</v>
      </c>
      <c r="AJ13">
        <v>95156</v>
      </c>
      <c r="AK13">
        <v>95354</v>
      </c>
      <c r="AL13">
        <v>95427</v>
      </c>
      <c r="AM13">
        <v>95614</v>
      </c>
      <c r="AN13">
        <v>95443</v>
      </c>
      <c r="AO13">
        <v>95000</v>
      </c>
      <c r="AP13">
        <v>94609</v>
      </c>
      <c r="AQ13">
        <v>94503</v>
      </c>
      <c r="AR13">
        <v>94533</v>
      </c>
      <c r="AS13">
        <v>94541</v>
      </c>
      <c r="AT13">
        <v>93386</v>
      </c>
      <c r="AU13">
        <v>93088</v>
      </c>
      <c r="AV13">
        <v>96089</v>
      </c>
      <c r="AW13">
        <v>96584</v>
      </c>
      <c r="AX13">
        <v>96903</v>
      </c>
      <c r="AY13">
        <v>97082</v>
      </c>
      <c r="AZ13">
        <v>97131</v>
      </c>
      <c r="BA13">
        <v>97190</v>
      </c>
      <c r="BB13">
        <v>97365</v>
      </c>
      <c r="BC13">
        <v>97539</v>
      </c>
      <c r="BD13">
        <v>97543</v>
      </c>
      <c r="BE13">
        <v>97699</v>
      </c>
      <c r="BF13">
        <v>97846</v>
      </c>
      <c r="BG13">
        <v>97979</v>
      </c>
      <c r="BH13">
        <v>97970</v>
      </c>
      <c r="BI13">
        <v>98049</v>
      </c>
      <c r="BJ13">
        <v>98107</v>
      </c>
      <c r="BK13">
        <v>98206</v>
      </c>
      <c r="BL13">
        <v>98181</v>
      </c>
      <c r="BM13">
        <v>98344</v>
      </c>
      <c r="BN13">
        <v>98395</v>
      </c>
      <c r="BO13">
        <v>98394</v>
      </c>
      <c r="BP13">
        <v>98434</v>
      </c>
      <c r="BQ13">
        <v>98504</v>
      </c>
      <c r="BR13">
        <v>98539</v>
      </c>
      <c r="BS13">
        <v>98613</v>
      </c>
      <c r="BT13">
        <v>98616</v>
      </c>
      <c r="BU13">
        <v>98732</v>
      </c>
      <c r="BV13">
        <v>98798</v>
      </c>
      <c r="BW13">
        <v>98726</v>
      </c>
      <c r="BX13">
        <v>98792</v>
      </c>
      <c r="BY13">
        <v>98888</v>
      </c>
      <c r="BZ13">
        <v>98829</v>
      </c>
      <c r="CA13">
        <v>98979</v>
      </c>
      <c r="CB13">
        <v>98998</v>
      </c>
      <c r="CC13">
        <v>99065</v>
      </c>
      <c r="CD13">
        <v>99075</v>
      </c>
      <c r="CE13">
        <v>99073</v>
      </c>
      <c r="CF13">
        <v>99141</v>
      </c>
      <c r="CG13">
        <v>99076</v>
      </c>
      <c r="CH13">
        <v>99147</v>
      </c>
      <c r="CI13">
        <v>99130</v>
      </c>
      <c r="CJ13">
        <v>99159</v>
      </c>
      <c r="CK13">
        <v>99241</v>
      </c>
      <c r="CL13">
        <v>99294</v>
      </c>
      <c r="CM13">
        <v>99253</v>
      </c>
      <c r="CN13">
        <v>99274</v>
      </c>
      <c r="CO13">
        <v>99359</v>
      </c>
      <c r="CP13">
        <v>99323</v>
      </c>
      <c r="CQ13">
        <v>99356</v>
      </c>
      <c r="CR13">
        <v>99382</v>
      </c>
      <c r="CS13">
        <v>99446</v>
      </c>
      <c r="CT13">
        <v>99402</v>
      </c>
      <c r="CU13">
        <v>99463</v>
      </c>
      <c r="CV13">
        <v>99450</v>
      </c>
      <c r="CW13">
        <v>99421</v>
      </c>
    </row>
    <row r="14" spans="1:101" x14ac:dyDescent="0.25">
      <c r="A14" t="s">
        <v>116</v>
      </c>
      <c r="B14">
        <v>78640</v>
      </c>
      <c r="C14">
        <v>79820</v>
      </c>
      <c r="D14">
        <v>81629</v>
      </c>
      <c r="E14">
        <v>80883</v>
      </c>
      <c r="F14">
        <v>81539</v>
      </c>
      <c r="G14">
        <v>82531</v>
      </c>
      <c r="H14">
        <v>82331</v>
      </c>
      <c r="I14">
        <v>83398</v>
      </c>
      <c r="J14">
        <v>84174</v>
      </c>
      <c r="K14">
        <v>85086</v>
      </c>
      <c r="L14">
        <v>84293</v>
      </c>
      <c r="M14">
        <v>83590</v>
      </c>
      <c r="N14">
        <v>86626</v>
      </c>
      <c r="O14">
        <v>85620</v>
      </c>
      <c r="P14">
        <v>85344</v>
      </c>
      <c r="Q14">
        <v>85883</v>
      </c>
      <c r="R14">
        <v>85743</v>
      </c>
      <c r="S14">
        <v>85399</v>
      </c>
      <c r="T14">
        <v>86506</v>
      </c>
      <c r="U14">
        <v>89195</v>
      </c>
      <c r="V14">
        <v>89757</v>
      </c>
      <c r="W14">
        <v>89341</v>
      </c>
      <c r="X14">
        <v>90970</v>
      </c>
      <c r="Y14">
        <v>91911</v>
      </c>
      <c r="Z14">
        <v>92083</v>
      </c>
      <c r="AA14">
        <v>92230</v>
      </c>
      <c r="AB14">
        <v>92361</v>
      </c>
      <c r="AC14">
        <v>93021</v>
      </c>
      <c r="AD14">
        <v>93118</v>
      </c>
      <c r="AE14">
        <v>93451</v>
      </c>
      <c r="AF14">
        <v>93774</v>
      </c>
      <c r="AG14">
        <v>94558</v>
      </c>
      <c r="AH14">
        <v>94704</v>
      </c>
      <c r="AI14">
        <v>94796</v>
      </c>
      <c r="AJ14">
        <v>95014</v>
      </c>
      <c r="AK14">
        <v>95219</v>
      </c>
      <c r="AL14">
        <v>95280</v>
      </c>
      <c r="AM14">
        <v>95394</v>
      </c>
      <c r="AN14">
        <v>95151</v>
      </c>
      <c r="AO14">
        <v>94709</v>
      </c>
      <c r="AP14">
        <v>94466</v>
      </c>
      <c r="AQ14">
        <v>94401</v>
      </c>
      <c r="AR14">
        <v>94474</v>
      </c>
      <c r="AS14">
        <v>94474</v>
      </c>
      <c r="AT14">
        <v>93331</v>
      </c>
      <c r="AU14">
        <v>93031</v>
      </c>
      <c r="AV14">
        <v>96033</v>
      </c>
      <c r="AW14">
        <v>96506</v>
      </c>
      <c r="AX14">
        <v>96851</v>
      </c>
      <c r="AY14">
        <v>97041</v>
      </c>
      <c r="AZ14">
        <v>97078</v>
      </c>
      <c r="BA14">
        <v>97148</v>
      </c>
      <c r="BB14">
        <v>97322</v>
      </c>
      <c r="BC14">
        <v>97488</v>
      </c>
      <c r="BD14">
        <v>97499</v>
      </c>
      <c r="BE14">
        <v>97670</v>
      </c>
      <c r="BF14">
        <v>97802</v>
      </c>
      <c r="BG14">
        <v>97941</v>
      </c>
      <c r="BH14">
        <v>97913</v>
      </c>
      <c r="BI14">
        <v>98009</v>
      </c>
      <c r="BJ14">
        <v>98069</v>
      </c>
      <c r="BK14">
        <v>98176</v>
      </c>
      <c r="BL14">
        <v>98135</v>
      </c>
      <c r="BM14">
        <v>98303</v>
      </c>
      <c r="BN14">
        <v>98363</v>
      </c>
      <c r="BO14">
        <v>98353</v>
      </c>
      <c r="BP14">
        <v>98405</v>
      </c>
      <c r="BQ14">
        <v>98476</v>
      </c>
      <c r="BR14">
        <v>98505</v>
      </c>
      <c r="BS14">
        <v>98581</v>
      </c>
      <c r="BT14">
        <v>98580</v>
      </c>
      <c r="BU14">
        <v>98705</v>
      </c>
      <c r="BV14">
        <v>98771</v>
      </c>
      <c r="BW14">
        <v>98701</v>
      </c>
      <c r="BX14">
        <v>98771</v>
      </c>
      <c r="BY14">
        <v>98872</v>
      </c>
      <c r="BZ14">
        <v>98807</v>
      </c>
      <c r="CA14">
        <v>98962</v>
      </c>
      <c r="CB14">
        <v>98974</v>
      </c>
      <c r="CC14">
        <v>99053</v>
      </c>
      <c r="CD14">
        <v>99058</v>
      </c>
      <c r="CE14">
        <v>99049</v>
      </c>
      <c r="CF14">
        <v>99123</v>
      </c>
      <c r="CG14">
        <v>99059</v>
      </c>
      <c r="CH14">
        <v>99128</v>
      </c>
      <c r="CI14">
        <v>99104</v>
      </c>
      <c r="CJ14">
        <v>99135</v>
      </c>
      <c r="CK14">
        <v>99229</v>
      </c>
      <c r="CL14">
        <v>99280</v>
      </c>
      <c r="CM14">
        <v>99238</v>
      </c>
      <c r="CN14">
        <v>99260</v>
      </c>
      <c r="CO14">
        <v>99347</v>
      </c>
      <c r="CP14">
        <v>99312</v>
      </c>
      <c r="CQ14">
        <v>99349</v>
      </c>
      <c r="CR14">
        <v>99376</v>
      </c>
      <c r="CS14">
        <v>99442</v>
      </c>
      <c r="CT14">
        <v>99390</v>
      </c>
      <c r="CU14">
        <v>99457</v>
      </c>
      <c r="CV14">
        <v>99443</v>
      </c>
      <c r="CW14">
        <v>99416</v>
      </c>
    </row>
    <row r="15" spans="1:101" x14ac:dyDescent="0.25">
      <c r="A15" t="s">
        <v>115</v>
      </c>
      <c r="B15">
        <v>78427</v>
      </c>
      <c r="C15">
        <v>79568</v>
      </c>
      <c r="D15">
        <v>81392</v>
      </c>
      <c r="E15">
        <v>80668</v>
      </c>
      <c r="F15">
        <v>81330</v>
      </c>
      <c r="G15">
        <v>82312</v>
      </c>
      <c r="H15">
        <v>82169</v>
      </c>
      <c r="I15">
        <v>83214</v>
      </c>
      <c r="J15">
        <v>83980</v>
      </c>
      <c r="K15">
        <v>84855</v>
      </c>
      <c r="L15">
        <v>84051</v>
      </c>
      <c r="M15">
        <v>83142</v>
      </c>
      <c r="N15">
        <v>86320</v>
      </c>
      <c r="O15">
        <v>85406</v>
      </c>
      <c r="P15">
        <v>85184</v>
      </c>
      <c r="Q15">
        <v>85749</v>
      </c>
      <c r="R15">
        <v>85603</v>
      </c>
      <c r="S15">
        <v>85273</v>
      </c>
      <c r="T15">
        <v>86361</v>
      </c>
      <c r="U15">
        <v>89059</v>
      </c>
      <c r="V15">
        <v>89625</v>
      </c>
      <c r="W15">
        <v>89176</v>
      </c>
      <c r="X15">
        <v>90798</v>
      </c>
      <c r="Y15">
        <v>91764</v>
      </c>
      <c r="Z15">
        <v>91957</v>
      </c>
      <c r="AA15">
        <v>92112</v>
      </c>
      <c r="AB15">
        <v>92254</v>
      </c>
      <c r="AC15">
        <v>92900</v>
      </c>
      <c r="AD15">
        <v>93018</v>
      </c>
      <c r="AE15">
        <v>93354</v>
      </c>
      <c r="AF15">
        <v>93687</v>
      </c>
      <c r="AG15">
        <v>94466</v>
      </c>
      <c r="AH15">
        <v>94624</v>
      </c>
      <c r="AI15">
        <v>94677</v>
      </c>
      <c r="AJ15">
        <v>94918</v>
      </c>
      <c r="AK15">
        <v>95107</v>
      </c>
      <c r="AL15">
        <v>95099</v>
      </c>
      <c r="AM15">
        <v>95124</v>
      </c>
      <c r="AN15">
        <v>94927</v>
      </c>
      <c r="AO15">
        <v>94585</v>
      </c>
      <c r="AP15">
        <v>94406</v>
      </c>
      <c r="AQ15">
        <v>94342</v>
      </c>
      <c r="AR15">
        <v>94423</v>
      </c>
      <c r="AS15">
        <v>94437</v>
      </c>
      <c r="AT15">
        <v>93286</v>
      </c>
      <c r="AU15">
        <v>92989</v>
      </c>
      <c r="AV15">
        <v>95981</v>
      </c>
      <c r="AW15">
        <v>96461</v>
      </c>
      <c r="AX15">
        <v>96804</v>
      </c>
      <c r="AY15">
        <v>97004</v>
      </c>
      <c r="AZ15">
        <v>97038</v>
      </c>
      <c r="BA15">
        <v>97112</v>
      </c>
      <c r="BB15">
        <v>97267</v>
      </c>
      <c r="BC15">
        <v>97448</v>
      </c>
      <c r="BD15">
        <v>97460</v>
      </c>
      <c r="BE15">
        <v>97630</v>
      </c>
      <c r="BF15">
        <v>97758</v>
      </c>
      <c r="BG15">
        <v>97904</v>
      </c>
      <c r="BH15">
        <v>97875</v>
      </c>
      <c r="BI15">
        <v>97980</v>
      </c>
      <c r="BJ15">
        <v>98032</v>
      </c>
      <c r="BK15">
        <v>98143</v>
      </c>
      <c r="BL15">
        <v>98106</v>
      </c>
      <c r="BM15">
        <v>98270</v>
      </c>
      <c r="BN15">
        <v>98331</v>
      </c>
      <c r="BO15">
        <v>98317</v>
      </c>
      <c r="BP15">
        <v>98380</v>
      </c>
      <c r="BQ15">
        <v>98447</v>
      </c>
      <c r="BR15">
        <v>98477</v>
      </c>
      <c r="BS15">
        <v>98556</v>
      </c>
      <c r="BT15">
        <v>98548</v>
      </c>
      <c r="BU15">
        <v>98681</v>
      </c>
      <c r="BV15">
        <v>98750</v>
      </c>
      <c r="BW15">
        <v>98687</v>
      </c>
      <c r="BX15">
        <v>98751</v>
      </c>
      <c r="BY15">
        <v>98854</v>
      </c>
      <c r="BZ15">
        <v>98788</v>
      </c>
      <c r="CA15">
        <v>98937</v>
      </c>
      <c r="CB15">
        <v>98964</v>
      </c>
      <c r="CC15">
        <v>99041</v>
      </c>
      <c r="CD15">
        <v>99049</v>
      </c>
      <c r="CE15">
        <v>99025</v>
      </c>
      <c r="CF15">
        <v>99110</v>
      </c>
      <c r="CG15">
        <v>99050</v>
      </c>
      <c r="CH15">
        <v>99113</v>
      </c>
      <c r="CI15">
        <v>99098</v>
      </c>
      <c r="CJ15">
        <v>99116</v>
      </c>
      <c r="CK15">
        <v>99224</v>
      </c>
      <c r="CL15">
        <v>99268</v>
      </c>
      <c r="CM15">
        <v>99226</v>
      </c>
      <c r="CN15">
        <v>99249</v>
      </c>
      <c r="CO15">
        <v>99342</v>
      </c>
      <c r="CP15">
        <v>99299</v>
      </c>
      <c r="CQ15">
        <v>99340</v>
      </c>
      <c r="CR15">
        <v>99368</v>
      </c>
      <c r="CS15">
        <v>99431</v>
      </c>
      <c r="CT15">
        <v>99377</v>
      </c>
      <c r="CU15">
        <v>99447</v>
      </c>
      <c r="CV15">
        <v>99433</v>
      </c>
      <c r="CW15">
        <v>99410</v>
      </c>
    </row>
    <row r="16" spans="1:101" x14ac:dyDescent="0.25">
      <c r="A16" t="s">
        <v>114</v>
      </c>
      <c r="B16">
        <v>78219</v>
      </c>
      <c r="C16">
        <v>79383</v>
      </c>
      <c r="D16">
        <v>81189</v>
      </c>
      <c r="E16">
        <v>80484</v>
      </c>
      <c r="F16">
        <v>81159</v>
      </c>
      <c r="G16">
        <v>82158</v>
      </c>
      <c r="H16">
        <v>82031</v>
      </c>
      <c r="I16">
        <v>83057</v>
      </c>
      <c r="J16">
        <v>83784</v>
      </c>
      <c r="K16">
        <v>84615</v>
      </c>
      <c r="L16">
        <v>83643</v>
      </c>
      <c r="M16">
        <v>82920</v>
      </c>
      <c r="N16">
        <v>86156</v>
      </c>
      <c r="O16">
        <v>85278</v>
      </c>
      <c r="P16">
        <v>85077</v>
      </c>
      <c r="Q16">
        <v>85630</v>
      </c>
      <c r="R16">
        <v>85490</v>
      </c>
      <c r="S16">
        <v>85160</v>
      </c>
      <c r="T16">
        <v>86238</v>
      </c>
      <c r="U16">
        <v>88935</v>
      </c>
      <c r="V16">
        <v>89497</v>
      </c>
      <c r="W16">
        <v>89062</v>
      </c>
      <c r="X16">
        <v>90689</v>
      </c>
      <c r="Y16">
        <v>91629</v>
      </c>
      <c r="Z16">
        <v>91852</v>
      </c>
      <c r="AA16">
        <v>92026</v>
      </c>
      <c r="AB16">
        <v>92157</v>
      </c>
      <c r="AC16">
        <v>92822</v>
      </c>
      <c r="AD16">
        <v>92926</v>
      </c>
      <c r="AE16">
        <v>93275</v>
      </c>
      <c r="AF16">
        <v>93603</v>
      </c>
      <c r="AG16">
        <v>94373</v>
      </c>
      <c r="AH16">
        <v>94532</v>
      </c>
      <c r="AI16">
        <v>94589</v>
      </c>
      <c r="AJ16">
        <v>94799</v>
      </c>
      <c r="AK16">
        <v>94941</v>
      </c>
      <c r="AL16">
        <v>94885</v>
      </c>
      <c r="AM16">
        <v>94927</v>
      </c>
      <c r="AN16">
        <v>94824</v>
      </c>
      <c r="AO16">
        <v>94549</v>
      </c>
      <c r="AP16">
        <v>94366</v>
      </c>
      <c r="AQ16">
        <v>94298</v>
      </c>
      <c r="AR16">
        <v>94387</v>
      </c>
      <c r="AS16">
        <v>94398</v>
      </c>
      <c r="AT16">
        <v>93242</v>
      </c>
      <c r="AU16">
        <v>92931</v>
      </c>
      <c r="AV16">
        <v>95954</v>
      </c>
      <c r="AW16">
        <v>96420</v>
      </c>
      <c r="AX16">
        <v>96757</v>
      </c>
      <c r="AY16">
        <v>96960</v>
      </c>
      <c r="AZ16">
        <v>97006</v>
      </c>
      <c r="BA16">
        <v>97076</v>
      </c>
      <c r="BB16">
        <v>97233</v>
      </c>
      <c r="BC16">
        <v>97416</v>
      </c>
      <c r="BD16">
        <v>97428</v>
      </c>
      <c r="BE16">
        <v>97586</v>
      </c>
      <c r="BF16">
        <v>97727</v>
      </c>
      <c r="BG16">
        <v>97879</v>
      </c>
      <c r="BH16">
        <v>97839</v>
      </c>
      <c r="BI16">
        <v>97945</v>
      </c>
      <c r="BJ16">
        <v>97995</v>
      </c>
      <c r="BK16">
        <v>98109</v>
      </c>
      <c r="BL16">
        <v>98073</v>
      </c>
      <c r="BM16">
        <v>98242</v>
      </c>
      <c r="BN16">
        <v>98308</v>
      </c>
      <c r="BO16">
        <v>98285</v>
      </c>
      <c r="BP16">
        <v>98340</v>
      </c>
      <c r="BQ16">
        <v>98421</v>
      </c>
      <c r="BR16">
        <v>98443</v>
      </c>
      <c r="BS16">
        <v>98532</v>
      </c>
      <c r="BT16">
        <v>98525</v>
      </c>
      <c r="BU16">
        <v>98665</v>
      </c>
      <c r="BV16">
        <v>98721</v>
      </c>
      <c r="BW16">
        <v>98663</v>
      </c>
      <c r="BX16">
        <v>98731</v>
      </c>
      <c r="BY16">
        <v>98835</v>
      </c>
      <c r="BZ16">
        <v>98777</v>
      </c>
      <c r="CA16">
        <v>98928</v>
      </c>
      <c r="CB16">
        <v>98944</v>
      </c>
      <c r="CC16">
        <v>99027</v>
      </c>
      <c r="CD16">
        <v>99035</v>
      </c>
      <c r="CE16">
        <v>99014</v>
      </c>
      <c r="CF16">
        <v>99099</v>
      </c>
      <c r="CG16">
        <v>99038</v>
      </c>
      <c r="CH16">
        <v>99098</v>
      </c>
      <c r="CI16">
        <v>99082</v>
      </c>
      <c r="CJ16">
        <v>99100</v>
      </c>
      <c r="CK16">
        <v>99220</v>
      </c>
      <c r="CL16">
        <v>99261</v>
      </c>
      <c r="CM16">
        <v>99218</v>
      </c>
      <c r="CN16">
        <v>99239</v>
      </c>
      <c r="CO16">
        <v>99331</v>
      </c>
      <c r="CP16">
        <v>99286</v>
      </c>
      <c r="CQ16">
        <v>99331</v>
      </c>
      <c r="CR16">
        <v>99360</v>
      </c>
      <c r="CS16">
        <v>99423</v>
      </c>
      <c r="CT16">
        <v>99370</v>
      </c>
      <c r="CU16">
        <v>99443</v>
      </c>
      <c r="CV16">
        <v>99423</v>
      </c>
      <c r="CW16">
        <v>99405</v>
      </c>
    </row>
    <row r="17" spans="1:101" x14ac:dyDescent="0.25">
      <c r="A17" t="s">
        <v>113</v>
      </c>
      <c r="B17">
        <v>78061</v>
      </c>
      <c r="C17">
        <v>79243</v>
      </c>
      <c r="D17">
        <v>81038</v>
      </c>
      <c r="E17">
        <v>80335</v>
      </c>
      <c r="F17">
        <v>81026</v>
      </c>
      <c r="G17">
        <v>82013</v>
      </c>
      <c r="H17">
        <v>81886</v>
      </c>
      <c r="I17">
        <v>82874</v>
      </c>
      <c r="J17">
        <v>83602</v>
      </c>
      <c r="K17">
        <v>84223</v>
      </c>
      <c r="L17">
        <v>83433</v>
      </c>
      <c r="M17">
        <v>82786</v>
      </c>
      <c r="N17">
        <v>86036</v>
      </c>
      <c r="O17">
        <v>85168</v>
      </c>
      <c r="P17">
        <v>84978</v>
      </c>
      <c r="Q17">
        <v>85543</v>
      </c>
      <c r="R17">
        <v>85404</v>
      </c>
      <c r="S17">
        <v>85051</v>
      </c>
      <c r="T17">
        <v>86144</v>
      </c>
      <c r="U17">
        <v>88820</v>
      </c>
      <c r="V17">
        <v>89384</v>
      </c>
      <c r="W17">
        <v>88952</v>
      </c>
      <c r="X17">
        <v>90599</v>
      </c>
      <c r="Y17">
        <v>91537</v>
      </c>
      <c r="Z17">
        <v>91769</v>
      </c>
      <c r="AA17">
        <v>91922</v>
      </c>
      <c r="AB17">
        <v>92077</v>
      </c>
      <c r="AC17">
        <v>92737</v>
      </c>
      <c r="AD17">
        <v>92863</v>
      </c>
      <c r="AE17">
        <v>93198</v>
      </c>
      <c r="AF17">
        <v>93535</v>
      </c>
      <c r="AG17">
        <v>94307</v>
      </c>
      <c r="AH17">
        <v>94434</v>
      </c>
      <c r="AI17">
        <v>94482</v>
      </c>
      <c r="AJ17">
        <v>94663</v>
      </c>
      <c r="AK17">
        <v>94741</v>
      </c>
      <c r="AL17">
        <v>94689</v>
      </c>
      <c r="AM17">
        <v>94838</v>
      </c>
      <c r="AN17">
        <v>94769</v>
      </c>
      <c r="AO17">
        <v>94515</v>
      </c>
      <c r="AP17">
        <v>94328</v>
      </c>
      <c r="AQ17">
        <v>94264</v>
      </c>
      <c r="AR17">
        <v>94341</v>
      </c>
      <c r="AS17">
        <v>94362</v>
      </c>
      <c r="AT17">
        <v>93194</v>
      </c>
      <c r="AU17">
        <v>92899</v>
      </c>
      <c r="AV17">
        <v>95923</v>
      </c>
      <c r="AW17">
        <v>96387</v>
      </c>
      <c r="AX17">
        <v>96727</v>
      </c>
      <c r="AY17">
        <v>96933</v>
      </c>
      <c r="AZ17">
        <v>96974</v>
      </c>
      <c r="BA17">
        <v>97038</v>
      </c>
      <c r="BB17">
        <v>97207</v>
      </c>
      <c r="BC17">
        <v>97391</v>
      </c>
      <c r="BD17">
        <v>97406</v>
      </c>
      <c r="BE17">
        <v>97561</v>
      </c>
      <c r="BF17">
        <v>97695</v>
      </c>
      <c r="BG17">
        <v>97859</v>
      </c>
      <c r="BH17">
        <v>97811</v>
      </c>
      <c r="BI17">
        <v>97917</v>
      </c>
      <c r="BJ17">
        <v>97965</v>
      </c>
      <c r="BK17">
        <v>98087</v>
      </c>
      <c r="BL17">
        <v>98058</v>
      </c>
      <c r="BM17">
        <v>98218</v>
      </c>
      <c r="BN17">
        <v>98276</v>
      </c>
      <c r="BO17">
        <v>98260</v>
      </c>
      <c r="BP17">
        <v>98315</v>
      </c>
      <c r="BQ17">
        <v>98397</v>
      </c>
      <c r="BR17">
        <v>98416</v>
      </c>
      <c r="BS17">
        <v>98514</v>
      </c>
      <c r="BT17">
        <v>98500</v>
      </c>
      <c r="BU17">
        <v>98638</v>
      </c>
      <c r="BV17">
        <v>98704</v>
      </c>
      <c r="BW17">
        <v>98647</v>
      </c>
      <c r="BX17">
        <v>98718</v>
      </c>
      <c r="BY17">
        <v>98824</v>
      </c>
      <c r="BZ17">
        <v>98761</v>
      </c>
      <c r="CA17">
        <v>98916</v>
      </c>
      <c r="CB17">
        <v>98935</v>
      </c>
      <c r="CC17">
        <v>99014</v>
      </c>
      <c r="CD17">
        <v>99024</v>
      </c>
      <c r="CE17">
        <v>99003</v>
      </c>
      <c r="CF17">
        <v>99084</v>
      </c>
      <c r="CG17">
        <v>99030</v>
      </c>
      <c r="CH17">
        <v>99087</v>
      </c>
      <c r="CI17">
        <v>99068</v>
      </c>
      <c r="CJ17">
        <v>99092</v>
      </c>
      <c r="CK17">
        <v>99208</v>
      </c>
      <c r="CL17">
        <v>99251</v>
      </c>
      <c r="CM17">
        <v>99209</v>
      </c>
      <c r="CN17">
        <v>99226</v>
      </c>
      <c r="CO17">
        <v>99318</v>
      </c>
      <c r="CP17">
        <v>99274</v>
      </c>
      <c r="CQ17">
        <v>99323</v>
      </c>
      <c r="CR17">
        <v>99340</v>
      </c>
      <c r="CS17">
        <v>99415</v>
      </c>
      <c r="CT17">
        <v>99365</v>
      </c>
      <c r="CU17">
        <v>99434</v>
      </c>
      <c r="CV17">
        <v>99416</v>
      </c>
      <c r="CW17">
        <v>99394</v>
      </c>
    </row>
    <row r="18" spans="1:101" x14ac:dyDescent="0.25">
      <c r="A18" t="s">
        <v>112</v>
      </c>
      <c r="B18">
        <v>77895</v>
      </c>
      <c r="C18">
        <v>79078</v>
      </c>
      <c r="D18">
        <v>80914</v>
      </c>
      <c r="E18">
        <v>80212</v>
      </c>
      <c r="F18">
        <v>80900</v>
      </c>
      <c r="G18">
        <v>81874</v>
      </c>
      <c r="H18">
        <v>81714</v>
      </c>
      <c r="I18">
        <v>82693</v>
      </c>
      <c r="J18">
        <v>83255</v>
      </c>
      <c r="K18">
        <v>84029</v>
      </c>
      <c r="L18">
        <v>83268</v>
      </c>
      <c r="M18">
        <v>82672</v>
      </c>
      <c r="N18">
        <v>85924</v>
      </c>
      <c r="O18">
        <v>85055</v>
      </c>
      <c r="P18">
        <v>84871</v>
      </c>
      <c r="Q18">
        <v>85455</v>
      </c>
      <c r="R18">
        <v>85305</v>
      </c>
      <c r="S18">
        <v>84949</v>
      </c>
      <c r="T18">
        <v>86029</v>
      </c>
      <c r="U18">
        <v>88693</v>
      </c>
      <c r="V18">
        <v>89279</v>
      </c>
      <c r="W18">
        <v>88883</v>
      </c>
      <c r="X18">
        <v>90499</v>
      </c>
      <c r="Y18">
        <v>91452</v>
      </c>
      <c r="Z18">
        <v>91684</v>
      </c>
      <c r="AA18">
        <v>91848</v>
      </c>
      <c r="AB18">
        <v>92003</v>
      </c>
      <c r="AC18">
        <v>92665</v>
      </c>
      <c r="AD18">
        <v>92799</v>
      </c>
      <c r="AE18">
        <v>93139</v>
      </c>
      <c r="AF18">
        <v>93477</v>
      </c>
      <c r="AG18">
        <v>94225</v>
      </c>
      <c r="AH18">
        <v>94330</v>
      </c>
      <c r="AI18">
        <v>94354</v>
      </c>
      <c r="AJ18">
        <v>94444</v>
      </c>
      <c r="AK18">
        <v>94582</v>
      </c>
      <c r="AL18">
        <v>94603</v>
      </c>
      <c r="AM18">
        <v>94788</v>
      </c>
      <c r="AN18">
        <v>94737</v>
      </c>
      <c r="AO18">
        <v>94478</v>
      </c>
      <c r="AP18">
        <v>94298</v>
      </c>
      <c r="AQ18">
        <v>94231</v>
      </c>
      <c r="AR18">
        <v>94311</v>
      </c>
      <c r="AS18">
        <v>94320</v>
      </c>
      <c r="AT18">
        <v>93166</v>
      </c>
      <c r="AU18">
        <v>92861</v>
      </c>
      <c r="AV18">
        <v>95894</v>
      </c>
      <c r="AW18">
        <v>96355</v>
      </c>
      <c r="AX18">
        <v>96702</v>
      </c>
      <c r="AY18">
        <v>96902</v>
      </c>
      <c r="AZ18">
        <v>96953</v>
      </c>
      <c r="BA18">
        <v>97014</v>
      </c>
      <c r="BB18">
        <v>97188</v>
      </c>
      <c r="BC18">
        <v>97363</v>
      </c>
      <c r="BD18">
        <v>97375</v>
      </c>
      <c r="BE18">
        <v>97523</v>
      </c>
      <c r="BF18">
        <v>97665</v>
      </c>
      <c r="BG18">
        <v>97837</v>
      </c>
      <c r="BH18">
        <v>97783</v>
      </c>
      <c r="BI18">
        <v>97891</v>
      </c>
      <c r="BJ18">
        <v>97949</v>
      </c>
      <c r="BK18">
        <v>98069</v>
      </c>
      <c r="BL18">
        <v>98033</v>
      </c>
      <c r="BM18">
        <v>98196</v>
      </c>
      <c r="BN18">
        <v>98259</v>
      </c>
      <c r="BO18">
        <v>98238</v>
      </c>
      <c r="BP18">
        <v>98286</v>
      </c>
      <c r="BQ18">
        <v>98376</v>
      </c>
      <c r="BR18">
        <v>98396</v>
      </c>
      <c r="BS18">
        <v>98485</v>
      </c>
      <c r="BT18">
        <v>98486</v>
      </c>
      <c r="BU18">
        <v>98618</v>
      </c>
      <c r="BV18">
        <v>98688</v>
      </c>
      <c r="BW18">
        <v>98623</v>
      </c>
      <c r="BX18">
        <v>98706</v>
      </c>
      <c r="BY18">
        <v>98808</v>
      </c>
      <c r="BZ18">
        <v>98743</v>
      </c>
      <c r="CA18">
        <v>98902</v>
      </c>
      <c r="CB18">
        <v>98918</v>
      </c>
      <c r="CC18">
        <v>98998</v>
      </c>
      <c r="CD18">
        <v>99011</v>
      </c>
      <c r="CE18">
        <v>98992</v>
      </c>
      <c r="CF18">
        <v>99076</v>
      </c>
      <c r="CG18">
        <v>99012</v>
      </c>
      <c r="CH18">
        <v>99074</v>
      </c>
      <c r="CI18">
        <v>99056</v>
      </c>
      <c r="CJ18">
        <v>99082</v>
      </c>
      <c r="CK18">
        <v>99202</v>
      </c>
      <c r="CL18">
        <v>99241</v>
      </c>
      <c r="CM18">
        <v>99202</v>
      </c>
      <c r="CN18">
        <v>99215</v>
      </c>
      <c r="CO18">
        <v>99307</v>
      </c>
      <c r="CP18">
        <v>99269</v>
      </c>
      <c r="CQ18">
        <v>99316</v>
      </c>
      <c r="CR18">
        <v>99335</v>
      </c>
      <c r="CS18">
        <v>99407</v>
      </c>
      <c r="CT18">
        <v>99358</v>
      </c>
      <c r="CU18">
        <v>99420</v>
      </c>
      <c r="CV18">
        <v>99409</v>
      </c>
      <c r="CW18">
        <v>99389</v>
      </c>
    </row>
    <row r="19" spans="1:101" x14ac:dyDescent="0.25">
      <c r="A19" t="s">
        <v>111</v>
      </c>
      <c r="B19">
        <v>77738</v>
      </c>
      <c r="C19">
        <v>78939</v>
      </c>
      <c r="D19">
        <v>80770</v>
      </c>
      <c r="E19">
        <v>80105</v>
      </c>
      <c r="F19">
        <v>80778</v>
      </c>
      <c r="G19">
        <v>81717</v>
      </c>
      <c r="H19">
        <v>81560</v>
      </c>
      <c r="I19">
        <v>82357</v>
      </c>
      <c r="J19">
        <v>83079</v>
      </c>
      <c r="K19">
        <v>83883</v>
      </c>
      <c r="L19">
        <v>83165</v>
      </c>
      <c r="M19">
        <v>82584</v>
      </c>
      <c r="N19">
        <v>85835</v>
      </c>
      <c r="O19">
        <v>84958</v>
      </c>
      <c r="P19">
        <v>84775</v>
      </c>
      <c r="Q19">
        <v>85366</v>
      </c>
      <c r="R19">
        <v>85191</v>
      </c>
      <c r="S19">
        <v>84866</v>
      </c>
      <c r="T19">
        <v>85930</v>
      </c>
      <c r="U19">
        <v>88598</v>
      </c>
      <c r="V19">
        <v>89206</v>
      </c>
      <c r="W19">
        <v>88814</v>
      </c>
      <c r="X19">
        <v>90426</v>
      </c>
      <c r="Y19">
        <v>91387</v>
      </c>
      <c r="Z19">
        <v>91609</v>
      </c>
      <c r="AA19">
        <v>91784</v>
      </c>
      <c r="AB19">
        <v>91942</v>
      </c>
      <c r="AC19">
        <v>92586</v>
      </c>
      <c r="AD19">
        <v>92745</v>
      </c>
      <c r="AE19">
        <v>93056</v>
      </c>
      <c r="AF19">
        <v>93404</v>
      </c>
      <c r="AG19">
        <v>94128</v>
      </c>
      <c r="AH19">
        <v>94189</v>
      </c>
      <c r="AI19">
        <v>94171</v>
      </c>
      <c r="AJ19">
        <v>94293</v>
      </c>
      <c r="AK19">
        <v>94530</v>
      </c>
      <c r="AL19">
        <v>94540</v>
      </c>
      <c r="AM19">
        <v>94757</v>
      </c>
      <c r="AN19">
        <v>94712</v>
      </c>
      <c r="AO19">
        <v>94446</v>
      </c>
      <c r="AP19">
        <v>94261</v>
      </c>
      <c r="AQ19">
        <v>94200</v>
      </c>
      <c r="AR19">
        <v>94278</v>
      </c>
      <c r="AS19">
        <v>94292</v>
      </c>
      <c r="AT19">
        <v>93150</v>
      </c>
      <c r="AU19">
        <v>92834</v>
      </c>
      <c r="AV19">
        <v>95872</v>
      </c>
      <c r="AW19">
        <v>96333</v>
      </c>
      <c r="AX19">
        <v>96680</v>
      </c>
      <c r="AY19">
        <v>96877</v>
      </c>
      <c r="AZ19">
        <v>96923</v>
      </c>
      <c r="BA19">
        <v>96988</v>
      </c>
      <c r="BB19">
        <v>97159</v>
      </c>
      <c r="BC19">
        <v>97336</v>
      </c>
      <c r="BD19">
        <v>97355</v>
      </c>
      <c r="BE19">
        <v>97490</v>
      </c>
      <c r="BF19">
        <v>97643</v>
      </c>
      <c r="BG19">
        <v>97821</v>
      </c>
      <c r="BH19">
        <v>97757</v>
      </c>
      <c r="BI19">
        <v>97873</v>
      </c>
      <c r="BJ19">
        <v>97917</v>
      </c>
      <c r="BK19">
        <v>98047</v>
      </c>
      <c r="BL19">
        <v>98007</v>
      </c>
      <c r="BM19">
        <v>98173</v>
      </c>
      <c r="BN19">
        <v>98236</v>
      </c>
      <c r="BO19">
        <v>98221</v>
      </c>
      <c r="BP19">
        <v>98271</v>
      </c>
      <c r="BQ19">
        <v>98354</v>
      </c>
      <c r="BR19">
        <v>98376</v>
      </c>
      <c r="BS19">
        <v>98470</v>
      </c>
      <c r="BT19">
        <v>98473</v>
      </c>
      <c r="BU19">
        <v>98602</v>
      </c>
      <c r="BV19">
        <v>98672</v>
      </c>
      <c r="BW19">
        <v>98611</v>
      </c>
      <c r="BX19">
        <v>98693</v>
      </c>
      <c r="BY19">
        <v>98791</v>
      </c>
      <c r="BZ19">
        <v>98725</v>
      </c>
      <c r="CA19">
        <v>98894</v>
      </c>
      <c r="CB19">
        <v>98902</v>
      </c>
      <c r="CC19">
        <v>98983</v>
      </c>
      <c r="CD19">
        <v>98999</v>
      </c>
      <c r="CE19">
        <v>98981</v>
      </c>
      <c r="CF19">
        <v>99067</v>
      </c>
      <c r="CG19">
        <v>98999</v>
      </c>
      <c r="CH19">
        <v>99061</v>
      </c>
      <c r="CI19">
        <v>99045</v>
      </c>
      <c r="CJ19">
        <v>99071</v>
      </c>
      <c r="CK19">
        <v>99197</v>
      </c>
      <c r="CL19">
        <v>99234</v>
      </c>
      <c r="CM19">
        <v>99192</v>
      </c>
      <c r="CN19">
        <v>99205</v>
      </c>
      <c r="CO19">
        <v>99299</v>
      </c>
      <c r="CP19">
        <v>99260</v>
      </c>
      <c r="CQ19">
        <v>99312</v>
      </c>
      <c r="CR19">
        <v>99316</v>
      </c>
      <c r="CS19">
        <v>99400</v>
      </c>
      <c r="CT19">
        <v>99349</v>
      </c>
      <c r="CU19">
        <v>99411</v>
      </c>
      <c r="CV19">
        <v>99401</v>
      </c>
      <c r="CW19">
        <v>99384</v>
      </c>
    </row>
    <row r="20" spans="1:101" x14ac:dyDescent="0.25">
      <c r="A20" t="s">
        <v>110</v>
      </c>
      <c r="B20">
        <v>77606</v>
      </c>
      <c r="C20">
        <v>78798</v>
      </c>
      <c r="D20">
        <v>80633</v>
      </c>
      <c r="E20">
        <v>79963</v>
      </c>
      <c r="F20">
        <v>80633</v>
      </c>
      <c r="G20">
        <v>81510</v>
      </c>
      <c r="H20">
        <v>81233</v>
      </c>
      <c r="I20">
        <v>82197</v>
      </c>
      <c r="J20">
        <v>82940</v>
      </c>
      <c r="K20">
        <v>83775</v>
      </c>
      <c r="L20">
        <v>83075</v>
      </c>
      <c r="M20">
        <v>82490</v>
      </c>
      <c r="N20">
        <v>85751</v>
      </c>
      <c r="O20">
        <v>84861</v>
      </c>
      <c r="P20">
        <v>84684</v>
      </c>
      <c r="Q20">
        <v>85272</v>
      </c>
      <c r="R20">
        <v>85108</v>
      </c>
      <c r="S20">
        <v>84783</v>
      </c>
      <c r="T20">
        <v>85826</v>
      </c>
      <c r="U20">
        <v>88505</v>
      </c>
      <c r="V20">
        <v>89126</v>
      </c>
      <c r="W20">
        <v>88726</v>
      </c>
      <c r="X20">
        <v>90352</v>
      </c>
      <c r="Y20">
        <v>91309</v>
      </c>
      <c r="Z20">
        <v>91521</v>
      </c>
      <c r="AA20">
        <v>91719</v>
      </c>
      <c r="AB20">
        <v>91892</v>
      </c>
      <c r="AC20">
        <v>92511</v>
      </c>
      <c r="AD20">
        <v>92679</v>
      </c>
      <c r="AE20">
        <v>92990</v>
      </c>
      <c r="AF20">
        <v>93321</v>
      </c>
      <c r="AG20">
        <v>94002</v>
      </c>
      <c r="AH20">
        <v>93998</v>
      </c>
      <c r="AI20">
        <v>94008</v>
      </c>
      <c r="AJ20">
        <v>94224</v>
      </c>
      <c r="AK20">
        <v>94479</v>
      </c>
      <c r="AL20">
        <v>94492</v>
      </c>
      <c r="AM20">
        <v>94726</v>
      </c>
      <c r="AN20">
        <v>94680</v>
      </c>
      <c r="AO20">
        <v>94411</v>
      </c>
      <c r="AP20">
        <v>94233</v>
      </c>
      <c r="AQ20">
        <v>94164</v>
      </c>
      <c r="AR20">
        <v>94253</v>
      </c>
      <c r="AS20">
        <v>94258</v>
      </c>
      <c r="AT20">
        <v>93115</v>
      </c>
      <c r="AU20">
        <v>92799</v>
      </c>
      <c r="AV20">
        <v>95845</v>
      </c>
      <c r="AW20">
        <v>96306</v>
      </c>
      <c r="AX20">
        <v>96662</v>
      </c>
      <c r="AY20">
        <v>96854</v>
      </c>
      <c r="AZ20">
        <v>96891</v>
      </c>
      <c r="BA20">
        <v>96963</v>
      </c>
      <c r="BB20">
        <v>97133</v>
      </c>
      <c r="BC20">
        <v>97310</v>
      </c>
      <c r="BD20">
        <v>97334</v>
      </c>
      <c r="BE20">
        <v>97464</v>
      </c>
      <c r="BF20">
        <v>97617</v>
      </c>
      <c r="BG20">
        <v>97791</v>
      </c>
      <c r="BH20">
        <v>97728</v>
      </c>
      <c r="BI20">
        <v>97841</v>
      </c>
      <c r="BJ20">
        <v>97884</v>
      </c>
      <c r="BK20">
        <v>98025</v>
      </c>
      <c r="BL20">
        <v>97986</v>
      </c>
      <c r="BM20">
        <v>98147</v>
      </c>
      <c r="BN20">
        <v>98218</v>
      </c>
      <c r="BO20">
        <v>98196</v>
      </c>
      <c r="BP20">
        <v>98253</v>
      </c>
      <c r="BQ20">
        <v>98336</v>
      </c>
      <c r="BR20">
        <v>98360</v>
      </c>
      <c r="BS20">
        <v>98448</v>
      </c>
      <c r="BT20">
        <v>98455</v>
      </c>
      <c r="BU20">
        <v>98581</v>
      </c>
      <c r="BV20">
        <v>98656</v>
      </c>
      <c r="BW20">
        <v>98601</v>
      </c>
      <c r="BX20">
        <v>98677</v>
      </c>
      <c r="BY20">
        <v>98770</v>
      </c>
      <c r="BZ20">
        <v>98713</v>
      </c>
      <c r="CA20">
        <v>98873</v>
      </c>
      <c r="CB20">
        <v>98877</v>
      </c>
      <c r="CC20">
        <v>98961</v>
      </c>
      <c r="CD20">
        <v>98982</v>
      </c>
      <c r="CE20">
        <v>98956</v>
      </c>
      <c r="CF20">
        <v>99046</v>
      </c>
      <c r="CG20">
        <v>98985</v>
      </c>
      <c r="CH20">
        <v>99050</v>
      </c>
      <c r="CI20">
        <v>99033</v>
      </c>
      <c r="CJ20">
        <v>99059</v>
      </c>
      <c r="CK20">
        <v>99186</v>
      </c>
      <c r="CL20">
        <v>99231</v>
      </c>
      <c r="CM20">
        <v>99177</v>
      </c>
      <c r="CN20">
        <v>99197</v>
      </c>
      <c r="CO20">
        <v>99281</v>
      </c>
      <c r="CP20">
        <v>99245</v>
      </c>
      <c r="CQ20">
        <v>99305</v>
      </c>
      <c r="CR20">
        <v>99304</v>
      </c>
      <c r="CS20">
        <v>99387</v>
      </c>
      <c r="CT20">
        <v>99340</v>
      </c>
      <c r="CU20">
        <v>99406</v>
      </c>
      <c r="CV20">
        <v>99397</v>
      </c>
      <c r="CW20">
        <v>99379</v>
      </c>
    </row>
    <row r="21" spans="1:101" x14ac:dyDescent="0.25">
      <c r="A21" t="s">
        <v>109</v>
      </c>
      <c r="B21">
        <v>77488</v>
      </c>
      <c r="C21">
        <v>78670</v>
      </c>
      <c r="D21">
        <v>80481</v>
      </c>
      <c r="E21">
        <v>79798</v>
      </c>
      <c r="F21">
        <v>80423</v>
      </c>
      <c r="G21">
        <v>81100</v>
      </c>
      <c r="H21">
        <v>81018</v>
      </c>
      <c r="I21">
        <v>82045</v>
      </c>
      <c r="J21">
        <v>82816</v>
      </c>
      <c r="K21">
        <v>83670</v>
      </c>
      <c r="L21">
        <v>82963</v>
      </c>
      <c r="M21">
        <v>82360</v>
      </c>
      <c r="N21">
        <v>85633</v>
      </c>
      <c r="O21">
        <v>84757</v>
      </c>
      <c r="P21">
        <v>84575</v>
      </c>
      <c r="Q21">
        <v>85183</v>
      </c>
      <c r="R21">
        <v>85025</v>
      </c>
      <c r="S21">
        <v>84707</v>
      </c>
      <c r="T21">
        <v>85736</v>
      </c>
      <c r="U21">
        <v>88421</v>
      </c>
      <c r="V21">
        <v>89037</v>
      </c>
      <c r="W21">
        <v>88659</v>
      </c>
      <c r="X21">
        <v>90288</v>
      </c>
      <c r="Y21">
        <v>91228</v>
      </c>
      <c r="Z21">
        <v>91450</v>
      </c>
      <c r="AA21">
        <v>91637</v>
      </c>
      <c r="AB21">
        <v>91846</v>
      </c>
      <c r="AC21">
        <v>92428</v>
      </c>
      <c r="AD21">
        <v>92582</v>
      </c>
      <c r="AE21">
        <v>92923</v>
      </c>
      <c r="AF21">
        <v>93189</v>
      </c>
      <c r="AG21">
        <v>93804</v>
      </c>
      <c r="AH21">
        <v>93862</v>
      </c>
      <c r="AI21">
        <v>93940</v>
      </c>
      <c r="AJ21">
        <v>94166</v>
      </c>
      <c r="AK21">
        <v>94449</v>
      </c>
      <c r="AL21">
        <v>94457</v>
      </c>
      <c r="AM21">
        <v>94694</v>
      </c>
      <c r="AN21">
        <v>94640</v>
      </c>
      <c r="AO21">
        <v>94375</v>
      </c>
      <c r="AP21">
        <v>94187</v>
      </c>
      <c r="AQ21">
        <v>94136</v>
      </c>
      <c r="AR21">
        <v>94223</v>
      </c>
      <c r="AS21">
        <v>94234</v>
      </c>
      <c r="AT21">
        <v>93079</v>
      </c>
      <c r="AU21">
        <v>92773</v>
      </c>
      <c r="AV21">
        <v>95816</v>
      </c>
      <c r="AW21">
        <v>96282</v>
      </c>
      <c r="AX21">
        <v>96638</v>
      </c>
      <c r="AY21">
        <v>96823</v>
      </c>
      <c r="AZ21">
        <v>96868</v>
      </c>
      <c r="BA21">
        <v>96940</v>
      </c>
      <c r="BB21">
        <v>97105</v>
      </c>
      <c r="BC21">
        <v>97289</v>
      </c>
      <c r="BD21">
        <v>97300</v>
      </c>
      <c r="BE21">
        <v>97437</v>
      </c>
      <c r="BF21">
        <v>97592</v>
      </c>
      <c r="BG21">
        <v>97762</v>
      </c>
      <c r="BH21">
        <v>97701</v>
      </c>
      <c r="BI21">
        <v>97810</v>
      </c>
      <c r="BJ21">
        <v>97860</v>
      </c>
      <c r="BK21">
        <v>98006</v>
      </c>
      <c r="BL21">
        <v>97966</v>
      </c>
      <c r="BM21">
        <v>98124</v>
      </c>
      <c r="BN21">
        <v>98195</v>
      </c>
      <c r="BO21">
        <v>98169</v>
      </c>
      <c r="BP21">
        <v>98236</v>
      </c>
      <c r="BQ21">
        <v>98316</v>
      </c>
      <c r="BR21">
        <v>98340</v>
      </c>
      <c r="BS21">
        <v>98430</v>
      </c>
      <c r="BT21">
        <v>98433</v>
      </c>
      <c r="BU21">
        <v>98563</v>
      </c>
      <c r="BV21">
        <v>98637</v>
      </c>
      <c r="BW21">
        <v>98582</v>
      </c>
      <c r="BX21">
        <v>98658</v>
      </c>
      <c r="BY21">
        <v>98752</v>
      </c>
      <c r="BZ21">
        <v>98693</v>
      </c>
      <c r="CA21">
        <v>98845</v>
      </c>
      <c r="CB21">
        <v>98853</v>
      </c>
      <c r="CC21">
        <v>98943</v>
      </c>
      <c r="CD21">
        <v>98968</v>
      </c>
      <c r="CE21">
        <v>98947</v>
      </c>
      <c r="CF21">
        <v>99024</v>
      </c>
      <c r="CG21">
        <v>98964</v>
      </c>
      <c r="CH21">
        <v>99035</v>
      </c>
      <c r="CI21">
        <v>99020</v>
      </c>
      <c r="CJ21">
        <v>99040</v>
      </c>
      <c r="CK21">
        <v>99168</v>
      </c>
      <c r="CL21">
        <v>99218</v>
      </c>
      <c r="CM21">
        <v>99160</v>
      </c>
      <c r="CN21">
        <v>99184</v>
      </c>
      <c r="CO21">
        <v>99273</v>
      </c>
      <c r="CP21">
        <v>99235</v>
      </c>
      <c r="CQ21">
        <v>99296</v>
      </c>
      <c r="CR21">
        <v>99297</v>
      </c>
      <c r="CS21">
        <v>99372</v>
      </c>
      <c r="CT21">
        <v>99330</v>
      </c>
      <c r="CU21">
        <v>99396</v>
      </c>
      <c r="CV21">
        <v>99385</v>
      </c>
      <c r="CW21">
        <v>99368</v>
      </c>
    </row>
    <row r="22" spans="1:101" x14ac:dyDescent="0.25">
      <c r="A22" t="s">
        <v>108</v>
      </c>
      <c r="B22">
        <v>77329</v>
      </c>
      <c r="C22">
        <v>78510</v>
      </c>
      <c r="D22">
        <v>80292</v>
      </c>
      <c r="E22">
        <v>79563</v>
      </c>
      <c r="F22">
        <v>79984</v>
      </c>
      <c r="G22">
        <v>80869</v>
      </c>
      <c r="H22">
        <v>80838</v>
      </c>
      <c r="I22">
        <v>81919</v>
      </c>
      <c r="J22">
        <v>82684</v>
      </c>
      <c r="K22">
        <v>83538</v>
      </c>
      <c r="L22">
        <v>82827</v>
      </c>
      <c r="M22">
        <v>82219</v>
      </c>
      <c r="N22">
        <v>85511</v>
      </c>
      <c r="O22">
        <v>84656</v>
      </c>
      <c r="P22">
        <v>84460</v>
      </c>
      <c r="Q22">
        <v>85063</v>
      </c>
      <c r="R22">
        <v>84927</v>
      </c>
      <c r="S22">
        <v>84609</v>
      </c>
      <c r="T22">
        <v>85659</v>
      </c>
      <c r="U22">
        <v>88333</v>
      </c>
      <c r="V22">
        <v>88960</v>
      </c>
      <c r="W22">
        <v>88586</v>
      </c>
      <c r="X22">
        <v>90211</v>
      </c>
      <c r="Y22">
        <v>91157</v>
      </c>
      <c r="Z22">
        <v>91374</v>
      </c>
      <c r="AA22">
        <v>91575</v>
      </c>
      <c r="AB22">
        <v>91753</v>
      </c>
      <c r="AC22">
        <v>92348</v>
      </c>
      <c r="AD22">
        <v>92475</v>
      </c>
      <c r="AE22">
        <v>92772</v>
      </c>
      <c r="AF22">
        <v>92990</v>
      </c>
      <c r="AG22">
        <v>93655</v>
      </c>
      <c r="AH22">
        <v>93803</v>
      </c>
      <c r="AI22">
        <v>93881</v>
      </c>
      <c r="AJ22">
        <v>94126</v>
      </c>
      <c r="AK22">
        <v>94408</v>
      </c>
      <c r="AL22">
        <v>94431</v>
      </c>
      <c r="AM22">
        <v>94650</v>
      </c>
      <c r="AN22">
        <v>94600</v>
      </c>
      <c r="AO22">
        <v>94327</v>
      </c>
      <c r="AP22">
        <v>94154</v>
      </c>
      <c r="AQ22">
        <v>94098</v>
      </c>
      <c r="AR22">
        <v>94188</v>
      </c>
      <c r="AS22">
        <v>94207</v>
      </c>
      <c r="AT22">
        <v>93042</v>
      </c>
      <c r="AU22">
        <v>92746</v>
      </c>
      <c r="AV22">
        <v>95796</v>
      </c>
      <c r="AW22">
        <v>96258</v>
      </c>
      <c r="AX22">
        <v>96616</v>
      </c>
      <c r="AY22">
        <v>96792</v>
      </c>
      <c r="AZ22">
        <v>96838</v>
      </c>
      <c r="BA22">
        <v>96915</v>
      </c>
      <c r="BB22">
        <v>97074</v>
      </c>
      <c r="BC22">
        <v>97252</v>
      </c>
      <c r="BD22">
        <v>97267</v>
      </c>
      <c r="BE22">
        <v>97411</v>
      </c>
      <c r="BF22">
        <v>97557</v>
      </c>
      <c r="BG22">
        <v>97726</v>
      </c>
      <c r="BH22">
        <v>97675</v>
      </c>
      <c r="BI22">
        <v>97777</v>
      </c>
      <c r="BJ22">
        <v>97832</v>
      </c>
      <c r="BK22">
        <v>97988</v>
      </c>
      <c r="BL22">
        <v>97935</v>
      </c>
      <c r="BM22">
        <v>98103</v>
      </c>
      <c r="BN22">
        <v>98176</v>
      </c>
      <c r="BO22">
        <v>98145</v>
      </c>
      <c r="BP22">
        <v>98220</v>
      </c>
      <c r="BQ22">
        <v>98299</v>
      </c>
      <c r="BR22">
        <v>98322</v>
      </c>
      <c r="BS22">
        <v>98412</v>
      </c>
      <c r="BT22">
        <v>98410</v>
      </c>
      <c r="BU22">
        <v>98547</v>
      </c>
      <c r="BV22">
        <v>98624</v>
      </c>
      <c r="BW22">
        <v>98561</v>
      </c>
      <c r="BX22">
        <v>98646</v>
      </c>
      <c r="BY22">
        <v>98732</v>
      </c>
      <c r="BZ22">
        <v>98671</v>
      </c>
      <c r="CA22">
        <v>98820</v>
      </c>
      <c r="CB22">
        <v>98830</v>
      </c>
      <c r="CC22">
        <v>98929</v>
      </c>
      <c r="CD22">
        <v>98949</v>
      </c>
      <c r="CE22">
        <v>98930</v>
      </c>
      <c r="CF22">
        <v>99008</v>
      </c>
      <c r="CG22">
        <v>98949</v>
      </c>
      <c r="CH22">
        <v>99025</v>
      </c>
      <c r="CI22">
        <v>98998</v>
      </c>
      <c r="CJ22">
        <v>99025</v>
      </c>
      <c r="CK22">
        <v>99148</v>
      </c>
      <c r="CL22">
        <v>99209</v>
      </c>
      <c r="CM22">
        <v>99147</v>
      </c>
      <c r="CN22">
        <v>99174</v>
      </c>
      <c r="CO22">
        <v>99262</v>
      </c>
      <c r="CP22">
        <v>99219</v>
      </c>
      <c r="CQ22">
        <v>99285</v>
      </c>
      <c r="CR22">
        <v>99292</v>
      </c>
      <c r="CS22">
        <v>99360</v>
      </c>
      <c r="CT22">
        <v>99319</v>
      </c>
      <c r="CU22">
        <v>99387</v>
      </c>
      <c r="CV22">
        <v>99380</v>
      </c>
      <c r="CW22">
        <v>99363</v>
      </c>
    </row>
    <row r="23" spans="1:101" x14ac:dyDescent="0.25">
      <c r="A23" t="s">
        <v>107</v>
      </c>
      <c r="B23">
        <v>77153</v>
      </c>
      <c r="C23">
        <v>78277</v>
      </c>
      <c r="D23">
        <v>80041</v>
      </c>
      <c r="E23">
        <v>79082</v>
      </c>
      <c r="F23">
        <v>79736</v>
      </c>
      <c r="G23">
        <v>80682</v>
      </c>
      <c r="H23">
        <v>80690</v>
      </c>
      <c r="I23">
        <v>81755</v>
      </c>
      <c r="J23">
        <v>82555</v>
      </c>
      <c r="K23">
        <v>83400</v>
      </c>
      <c r="L23">
        <v>82717</v>
      </c>
      <c r="M23">
        <v>82094</v>
      </c>
      <c r="N23">
        <v>85383</v>
      </c>
      <c r="O23">
        <v>84526</v>
      </c>
      <c r="P23">
        <v>84335</v>
      </c>
      <c r="Q23">
        <v>84938</v>
      </c>
      <c r="R23">
        <v>84799</v>
      </c>
      <c r="S23">
        <v>84520</v>
      </c>
      <c r="T23">
        <v>85576</v>
      </c>
      <c r="U23">
        <v>88238</v>
      </c>
      <c r="V23">
        <v>88871</v>
      </c>
      <c r="W23">
        <v>88484</v>
      </c>
      <c r="X23">
        <v>90122</v>
      </c>
      <c r="Y23">
        <v>91074</v>
      </c>
      <c r="Z23">
        <v>91293</v>
      </c>
      <c r="AA23">
        <v>91470</v>
      </c>
      <c r="AB23">
        <v>91642</v>
      </c>
      <c r="AC23">
        <v>92210</v>
      </c>
      <c r="AD23">
        <v>92316</v>
      </c>
      <c r="AE23">
        <v>92568</v>
      </c>
      <c r="AF23">
        <v>92746</v>
      </c>
      <c r="AG23">
        <v>93575</v>
      </c>
      <c r="AH23">
        <v>93739</v>
      </c>
      <c r="AI23">
        <v>93829</v>
      </c>
      <c r="AJ23">
        <v>94097</v>
      </c>
      <c r="AK23">
        <v>94370</v>
      </c>
      <c r="AL23">
        <v>94400</v>
      </c>
      <c r="AM23">
        <v>94623</v>
      </c>
      <c r="AN23">
        <v>94552</v>
      </c>
      <c r="AO23">
        <v>94294</v>
      </c>
      <c r="AP23">
        <v>94124</v>
      </c>
      <c r="AQ23">
        <v>94067</v>
      </c>
      <c r="AR23">
        <v>94155</v>
      </c>
      <c r="AS23">
        <v>94180</v>
      </c>
      <c r="AT23">
        <v>93016</v>
      </c>
      <c r="AU23">
        <v>92723</v>
      </c>
      <c r="AV23">
        <v>95764</v>
      </c>
      <c r="AW23">
        <v>96232</v>
      </c>
      <c r="AX23">
        <v>96582</v>
      </c>
      <c r="AY23">
        <v>96763</v>
      </c>
      <c r="AZ23">
        <v>96803</v>
      </c>
      <c r="BA23">
        <v>96880</v>
      </c>
      <c r="BB23">
        <v>97048</v>
      </c>
      <c r="BC23">
        <v>97220</v>
      </c>
      <c r="BD23">
        <v>97230</v>
      </c>
      <c r="BE23">
        <v>97379</v>
      </c>
      <c r="BF23">
        <v>97534</v>
      </c>
      <c r="BG23">
        <v>97695</v>
      </c>
      <c r="BH23">
        <v>97636</v>
      </c>
      <c r="BI23">
        <v>97752</v>
      </c>
      <c r="BJ23">
        <v>97808</v>
      </c>
      <c r="BK23">
        <v>97960</v>
      </c>
      <c r="BL23">
        <v>97911</v>
      </c>
      <c r="BM23">
        <v>98069</v>
      </c>
      <c r="BN23">
        <v>98152</v>
      </c>
      <c r="BO23">
        <v>98120</v>
      </c>
      <c r="BP23">
        <v>98198</v>
      </c>
      <c r="BQ23">
        <v>98274</v>
      </c>
      <c r="BR23">
        <v>98301</v>
      </c>
      <c r="BS23">
        <v>98398</v>
      </c>
      <c r="BT23">
        <v>98397</v>
      </c>
      <c r="BU23">
        <v>98533</v>
      </c>
      <c r="BV23">
        <v>98604</v>
      </c>
      <c r="BW23">
        <v>98547</v>
      </c>
      <c r="BX23">
        <v>98624</v>
      </c>
      <c r="BY23">
        <v>98709</v>
      </c>
      <c r="BZ23">
        <v>98656</v>
      </c>
      <c r="CA23">
        <v>98800</v>
      </c>
      <c r="CB23">
        <v>98813</v>
      </c>
      <c r="CC23">
        <v>98914</v>
      </c>
      <c r="CD23">
        <v>98925</v>
      </c>
      <c r="CE23">
        <v>98913</v>
      </c>
      <c r="CF23">
        <v>98991</v>
      </c>
      <c r="CG23">
        <v>98932</v>
      </c>
      <c r="CH23">
        <v>99008</v>
      </c>
      <c r="CI23">
        <v>98984</v>
      </c>
      <c r="CJ23">
        <v>98998</v>
      </c>
      <c r="CK23">
        <v>99131</v>
      </c>
      <c r="CL23">
        <v>99191</v>
      </c>
      <c r="CM23">
        <v>99136</v>
      </c>
      <c r="CN23">
        <v>99162</v>
      </c>
      <c r="CO23">
        <v>99246</v>
      </c>
      <c r="CP23">
        <v>99200</v>
      </c>
      <c r="CQ23">
        <v>99276</v>
      </c>
      <c r="CR23">
        <v>99278</v>
      </c>
      <c r="CS23">
        <v>99357</v>
      </c>
      <c r="CT23">
        <v>99311</v>
      </c>
      <c r="CU23">
        <v>99376</v>
      </c>
      <c r="CV23">
        <v>99368</v>
      </c>
      <c r="CW23">
        <v>99349</v>
      </c>
    </row>
    <row r="24" spans="1:101" x14ac:dyDescent="0.25">
      <c r="A24" t="s">
        <v>106</v>
      </c>
      <c r="B24">
        <v>76886</v>
      </c>
      <c r="C24">
        <v>77977</v>
      </c>
      <c r="D24">
        <v>79508</v>
      </c>
      <c r="E24">
        <v>78811</v>
      </c>
      <c r="F24">
        <v>79507</v>
      </c>
      <c r="G24">
        <v>80487</v>
      </c>
      <c r="H24">
        <v>80510</v>
      </c>
      <c r="I24">
        <v>81598</v>
      </c>
      <c r="J24">
        <v>82378</v>
      </c>
      <c r="K24">
        <v>83244</v>
      </c>
      <c r="L24">
        <v>82582</v>
      </c>
      <c r="M24">
        <v>81935</v>
      </c>
      <c r="N24">
        <v>85245</v>
      </c>
      <c r="O24">
        <v>84356</v>
      </c>
      <c r="P24">
        <v>84190</v>
      </c>
      <c r="Q24">
        <v>84788</v>
      </c>
      <c r="R24">
        <v>84690</v>
      </c>
      <c r="S24">
        <v>84415</v>
      </c>
      <c r="T24">
        <v>85448</v>
      </c>
      <c r="U24">
        <v>88122</v>
      </c>
      <c r="V24">
        <v>88759</v>
      </c>
      <c r="W24">
        <v>88386</v>
      </c>
      <c r="X24">
        <v>90030</v>
      </c>
      <c r="Y24">
        <v>90984</v>
      </c>
      <c r="Z24">
        <v>91188</v>
      </c>
      <c r="AA24">
        <v>91348</v>
      </c>
      <c r="AB24">
        <v>91499</v>
      </c>
      <c r="AC24">
        <v>92044</v>
      </c>
      <c r="AD24">
        <v>92053</v>
      </c>
      <c r="AE24">
        <v>92361</v>
      </c>
      <c r="AF24">
        <v>92678</v>
      </c>
      <c r="AG24">
        <v>93507</v>
      </c>
      <c r="AH24">
        <v>93702</v>
      </c>
      <c r="AI24">
        <v>93791</v>
      </c>
      <c r="AJ24">
        <v>94040</v>
      </c>
      <c r="AK24">
        <v>94333</v>
      </c>
      <c r="AL24">
        <v>94368</v>
      </c>
      <c r="AM24">
        <v>94567</v>
      </c>
      <c r="AN24">
        <v>94511</v>
      </c>
      <c r="AO24">
        <v>94262</v>
      </c>
      <c r="AP24">
        <v>94105</v>
      </c>
      <c r="AQ24">
        <v>94021</v>
      </c>
      <c r="AR24">
        <v>94114</v>
      </c>
      <c r="AS24">
        <v>94152</v>
      </c>
      <c r="AT24">
        <v>92991</v>
      </c>
      <c r="AU24">
        <v>92698</v>
      </c>
      <c r="AV24">
        <v>95727</v>
      </c>
      <c r="AW24">
        <v>96203</v>
      </c>
      <c r="AX24">
        <v>96556</v>
      </c>
      <c r="AY24">
        <v>96720</v>
      </c>
      <c r="AZ24">
        <v>96769</v>
      </c>
      <c r="BA24">
        <v>96848</v>
      </c>
      <c r="BB24">
        <v>97008</v>
      </c>
      <c r="BC24">
        <v>97181</v>
      </c>
      <c r="BD24">
        <v>97187</v>
      </c>
      <c r="BE24">
        <v>97342</v>
      </c>
      <c r="BF24">
        <v>97493</v>
      </c>
      <c r="BG24">
        <v>97653</v>
      </c>
      <c r="BH24">
        <v>97608</v>
      </c>
      <c r="BI24">
        <v>97721</v>
      </c>
      <c r="BJ24">
        <v>97775</v>
      </c>
      <c r="BK24">
        <v>97926</v>
      </c>
      <c r="BL24">
        <v>97878</v>
      </c>
      <c r="BM24">
        <v>98041</v>
      </c>
      <c r="BN24">
        <v>98128</v>
      </c>
      <c r="BO24">
        <v>98090</v>
      </c>
      <c r="BP24">
        <v>98169</v>
      </c>
      <c r="BQ24">
        <v>98247</v>
      </c>
      <c r="BR24">
        <v>98276</v>
      </c>
      <c r="BS24">
        <v>98375</v>
      </c>
      <c r="BT24">
        <v>98381</v>
      </c>
      <c r="BU24">
        <v>98515</v>
      </c>
      <c r="BV24">
        <v>98574</v>
      </c>
      <c r="BW24">
        <v>98524</v>
      </c>
      <c r="BX24">
        <v>98601</v>
      </c>
      <c r="BY24">
        <v>98681</v>
      </c>
      <c r="BZ24">
        <v>98632</v>
      </c>
      <c r="CA24">
        <v>98788</v>
      </c>
      <c r="CB24">
        <v>98793</v>
      </c>
      <c r="CC24">
        <v>98889</v>
      </c>
      <c r="CD24">
        <v>98909</v>
      </c>
      <c r="CE24">
        <v>98895</v>
      </c>
      <c r="CF24">
        <v>98968</v>
      </c>
      <c r="CG24">
        <v>98911</v>
      </c>
      <c r="CH24">
        <v>98980</v>
      </c>
      <c r="CI24">
        <v>98961</v>
      </c>
      <c r="CJ24">
        <v>98984</v>
      </c>
      <c r="CK24">
        <v>99111</v>
      </c>
      <c r="CL24">
        <v>99172</v>
      </c>
      <c r="CM24">
        <v>99118</v>
      </c>
      <c r="CN24">
        <v>99149</v>
      </c>
      <c r="CO24">
        <v>99232</v>
      </c>
      <c r="CP24">
        <v>99189</v>
      </c>
      <c r="CQ24">
        <v>99263</v>
      </c>
      <c r="CR24">
        <v>99270</v>
      </c>
      <c r="CS24">
        <v>99349</v>
      </c>
      <c r="CT24">
        <v>99295</v>
      </c>
      <c r="CU24">
        <v>99362</v>
      </c>
      <c r="CV24">
        <v>99355</v>
      </c>
      <c r="CW24">
        <v>99338</v>
      </c>
    </row>
    <row r="25" spans="1:101" x14ac:dyDescent="0.25">
      <c r="A25" t="s">
        <v>105</v>
      </c>
      <c r="B25">
        <v>76592</v>
      </c>
      <c r="C25">
        <v>77402</v>
      </c>
      <c r="D25">
        <v>79220</v>
      </c>
      <c r="E25">
        <v>78521</v>
      </c>
      <c r="F25">
        <v>79306</v>
      </c>
      <c r="G25">
        <v>80312</v>
      </c>
      <c r="H25">
        <v>80332</v>
      </c>
      <c r="I25">
        <v>81402</v>
      </c>
      <c r="J25">
        <v>82201</v>
      </c>
      <c r="K25">
        <v>83071</v>
      </c>
      <c r="L25">
        <v>82426</v>
      </c>
      <c r="M25">
        <v>81769</v>
      </c>
      <c r="N25">
        <v>85069</v>
      </c>
      <c r="O25">
        <v>84223</v>
      </c>
      <c r="P25">
        <v>84035</v>
      </c>
      <c r="Q25">
        <v>84659</v>
      </c>
      <c r="R25">
        <v>84595</v>
      </c>
      <c r="S25">
        <v>84302</v>
      </c>
      <c r="T25">
        <v>85329</v>
      </c>
      <c r="U25">
        <v>87998</v>
      </c>
      <c r="V25">
        <v>88657</v>
      </c>
      <c r="W25">
        <v>88293</v>
      </c>
      <c r="X25">
        <v>89929</v>
      </c>
      <c r="Y25">
        <v>90894</v>
      </c>
      <c r="Z25">
        <v>91063</v>
      </c>
      <c r="AA25">
        <v>91224</v>
      </c>
      <c r="AB25">
        <v>91331</v>
      </c>
      <c r="AC25">
        <v>91766</v>
      </c>
      <c r="AD25">
        <v>91864</v>
      </c>
      <c r="AE25">
        <v>92264</v>
      </c>
      <c r="AF25">
        <v>92620</v>
      </c>
      <c r="AG25">
        <v>93450</v>
      </c>
      <c r="AH25">
        <v>93644</v>
      </c>
      <c r="AI25">
        <v>93754</v>
      </c>
      <c r="AJ25">
        <v>94002</v>
      </c>
      <c r="AK25">
        <v>94282</v>
      </c>
      <c r="AL25">
        <v>94311</v>
      </c>
      <c r="AM25">
        <v>94532</v>
      </c>
      <c r="AN25">
        <v>94472</v>
      </c>
      <c r="AO25">
        <v>94229</v>
      </c>
      <c r="AP25">
        <v>94068</v>
      </c>
      <c r="AQ25">
        <v>93979</v>
      </c>
      <c r="AR25">
        <v>94081</v>
      </c>
      <c r="AS25">
        <v>94121</v>
      </c>
      <c r="AT25">
        <v>92964</v>
      </c>
      <c r="AU25">
        <v>92672</v>
      </c>
      <c r="AV25">
        <v>95689</v>
      </c>
      <c r="AW25">
        <v>96172</v>
      </c>
      <c r="AX25">
        <v>96523</v>
      </c>
      <c r="AY25">
        <v>96684</v>
      </c>
      <c r="AZ25">
        <v>96723</v>
      </c>
      <c r="BA25">
        <v>96806</v>
      </c>
      <c r="BB25">
        <v>96966</v>
      </c>
      <c r="BC25">
        <v>97133</v>
      </c>
      <c r="BD25">
        <v>97151</v>
      </c>
      <c r="BE25">
        <v>97299</v>
      </c>
      <c r="BF25">
        <v>97448</v>
      </c>
      <c r="BG25">
        <v>97618</v>
      </c>
      <c r="BH25">
        <v>97572</v>
      </c>
      <c r="BI25">
        <v>97688</v>
      </c>
      <c r="BJ25">
        <v>97749</v>
      </c>
      <c r="BK25">
        <v>97885</v>
      </c>
      <c r="BL25">
        <v>97840</v>
      </c>
      <c r="BM25">
        <v>98017</v>
      </c>
      <c r="BN25">
        <v>98097</v>
      </c>
      <c r="BO25">
        <v>98062</v>
      </c>
      <c r="BP25">
        <v>98142</v>
      </c>
      <c r="BQ25">
        <v>98221</v>
      </c>
      <c r="BR25">
        <v>98255</v>
      </c>
      <c r="BS25">
        <v>98353</v>
      </c>
      <c r="BT25">
        <v>98353</v>
      </c>
      <c r="BU25">
        <v>98495</v>
      </c>
      <c r="BV25">
        <v>98548</v>
      </c>
      <c r="BW25">
        <v>98499</v>
      </c>
      <c r="BX25">
        <v>98566</v>
      </c>
      <c r="BY25">
        <v>98655</v>
      </c>
      <c r="BZ25">
        <v>98612</v>
      </c>
      <c r="CA25">
        <v>98765</v>
      </c>
      <c r="CB25">
        <v>98776</v>
      </c>
      <c r="CC25">
        <v>98863</v>
      </c>
      <c r="CD25">
        <v>98883</v>
      </c>
      <c r="CE25">
        <v>98877</v>
      </c>
      <c r="CF25">
        <v>98937</v>
      </c>
      <c r="CG25">
        <v>98884</v>
      </c>
      <c r="CH25">
        <v>98960</v>
      </c>
      <c r="CI25">
        <v>98925</v>
      </c>
      <c r="CJ25">
        <v>98966</v>
      </c>
      <c r="CK25">
        <v>99095</v>
      </c>
      <c r="CL25">
        <v>99156</v>
      </c>
      <c r="CM25">
        <v>99102</v>
      </c>
      <c r="CN25">
        <v>99134</v>
      </c>
      <c r="CO25">
        <v>99212</v>
      </c>
      <c r="CP25">
        <v>99177</v>
      </c>
      <c r="CQ25">
        <v>99253</v>
      </c>
      <c r="CR25">
        <v>99260</v>
      </c>
      <c r="CS25">
        <v>99336</v>
      </c>
      <c r="CT25">
        <v>99276</v>
      </c>
      <c r="CU25">
        <v>99343</v>
      </c>
      <c r="CV25">
        <v>99341</v>
      </c>
      <c r="CW25">
        <v>99325</v>
      </c>
    </row>
    <row r="26" spans="1:101" x14ac:dyDescent="0.25">
      <c r="A26" t="s">
        <v>104</v>
      </c>
      <c r="B26">
        <v>75995</v>
      </c>
      <c r="C26">
        <v>77078</v>
      </c>
      <c r="D26">
        <v>78968</v>
      </c>
      <c r="E26">
        <v>78296</v>
      </c>
      <c r="F26">
        <v>79093</v>
      </c>
      <c r="G26">
        <v>80114</v>
      </c>
      <c r="H26">
        <v>80151</v>
      </c>
      <c r="I26">
        <v>81214</v>
      </c>
      <c r="J26">
        <v>82031</v>
      </c>
      <c r="K26">
        <v>82865</v>
      </c>
      <c r="L26">
        <v>82266</v>
      </c>
      <c r="M26">
        <v>81572</v>
      </c>
      <c r="N26">
        <v>84925</v>
      </c>
      <c r="O26">
        <v>84063</v>
      </c>
      <c r="P26">
        <v>83888</v>
      </c>
      <c r="Q26">
        <v>84547</v>
      </c>
      <c r="R26">
        <v>84483</v>
      </c>
      <c r="S26">
        <v>84172</v>
      </c>
      <c r="T26">
        <v>85224</v>
      </c>
      <c r="U26">
        <v>87877</v>
      </c>
      <c r="V26">
        <v>88541</v>
      </c>
      <c r="W26">
        <v>88190</v>
      </c>
      <c r="X26">
        <v>89787</v>
      </c>
      <c r="Y26">
        <v>90760</v>
      </c>
      <c r="Z26">
        <v>90954</v>
      </c>
      <c r="AA26">
        <v>91065</v>
      </c>
      <c r="AB26">
        <v>91045</v>
      </c>
      <c r="AC26">
        <v>91491</v>
      </c>
      <c r="AD26">
        <v>91775</v>
      </c>
      <c r="AE26">
        <v>92186</v>
      </c>
      <c r="AF26">
        <v>92550</v>
      </c>
      <c r="AG26">
        <v>93401</v>
      </c>
      <c r="AH26">
        <v>93603</v>
      </c>
      <c r="AI26">
        <v>93712</v>
      </c>
      <c r="AJ26">
        <v>93958</v>
      </c>
      <c r="AK26">
        <v>94233</v>
      </c>
      <c r="AL26">
        <v>94282</v>
      </c>
      <c r="AM26">
        <v>94506</v>
      </c>
      <c r="AN26">
        <v>94445</v>
      </c>
      <c r="AO26">
        <v>94186</v>
      </c>
      <c r="AP26">
        <v>94035</v>
      </c>
      <c r="AQ26">
        <v>93951</v>
      </c>
      <c r="AR26">
        <v>94060</v>
      </c>
      <c r="AS26">
        <v>94090</v>
      </c>
      <c r="AT26">
        <v>92931</v>
      </c>
      <c r="AU26">
        <v>92645</v>
      </c>
      <c r="AV26">
        <v>95652</v>
      </c>
      <c r="AW26">
        <v>96143</v>
      </c>
      <c r="AX26">
        <v>96490</v>
      </c>
      <c r="AY26">
        <v>96646</v>
      </c>
      <c r="AZ26">
        <v>96686</v>
      </c>
      <c r="BA26">
        <v>96771</v>
      </c>
      <c r="BB26">
        <v>96918</v>
      </c>
      <c r="BC26">
        <v>97092</v>
      </c>
      <c r="BD26">
        <v>97118</v>
      </c>
      <c r="BE26">
        <v>97244</v>
      </c>
      <c r="BF26">
        <v>97409</v>
      </c>
      <c r="BG26">
        <v>97586</v>
      </c>
      <c r="BH26">
        <v>97531</v>
      </c>
      <c r="BI26">
        <v>97652</v>
      </c>
      <c r="BJ26">
        <v>97716</v>
      </c>
      <c r="BK26">
        <v>97860</v>
      </c>
      <c r="BL26">
        <v>97802</v>
      </c>
      <c r="BM26">
        <v>97987</v>
      </c>
      <c r="BN26">
        <v>98060</v>
      </c>
      <c r="BO26">
        <v>98034</v>
      </c>
      <c r="BP26">
        <v>98114</v>
      </c>
      <c r="BQ26">
        <v>98190</v>
      </c>
      <c r="BR26">
        <v>98231</v>
      </c>
      <c r="BS26">
        <v>98324</v>
      </c>
      <c r="BT26">
        <v>98331</v>
      </c>
      <c r="BU26">
        <v>98467</v>
      </c>
      <c r="BV26">
        <v>98525</v>
      </c>
      <c r="BW26">
        <v>98470</v>
      </c>
      <c r="BX26">
        <v>98542</v>
      </c>
      <c r="BY26">
        <v>98632</v>
      </c>
      <c r="BZ26">
        <v>98570</v>
      </c>
      <c r="CA26">
        <v>98743</v>
      </c>
      <c r="CB26">
        <v>98747</v>
      </c>
      <c r="CC26">
        <v>98844</v>
      </c>
      <c r="CD26">
        <v>98860</v>
      </c>
      <c r="CE26">
        <v>98856</v>
      </c>
      <c r="CF26">
        <v>98915</v>
      </c>
      <c r="CG26">
        <v>98863</v>
      </c>
      <c r="CH26">
        <v>98940</v>
      </c>
      <c r="CI26">
        <v>98899</v>
      </c>
      <c r="CJ26">
        <v>98949</v>
      </c>
      <c r="CK26">
        <v>99082</v>
      </c>
      <c r="CL26">
        <v>99141</v>
      </c>
      <c r="CM26">
        <v>99079</v>
      </c>
      <c r="CN26">
        <v>99113</v>
      </c>
      <c r="CO26">
        <v>99192</v>
      </c>
      <c r="CP26">
        <v>99162</v>
      </c>
      <c r="CQ26">
        <v>99229</v>
      </c>
      <c r="CR26">
        <v>99243</v>
      </c>
      <c r="CS26">
        <v>99324</v>
      </c>
      <c r="CT26">
        <v>99256</v>
      </c>
      <c r="CU26">
        <v>99332</v>
      </c>
      <c r="CV26">
        <v>99333</v>
      </c>
      <c r="CW26">
        <v>99308</v>
      </c>
    </row>
    <row r="27" spans="1:101" x14ac:dyDescent="0.25">
      <c r="A27" t="s">
        <v>103</v>
      </c>
      <c r="B27">
        <v>75666</v>
      </c>
      <c r="C27">
        <v>76796</v>
      </c>
      <c r="D27">
        <v>78746</v>
      </c>
      <c r="E27">
        <v>78102</v>
      </c>
      <c r="F27">
        <v>78900</v>
      </c>
      <c r="G27">
        <v>79923</v>
      </c>
      <c r="H27">
        <v>79955</v>
      </c>
      <c r="I27">
        <v>81023</v>
      </c>
      <c r="J27">
        <v>81827</v>
      </c>
      <c r="K27">
        <v>82695</v>
      </c>
      <c r="L27">
        <v>82084</v>
      </c>
      <c r="M27">
        <v>81421</v>
      </c>
      <c r="N27">
        <v>84749</v>
      </c>
      <c r="O27">
        <v>83903</v>
      </c>
      <c r="P27">
        <v>83754</v>
      </c>
      <c r="Q27">
        <v>84420</v>
      </c>
      <c r="R27">
        <v>84343</v>
      </c>
      <c r="S27">
        <v>84064</v>
      </c>
      <c r="T27">
        <v>85106</v>
      </c>
      <c r="U27">
        <v>87745</v>
      </c>
      <c r="V27">
        <v>88439</v>
      </c>
      <c r="W27">
        <v>88058</v>
      </c>
      <c r="X27">
        <v>89633</v>
      </c>
      <c r="Y27">
        <v>90607</v>
      </c>
      <c r="Z27">
        <v>90762</v>
      </c>
      <c r="AA27">
        <v>90759</v>
      </c>
      <c r="AB27">
        <v>90771</v>
      </c>
      <c r="AC27">
        <v>91393</v>
      </c>
      <c r="AD27">
        <v>91692</v>
      </c>
      <c r="AE27">
        <v>92133</v>
      </c>
      <c r="AF27">
        <v>92482</v>
      </c>
      <c r="AG27">
        <v>93348</v>
      </c>
      <c r="AH27">
        <v>93559</v>
      </c>
      <c r="AI27">
        <v>93677</v>
      </c>
      <c r="AJ27">
        <v>93910</v>
      </c>
      <c r="AK27">
        <v>94196</v>
      </c>
      <c r="AL27">
        <v>94239</v>
      </c>
      <c r="AM27">
        <v>94461</v>
      </c>
      <c r="AN27">
        <v>94396</v>
      </c>
      <c r="AO27">
        <v>94136</v>
      </c>
      <c r="AP27">
        <v>93998</v>
      </c>
      <c r="AQ27">
        <v>93924</v>
      </c>
      <c r="AR27">
        <v>94027</v>
      </c>
      <c r="AS27">
        <v>94057</v>
      </c>
      <c r="AT27">
        <v>92903</v>
      </c>
      <c r="AU27">
        <v>92617</v>
      </c>
      <c r="AV27">
        <v>95620</v>
      </c>
      <c r="AW27">
        <v>96100</v>
      </c>
      <c r="AX27">
        <v>96456</v>
      </c>
      <c r="AY27">
        <v>96609</v>
      </c>
      <c r="AZ27">
        <v>96640</v>
      </c>
      <c r="BA27">
        <v>96725</v>
      </c>
      <c r="BB27">
        <v>96873</v>
      </c>
      <c r="BC27">
        <v>97036</v>
      </c>
      <c r="BD27">
        <v>97078</v>
      </c>
      <c r="BE27">
        <v>97204</v>
      </c>
      <c r="BF27">
        <v>97374</v>
      </c>
      <c r="BG27">
        <v>97543</v>
      </c>
      <c r="BH27">
        <v>97500</v>
      </c>
      <c r="BI27">
        <v>97614</v>
      </c>
      <c r="BJ27">
        <v>97683</v>
      </c>
      <c r="BK27">
        <v>97822</v>
      </c>
      <c r="BL27">
        <v>97775</v>
      </c>
      <c r="BM27">
        <v>97956</v>
      </c>
      <c r="BN27">
        <v>98025</v>
      </c>
      <c r="BO27">
        <v>98005</v>
      </c>
      <c r="BP27">
        <v>98087</v>
      </c>
      <c r="BQ27">
        <v>98158</v>
      </c>
      <c r="BR27">
        <v>98205</v>
      </c>
      <c r="BS27">
        <v>98295</v>
      </c>
      <c r="BT27">
        <v>98298</v>
      </c>
      <c r="BU27">
        <v>98440</v>
      </c>
      <c r="BV27">
        <v>98494</v>
      </c>
      <c r="BW27">
        <v>98442</v>
      </c>
      <c r="BX27">
        <v>98514</v>
      </c>
      <c r="BY27">
        <v>98608</v>
      </c>
      <c r="BZ27">
        <v>98545</v>
      </c>
      <c r="CA27">
        <v>98713</v>
      </c>
      <c r="CB27">
        <v>98719</v>
      </c>
      <c r="CC27">
        <v>98817</v>
      </c>
      <c r="CD27">
        <v>98844</v>
      </c>
      <c r="CE27">
        <v>98828</v>
      </c>
      <c r="CF27">
        <v>98892</v>
      </c>
      <c r="CG27">
        <v>98832</v>
      </c>
      <c r="CH27">
        <v>98910</v>
      </c>
      <c r="CI27">
        <v>98879</v>
      </c>
      <c r="CJ27">
        <v>98922</v>
      </c>
      <c r="CK27">
        <v>99066</v>
      </c>
      <c r="CL27">
        <v>99127</v>
      </c>
      <c r="CM27">
        <v>99060</v>
      </c>
      <c r="CN27">
        <v>99094</v>
      </c>
      <c r="CO27">
        <v>99170</v>
      </c>
      <c r="CP27">
        <v>99148</v>
      </c>
      <c r="CQ27">
        <v>99213</v>
      </c>
      <c r="CR27">
        <v>99226</v>
      </c>
      <c r="CS27">
        <v>99303</v>
      </c>
      <c r="CT27">
        <v>99244</v>
      </c>
      <c r="CU27">
        <v>99309</v>
      </c>
      <c r="CV27">
        <v>99317</v>
      </c>
      <c r="CW27">
        <v>99297</v>
      </c>
    </row>
    <row r="28" spans="1:101" x14ac:dyDescent="0.25">
      <c r="A28" t="s">
        <v>102</v>
      </c>
      <c r="B28">
        <v>75393</v>
      </c>
      <c r="C28">
        <v>76578</v>
      </c>
      <c r="D28">
        <v>78515</v>
      </c>
      <c r="E28">
        <v>77881</v>
      </c>
      <c r="F28">
        <v>78673</v>
      </c>
      <c r="G28">
        <v>79715</v>
      </c>
      <c r="H28">
        <v>79766</v>
      </c>
      <c r="I28">
        <v>80815</v>
      </c>
      <c r="J28">
        <v>81645</v>
      </c>
      <c r="K28">
        <v>82482</v>
      </c>
      <c r="L28">
        <v>81907</v>
      </c>
      <c r="M28">
        <v>81252</v>
      </c>
      <c r="N28">
        <v>84585</v>
      </c>
      <c r="O28">
        <v>83763</v>
      </c>
      <c r="P28">
        <v>83605</v>
      </c>
      <c r="Q28">
        <v>84296</v>
      </c>
      <c r="R28">
        <v>84229</v>
      </c>
      <c r="S28">
        <v>83939</v>
      </c>
      <c r="T28">
        <v>85003</v>
      </c>
      <c r="U28">
        <v>87641</v>
      </c>
      <c r="V28">
        <v>88315</v>
      </c>
      <c r="W28">
        <v>87932</v>
      </c>
      <c r="X28">
        <v>89470</v>
      </c>
      <c r="Y28">
        <v>90410</v>
      </c>
      <c r="Z28">
        <v>90488</v>
      </c>
      <c r="AA28">
        <v>90457</v>
      </c>
      <c r="AB28">
        <v>90652</v>
      </c>
      <c r="AC28">
        <v>91306</v>
      </c>
      <c r="AD28">
        <v>91619</v>
      </c>
      <c r="AE28">
        <v>92088</v>
      </c>
      <c r="AF28">
        <v>92427</v>
      </c>
      <c r="AG28">
        <v>93295</v>
      </c>
      <c r="AH28">
        <v>93522</v>
      </c>
      <c r="AI28">
        <v>93642</v>
      </c>
      <c r="AJ28">
        <v>93863</v>
      </c>
      <c r="AK28">
        <v>94166</v>
      </c>
      <c r="AL28">
        <v>94193</v>
      </c>
      <c r="AM28">
        <v>94430</v>
      </c>
      <c r="AN28">
        <v>94350</v>
      </c>
      <c r="AO28">
        <v>94105</v>
      </c>
      <c r="AP28">
        <v>93950</v>
      </c>
      <c r="AQ28">
        <v>93894</v>
      </c>
      <c r="AR28">
        <v>93991</v>
      </c>
      <c r="AS28">
        <v>94022</v>
      </c>
      <c r="AT28">
        <v>92881</v>
      </c>
      <c r="AU28">
        <v>92585</v>
      </c>
      <c r="AV28">
        <v>95585</v>
      </c>
      <c r="AW28">
        <v>96066</v>
      </c>
      <c r="AX28">
        <v>96404</v>
      </c>
      <c r="AY28">
        <v>96568</v>
      </c>
      <c r="AZ28">
        <v>96601</v>
      </c>
      <c r="BA28">
        <v>96686</v>
      </c>
      <c r="BB28">
        <v>96839</v>
      </c>
      <c r="BC28">
        <v>96992</v>
      </c>
      <c r="BD28">
        <v>97028</v>
      </c>
      <c r="BE28">
        <v>97165</v>
      </c>
      <c r="BF28">
        <v>97339</v>
      </c>
      <c r="BG28">
        <v>97519</v>
      </c>
      <c r="BH28">
        <v>97457</v>
      </c>
      <c r="BI28">
        <v>97579</v>
      </c>
      <c r="BJ28">
        <v>97641</v>
      </c>
      <c r="BK28">
        <v>97798</v>
      </c>
      <c r="BL28">
        <v>97739</v>
      </c>
      <c r="BM28">
        <v>97923</v>
      </c>
      <c r="BN28">
        <v>98000</v>
      </c>
      <c r="BO28">
        <v>97980</v>
      </c>
      <c r="BP28">
        <v>98054</v>
      </c>
      <c r="BQ28">
        <v>98130</v>
      </c>
      <c r="BR28">
        <v>98184</v>
      </c>
      <c r="BS28">
        <v>98257</v>
      </c>
      <c r="BT28">
        <v>98270</v>
      </c>
      <c r="BU28">
        <v>98410</v>
      </c>
      <c r="BV28">
        <v>98467</v>
      </c>
      <c r="BW28">
        <v>98415</v>
      </c>
      <c r="BX28">
        <v>98483</v>
      </c>
      <c r="BY28">
        <v>98578</v>
      </c>
      <c r="BZ28">
        <v>98525</v>
      </c>
      <c r="CA28">
        <v>98683</v>
      </c>
      <c r="CB28">
        <v>98695</v>
      </c>
      <c r="CC28">
        <v>98791</v>
      </c>
      <c r="CD28">
        <v>98816</v>
      </c>
      <c r="CE28">
        <v>98807</v>
      </c>
      <c r="CF28">
        <v>98865</v>
      </c>
      <c r="CG28">
        <v>98811</v>
      </c>
      <c r="CH28">
        <v>98891</v>
      </c>
      <c r="CI28">
        <v>98863</v>
      </c>
      <c r="CJ28">
        <v>98911</v>
      </c>
      <c r="CK28">
        <v>99036</v>
      </c>
      <c r="CL28">
        <v>99108</v>
      </c>
      <c r="CM28">
        <v>99036</v>
      </c>
      <c r="CN28">
        <v>99083</v>
      </c>
      <c r="CO28">
        <v>99153</v>
      </c>
      <c r="CP28">
        <v>99134</v>
      </c>
      <c r="CQ28">
        <v>99190</v>
      </c>
      <c r="CR28">
        <v>99213</v>
      </c>
      <c r="CS28">
        <v>99286</v>
      </c>
      <c r="CT28">
        <v>99217</v>
      </c>
      <c r="CU28">
        <v>99296</v>
      </c>
      <c r="CV28">
        <v>99297</v>
      </c>
      <c r="CW28">
        <v>99279</v>
      </c>
    </row>
    <row r="29" spans="1:101" x14ac:dyDescent="0.25">
      <c r="A29" t="s">
        <v>101</v>
      </c>
      <c r="B29">
        <v>75169</v>
      </c>
      <c r="C29">
        <v>76349</v>
      </c>
      <c r="D29">
        <v>78311</v>
      </c>
      <c r="E29">
        <v>77663</v>
      </c>
      <c r="F29">
        <v>78480</v>
      </c>
      <c r="G29">
        <v>79525</v>
      </c>
      <c r="H29">
        <v>79558</v>
      </c>
      <c r="I29">
        <v>80614</v>
      </c>
      <c r="J29">
        <v>81423</v>
      </c>
      <c r="K29">
        <v>82321</v>
      </c>
      <c r="L29">
        <v>81735</v>
      </c>
      <c r="M29">
        <v>81090</v>
      </c>
      <c r="N29">
        <v>84420</v>
      </c>
      <c r="O29">
        <v>83638</v>
      </c>
      <c r="P29">
        <v>83465</v>
      </c>
      <c r="Q29">
        <v>84146</v>
      </c>
      <c r="R29">
        <v>84109</v>
      </c>
      <c r="S29">
        <v>83817</v>
      </c>
      <c r="T29">
        <v>84903</v>
      </c>
      <c r="U29">
        <v>87507</v>
      </c>
      <c r="V29">
        <v>88161</v>
      </c>
      <c r="W29">
        <v>87774</v>
      </c>
      <c r="X29">
        <v>89274</v>
      </c>
      <c r="Y29">
        <v>90145</v>
      </c>
      <c r="Z29">
        <v>90147</v>
      </c>
      <c r="AA29">
        <v>90307</v>
      </c>
      <c r="AB29">
        <v>90550</v>
      </c>
      <c r="AC29">
        <v>91232</v>
      </c>
      <c r="AD29">
        <v>91569</v>
      </c>
      <c r="AE29">
        <v>92021</v>
      </c>
      <c r="AF29">
        <v>92365</v>
      </c>
      <c r="AG29">
        <v>93239</v>
      </c>
      <c r="AH29">
        <v>93456</v>
      </c>
      <c r="AI29">
        <v>93611</v>
      </c>
      <c r="AJ29">
        <v>93819</v>
      </c>
      <c r="AK29">
        <v>94132</v>
      </c>
      <c r="AL29">
        <v>94150</v>
      </c>
      <c r="AM29">
        <v>94384</v>
      </c>
      <c r="AN29">
        <v>94314</v>
      </c>
      <c r="AO29">
        <v>94069</v>
      </c>
      <c r="AP29">
        <v>93918</v>
      </c>
      <c r="AQ29">
        <v>93867</v>
      </c>
      <c r="AR29">
        <v>93956</v>
      </c>
      <c r="AS29">
        <v>93992</v>
      </c>
      <c r="AT29">
        <v>92838</v>
      </c>
      <c r="AU29">
        <v>92542</v>
      </c>
      <c r="AV29">
        <v>95553</v>
      </c>
      <c r="AW29">
        <v>96032</v>
      </c>
      <c r="AX29">
        <v>96364</v>
      </c>
      <c r="AY29">
        <v>96518</v>
      </c>
      <c r="AZ29">
        <v>96566</v>
      </c>
      <c r="BA29">
        <v>96637</v>
      </c>
      <c r="BB29">
        <v>96798</v>
      </c>
      <c r="BC29">
        <v>96964</v>
      </c>
      <c r="BD29">
        <v>96993</v>
      </c>
      <c r="BE29">
        <v>97131</v>
      </c>
      <c r="BF29">
        <v>97296</v>
      </c>
      <c r="BG29">
        <v>97473</v>
      </c>
      <c r="BH29">
        <v>97421</v>
      </c>
      <c r="BI29">
        <v>97539</v>
      </c>
      <c r="BJ29">
        <v>97608</v>
      </c>
      <c r="BK29">
        <v>97768</v>
      </c>
      <c r="BL29">
        <v>97706</v>
      </c>
      <c r="BM29">
        <v>97898</v>
      </c>
      <c r="BN29">
        <v>97975</v>
      </c>
      <c r="BO29">
        <v>97948</v>
      </c>
      <c r="BP29">
        <v>98022</v>
      </c>
      <c r="BQ29">
        <v>98104</v>
      </c>
      <c r="BR29">
        <v>98157</v>
      </c>
      <c r="BS29">
        <v>98228</v>
      </c>
      <c r="BT29">
        <v>98240</v>
      </c>
      <c r="BU29">
        <v>98392</v>
      </c>
      <c r="BV29">
        <v>98441</v>
      </c>
      <c r="BW29">
        <v>98393</v>
      </c>
      <c r="BX29">
        <v>98455</v>
      </c>
      <c r="BY29">
        <v>98543</v>
      </c>
      <c r="BZ29">
        <v>98494</v>
      </c>
      <c r="CA29">
        <v>98659</v>
      </c>
      <c r="CB29">
        <v>98667</v>
      </c>
      <c r="CC29">
        <v>98761</v>
      </c>
      <c r="CD29">
        <v>98796</v>
      </c>
      <c r="CE29">
        <v>98791</v>
      </c>
      <c r="CF29">
        <v>98846</v>
      </c>
      <c r="CG29">
        <v>98788</v>
      </c>
      <c r="CH29">
        <v>98865</v>
      </c>
      <c r="CI29">
        <v>98839</v>
      </c>
      <c r="CJ29">
        <v>98887</v>
      </c>
      <c r="CK29">
        <v>99021</v>
      </c>
      <c r="CL29">
        <v>99093</v>
      </c>
      <c r="CM29">
        <v>99027</v>
      </c>
      <c r="CN29">
        <v>99067</v>
      </c>
      <c r="CO29">
        <v>99130</v>
      </c>
      <c r="CP29">
        <v>99115</v>
      </c>
      <c r="CQ29">
        <v>99174</v>
      </c>
      <c r="CR29">
        <v>99196</v>
      </c>
      <c r="CS29">
        <v>99272</v>
      </c>
      <c r="CT29">
        <v>99202</v>
      </c>
      <c r="CU29">
        <v>99276</v>
      </c>
      <c r="CV29">
        <v>99284</v>
      </c>
      <c r="CW29">
        <v>99262</v>
      </c>
    </row>
    <row r="30" spans="1:101" x14ac:dyDescent="0.25">
      <c r="A30" t="s">
        <v>100</v>
      </c>
      <c r="B30">
        <v>74934</v>
      </c>
      <c r="C30">
        <v>76137</v>
      </c>
      <c r="D30">
        <v>78089</v>
      </c>
      <c r="E30">
        <v>77444</v>
      </c>
      <c r="F30">
        <v>78275</v>
      </c>
      <c r="G30">
        <v>79317</v>
      </c>
      <c r="H30">
        <v>79381</v>
      </c>
      <c r="I30">
        <v>80393</v>
      </c>
      <c r="J30">
        <v>81226</v>
      </c>
      <c r="K30">
        <v>82154</v>
      </c>
      <c r="L30">
        <v>81564</v>
      </c>
      <c r="M30">
        <v>80942</v>
      </c>
      <c r="N30">
        <v>84273</v>
      </c>
      <c r="O30">
        <v>83493</v>
      </c>
      <c r="P30">
        <v>83335</v>
      </c>
      <c r="Q30">
        <v>84029</v>
      </c>
      <c r="R30">
        <v>84006</v>
      </c>
      <c r="S30">
        <v>83717</v>
      </c>
      <c r="T30">
        <v>84789</v>
      </c>
      <c r="U30">
        <v>87373</v>
      </c>
      <c r="V30">
        <v>88002</v>
      </c>
      <c r="W30">
        <v>87553</v>
      </c>
      <c r="X30">
        <v>88969</v>
      </c>
      <c r="Y30">
        <v>89848</v>
      </c>
      <c r="Z30">
        <v>90024</v>
      </c>
      <c r="AA30">
        <v>90207</v>
      </c>
      <c r="AB30">
        <v>90480</v>
      </c>
      <c r="AC30">
        <v>91177</v>
      </c>
      <c r="AD30">
        <v>91506</v>
      </c>
      <c r="AE30">
        <v>91968</v>
      </c>
      <c r="AF30">
        <v>92319</v>
      </c>
      <c r="AG30">
        <v>93184</v>
      </c>
      <c r="AH30">
        <v>93418</v>
      </c>
      <c r="AI30">
        <v>93556</v>
      </c>
      <c r="AJ30">
        <v>93781</v>
      </c>
      <c r="AK30">
        <v>94085</v>
      </c>
      <c r="AL30">
        <v>94116</v>
      </c>
      <c r="AM30">
        <v>94354</v>
      </c>
      <c r="AN30">
        <v>94275</v>
      </c>
      <c r="AO30">
        <v>94033</v>
      </c>
      <c r="AP30">
        <v>93884</v>
      </c>
      <c r="AQ30">
        <v>93845</v>
      </c>
      <c r="AR30">
        <v>93926</v>
      </c>
      <c r="AS30">
        <v>93947</v>
      </c>
      <c r="AT30">
        <v>92804</v>
      </c>
      <c r="AU30">
        <v>92507</v>
      </c>
      <c r="AV30">
        <v>95516</v>
      </c>
      <c r="AW30">
        <v>95997</v>
      </c>
      <c r="AX30">
        <v>96323</v>
      </c>
      <c r="AY30">
        <v>96488</v>
      </c>
      <c r="AZ30">
        <v>96517</v>
      </c>
      <c r="BA30">
        <v>96593</v>
      </c>
      <c r="BB30">
        <v>96760</v>
      </c>
      <c r="BC30">
        <v>96938</v>
      </c>
      <c r="BD30">
        <v>96959</v>
      </c>
      <c r="BE30">
        <v>97092</v>
      </c>
      <c r="BF30">
        <v>97248</v>
      </c>
      <c r="BG30">
        <v>97437</v>
      </c>
      <c r="BH30">
        <v>97386</v>
      </c>
      <c r="BI30">
        <v>97505</v>
      </c>
      <c r="BJ30">
        <v>97581</v>
      </c>
      <c r="BK30">
        <v>97727</v>
      </c>
      <c r="BL30">
        <v>97677</v>
      </c>
      <c r="BM30">
        <v>97870</v>
      </c>
      <c r="BN30">
        <v>97941</v>
      </c>
      <c r="BO30">
        <v>97917</v>
      </c>
      <c r="BP30">
        <v>97991</v>
      </c>
      <c r="BQ30">
        <v>98070</v>
      </c>
      <c r="BR30">
        <v>98128</v>
      </c>
      <c r="BS30">
        <v>98204</v>
      </c>
      <c r="BT30">
        <v>98215</v>
      </c>
      <c r="BU30">
        <v>98363</v>
      </c>
      <c r="BV30">
        <v>98410</v>
      </c>
      <c r="BW30">
        <v>98360</v>
      </c>
      <c r="BX30">
        <v>98428</v>
      </c>
      <c r="BY30">
        <v>98511</v>
      </c>
      <c r="BZ30">
        <v>98472</v>
      </c>
      <c r="CA30">
        <v>98634</v>
      </c>
      <c r="CB30">
        <v>98640</v>
      </c>
      <c r="CC30">
        <v>98734</v>
      </c>
      <c r="CD30">
        <v>98775</v>
      </c>
      <c r="CE30">
        <v>98765</v>
      </c>
      <c r="CF30">
        <v>98817</v>
      </c>
      <c r="CG30">
        <v>98756</v>
      </c>
      <c r="CH30">
        <v>98847</v>
      </c>
      <c r="CI30">
        <v>98813</v>
      </c>
      <c r="CJ30">
        <v>98868</v>
      </c>
      <c r="CK30">
        <v>98995</v>
      </c>
      <c r="CL30">
        <v>99072</v>
      </c>
      <c r="CM30">
        <v>99004</v>
      </c>
      <c r="CN30">
        <v>99047</v>
      </c>
      <c r="CO30">
        <v>99111</v>
      </c>
      <c r="CP30">
        <v>99098</v>
      </c>
      <c r="CQ30">
        <v>99159</v>
      </c>
      <c r="CR30">
        <v>99178</v>
      </c>
      <c r="CS30">
        <v>99259</v>
      </c>
      <c r="CT30">
        <v>99189</v>
      </c>
      <c r="CU30">
        <v>99252</v>
      </c>
      <c r="CV30">
        <v>99266</v>
      </c>
      <c r="CW30">
        <v>99245</v>
      </c>
    </row>
    <row r="31" spans="1:101" x14ac:dyDescent="0.25">
      <c r="A31" t="s">
        <v>99</v>
      </c>
      <c r="B31">
        <v>74740</v>
      </c>
      <c r="C31">
        <v>75951</v>
      </c>
      <c r="D31">
        <v>77858</v>
      </c>
      <c r="E31">
        <v>77233</v>
      </c>
      <c r="F31">
        <v>78084</v>
      </c>
      <c r="G31">
        <v>79119</v>
      </c>
      <c r="H31">
        <v>79170</v>
      </c>
      <c r="I31">
        <v>80225</v>
      </c>
      <c r="J31">
        <v>81031</v>
      </c>
      <c r="K31">
        <v>81992</v>
      </c>
      <c r="L31">
        <v>81414</v>
      </c>
      <c r="M31">
        <v>80799</v>
      </c>
      <c r="N31">
        <v>84127</v>
      </c>
      <c r="O31">
        <v>83343</v>
      </c>
      <c r="P31">
        <v>83199</v>
      </c>
      <c r="Q31">
        <v>83907</v>
      </c>
      <c r="R31">
        <v>83894</v>
      </c>
      <c r="S31">
        <v>83562</v>
      </c>
      <c r="T31">
        <v>84646</v>
      </c>
      <c r="U31">
        <v>87222</v>
      </c>
      <c r="V31">
        <v>87824</v>
      </c>
      <c r="W31">
        <v>87280</v>
      </c>
      <c r="X31">
        <v>88646</v>
      </c>
      <c r="Y31">
        <v>89723</v>
      </c>
      <c r="Z31">
        <v>89913</v>
      </c>
      <c r="AA31">
        <v>90125</v>
      </c>
      <c r="AB31">
        <v>90415</v>
      </c>
      <c r="AC31">
        <v>91100</v>
      </c>
      <c r="AD31">
        <v>91456</v>
      </c>
      <c r="AE31">
        <v>91915</v>
      </c>
      <c r="AF31">
        <v>92261</v>
      </c>
      <c r="AG31">
        <v>93136</v>
      </c>
      <c r="AH31">
        <v>93381</v>
      </c>
      <c r="AI31">
        <v>93521</v>
      </c>
      <c r="AJ31">
        <v>93737</v>
      </c>
      <c r="AK31">
        <v>94035</v>
      </c>
      <c r="AL31">
        <v>94082</v>
      </c>
      <c r="AM31">
        <v>94311</v>
      </c>
      <c r="AN31">
        <v>94248</v>
      </c>
      <c r="AO31">
        <v>93988</v>
      </c>
      <c r="AP31">
        <v>93851</v>
      </c>
      <c r="AQ31">
        <v>93803</v>
      </c>
      <c r="AR31">
        <v>93881</v>
      </c>
      <c r="AS31">
        <v>93916</v>
      </c>
      <c r="AT31">
        <v>92763</v>
      </c>
      <c r="AU31">
        <v>92460</v>
      </c>
      <c r="AV31">
        <v>95476</v>
      </c>
      <c r="AW31">
        <v>95948</v>
      </c>
      <c r="AX31">
        <v>96282</v>
      </c>
      <c r="AY31">
        <v>96448</v>
      </c>
      <c r="AZ31">
        <v>96468</v>
      </c>
      <c r="BA31">
        <v>96560</v>
      </c>
      <c r="BB31">
        <v>96726</v>
      </c>
      <c r="BC31">
        <v>96899</v>
      </c>
      <c r="BD31">
        <v>96925</v>
      </c>
      <c r="BE31">
        <v>97056</v>
      </c>
      <c r="BF31">
        <v>97218</v>
      </c>
      <c r="BG31">
        <v>97405</v>
      </c>
      <c r="BH31">
        <v>97358</v>
      </c>
      <c r="BI31">
        <v>97475</v>
      </c>
      <c r="BJ31">
        <v>97547</v>
      </c>
      <c r="BK31">
        <v>97694</v>
      </c>
      <c r="BL31">
        <v>97651</v>
      </c>
      <c r="BM31">
        <v>97838</v>
      </c>
      <c r="BN31">
        <v>97906</v>
      </c>
      <c r="BO31">
        <v>97881</v>
      </c>
      <c r="BP31">
        <v>97942</v>
      </c>
      <c r="BQ31">
        <v>98042</v>
      </c>
      <c r="BR31">
        <v>98097</v>
      </c>
      <c r="BS31">
        <v>98176</v>
      </c>
      <c r="BT31">
        <v>98176</v>
      </c>
      <c r="BU31">
        <v>98342</v>
      </c>
      <c r="BV31">
        <v>98382</v>
      </c>
      <c r="BW31">
        <v>98331</v>
      </c>
      <c r="BX31">
        <v>98406</v>
      </c>
      <c r="BY31">
        <v>98492</v>
      </c>
      <c r="BZ31">
        <v>98445</v>
      </c>
      <c r="CA31">
        <v>98607</v>
      </c>
      <c r="CB31">
        <v>98612</v>
      </c>
      <c r="CC31">
        <v>98712</v>
      </c>
      <c r="CD31">
        <v>98744</v>
      </c>
      <c r="CE31">
        <v>98742</v>
      </c>
      <c r="CF31">
        <v>98787</v>
      </c>
      <c r="CG31">
        <v>98738</v>
      </c>
      <c r="CH31">
        <v>98827</v>
      </c>
      <c r="CI31">
        <v>98788</v>
      </c>
      <c r="CJ31">
        <v>98849</v>
      </c>
      <c r="CK31">
        <v>98979</v>
      </c>
      <c r="CL31">
        <v>99062</v>
      </c>
      <c r="CM31">
        <v>98992</v>
      </c>
      <c r="CN31">
        <v>99027</v>
      </c>
      <c r="CO31">
        <v>99091</v>
      </c>
      <c r="CP31">
        <v>99088</v>
      </c>
      <c r="CQ31">
        <v>99142</v>
      </c>
      <c r="CR31">
        <v>99162</v>
      </c>
      <c r="CS31">
        <v>99244</v>
      </c>
      <c r="CT31">
        <v>99159</v>
      </c>
      <c r="CU31">
        <v>99234</v>
      </c>
      <c r="CV31">
        <v>99248</v>
      </c>
      <c r="CW31">
        <v>99228</v>
      </c>
    </row>
    <row r="32" spans="1:101" x14ac:dyDescent="0.25">
      <c r="A32" t="s">
        <v>98</v>
      </c>
      <c r="B32">
        <v>74520</v>
      </c>
      <c r="C32">
        <v>75777</v>
      </c>
      <c r="D32">
        <v>77648</v>
      </c>
      <c r="E32">
        <v>77037</v>
      </c>
      <c r="F32">
        <v>77901</v>
      </c>
      <c r="G32">
        <v>78924</v>
      </c>
      <c r="H32">
        <v>78978</v>
      </c>
      <c r="I32">
        <v>80079</v>
      </c>
      <c r="J32">
        <v>80869</v>
      </c>
      <c r="K32">
        <v>81828</v>
      </c>
      <c r="L32">
        <v>81265</v>
      </c>
      <c r="M32">
        <v>80640</v>
      </c>
      <c r="N32">
        <v>83985</v>
      </c>
      <c r="O32">
        <v>83206</v>
      </c>
      <c r="P32">
        <v>83070</v>
      </c>
      <c r="Q32">
        <v>83806</v>
      </c>
      <c r="R32">
        <v>83746</v>
      </c>
      <c r="S32">
        <v>83405</v>
      </c>
      <c r="T32">
        <v>84484</v>
      </c>
      <c r="U32">
        <v>87012</v>
      </c>
      <c r="V32">
        <v>87473</v>
      </c>
      <c r="W32">
        <v>86988</v>
      </c>
      <c r="X32">
        <v>88504</v>
      </c>
      <c r="Y32">
        <v>89604</v>
      </c>
      <c r="Z32">
        <v>89827</v>
      </c>
      <c r="AA32">
        <v>90056</v>
      </c>
      <c r="AB32">
        <v>90353</v>
      </c>
      <c r="AC32">
        <v>91042</v>
      </c>
      <c r="AD32">
        <v>91394</v>
      </c>
      <c r="AE32">
        <v>91856</v>
      </c>
      <c r="AF32">
        <v>92202</v>
      </c>
      <c r="AG32">
        <v>93085</v>
      </c>
      <c r="AH32">
        <v>93331</v>
      </c>
      <c r="AI32">
        <v>93471</v>
      </c>
      <c r="AJ32">
        <v>93691</v>
      </c>
      <c r="AK32">
        <v>93994</v>
      </c>
      <c r="AL32">
        <v>94043</v>
      </c>
      <c r="AM32">
        <v>94267</v>
      </c>
      <c r="AN32">
        <v>94203</v>
      </c>
      <c r="AO32">
        <v>93960</v>
      </c>
      <c r="AP32">
        <v>93813</v>
      </c>
      <c r="AQ32">
        <v>93763</v>
      </c>
      <c r="AR32">
        <v>93840</v>
      </c>
      <c r="AS32">
        <v>93885</v>
      </c>
      <c r="AT32">
        <v>92721</v>
      </c>
      <c r="AU32">
        <v>92421</v>
      </c>
      <c r="AV32">
        <v>95436</v>
      </c>
      <c r="AW32">
        <v>95908</v>
      </c>
      <c r="AX32">
        <v>96248</v>
      </c>
      <c r="AY32">
        <v>96409</v>
      </c>
      <c r="AZ32">
        <v>96429</v>
      </c>
      <c r="BA32">
        <v>96530</v>
      </c>
      <c r="BB32">
        <v>96682</v>
      </c>
      <c r="BC32">
        <v>96865</v>
      </c>
      <c r="BD32">
        <v>96897</v>
      </c>
      <c r="BE32">
        <v>97028</v>
      </c>
      <c r="BF32">
        <v>97177</v>
      </c>
      <c r="BG32">
        <v>97371</v>
      </c>
      <c r="BH32">
        <v>97316</v>
      </c>
      <c r="BI32">
        <v>97444</v>
      </c>
      <c r="BJ32">
        <v>97517</v>
      </c>
      <c r="BK32">
        <v>97659</v>
      </c>
      <c r="BL32">
        <v>97618</v>
      </c>
      <c r="BM32">
        <v>97805</v>
      </c>
      <c r="BN32">
        <v>97886</v>
      </c>
      <c r="BO32">
        <v>97845</v>
      </c>
      <c r="BP32">
        <v>97907</v>
      </c>
      <c r="BQ32">
        <v>98017</v>
      </c>
      <c r="BR32">
        <v>98070</v>
      </c>
      <c r="BS32">
        <v>98153</v>
      </c>
      <c r="BT32">
        <v>98146</v>
      </c>
      <c r="BU32">
        <v>98307</v>
      </c>
      <c r="BV32">
        <v>98357</v>
      </c>
      <c r="BW32">
        <v>98304</v>
      </c>
      <c r="BX32">
        <v>98380</v>
      </c>
      <c r="BY32">
        <v>98460</v>
      </c>
      <c r="BZ32">
        <v>98415</v>
      </c>
      <c r="CA32">
        <v>98580</v>
      </c>
      <c r="CB32">
        <v>98580</v>
      </c>
      <c r="CC32">
        <v>98689</v>
      </c>
      <c r="CD32">
        <v>98723</v>
      </c>
      <c r="CE32">
        <v>98720</v>
      </c>
      <c r="CF32">
        <v>98766</v>
      </c>
      <c r="CG32">
        <v>98715</v>
      </c>
      <c r="CH32">
        <v>98800</v>
      </c>
      <c r="CI32">
        <v>98773</v>
      </c>
      <c r="CJ32">
        <v>98830</v>
      </c>
      <c r="CK32">
        <v>98960</v>
      </c>
      <c r="CL32">
        <v>99045</v>
      </c>
      <c r="CM32">
        <v>98969</v>
      </c>
      <c r="CN32">
        <v>99006</v>
      </c>
      <c r="CO32">
        <v>99079</v>
      </c>
      <c r="CP32">
        <v>99071</v>
      </c>
      <c r="CQ32">
        <v>99118</v>
      </c>
      <c r="CR32">
        <v>99144</v>
      </c>
      <c r="CS32">
        <v>99225</v>
      </c>
      <c r="CT32">
        <v>99142</v>
      </c>
      <c r="CU32">
        <v>99216</v>
      </c>
      <c r="CV32">
        <v>99230</v>
      </c>
      <c r="CW32">
        <v>99211</v>
      </c>
    </row>
    <row r="33" spans="1:101" x14ac:dyDescent="0.25">
      <c r="A33" t="s">
        <v>97</v>
      </c>
      <c r="B33">
        <v>74326</v>
      </c>
      <c r="C33">
        <v>75610</v>
      </c>
      <c r="D33">
        <v>77420</v>
      </c>
      <c r="E33">
        <v>76832</v>
      </c>
      <c r="F33">
        <v>77680</v>
      </c>
      <c r="G33">
        <v>78712</v>
      </c>
      <c r="H33">
        <v>78807</v>
      </c>
      <c r="I33">
        <v>79913</v>
      </c>
      <c r="J33">
        <v>80683</v>
      </c>
      <c r="K33">
        <v>81689</v>
      </c>
      <c r="L33">
        <v>81140</v>
      </c>
      <c r="M33">
        <v>80506</v>
      </c>
      <c r="N33">
        <v>83863</v>
      </c>
      <c r="O33">
        <v>83081</v>
      </c>
      <c r="P33">
        <v>82950</v>
      </c>
      <c r="Q33">
        <v>83652</v>
      </c>
      <c r="R33">
        <v>83594</v>
      </c>
      <c r="S33">
        <v>83264</v>
      </c>
      <c r="T33">
        <v>84291</v>
      </c>
      <c r="U33">
        <v>86722</v>
      </c>
      <c r="V33">
        <v>87170</v>
      </c>
      <c r="W33">
        <v>86847</v>
      </c>
      <c r="X33">
        <v>88380</v>
      </c>
      <c r="Y33">
        <v>89513</v>
      </c>
      <c r="Z33">
        <v>89753</v>
      </c>
      <c r="AA33">
        <v>89972</v>
      </c>
      <c r="AB33">
        <v>90291</v>
      </c>
      <c r="AC33">
        <v>90985</v>
      </c>
      <c r="AD33">
        <v>91338</v>
      </c>
      <c r="AE33">
        <v>91805</v>
      </c>
      <c r="AF33">
        <v>92148</v>
      </c>
      <c r="AG33">
        <v>93021</v>
      </c>
      <c r="AH33">
        <v>93289</v>
      </c>
      <c r="AI33">
        <v>93419</v>
      </c>
      <c r="AJ33">
        <v>93648</v>
      </c>
      <c r="AK33">
        <v>93938</v>
      </c>
      <c r="AL33">
        <v>94001</v>
      </c>
      <c r="AM33">
        <v>94228</v>
      </c>
      <c r="AN33">
        <v>94153</v>
      </c>
      <c r="AO33">
        <v>93920</v>
      </c>
      <c r="AP33">
        <v>93760</v>
      </c>
      <c r="AQ33">
        <v>93721</v>
      </c>
      <c r="AR33">
        <v>93797</v>
      </c>
      <c r="AS33">
        <v>93852</v>
      </c>
      <c r="AT33">
        <v>92685</v>
      </c>
      <c r="AU33">
        <v>92387</v>
      </c>
      <c r="AV33">
        <v>95397</v>
      </c>
      <c r="AW33">
        <v>95873</v>
      </c>
      <c r="AX33">
        <v>96209</v>
      </c>
      <c r="AY33">
        <v>96375</v>
      </c>
      <c r="AZ33">
        <v>96394</v>
      </c>
      <c r="BA33">
        <v>96487</v>
      </c>
      <c r="BB33">
        <v>96633</v>
      </c>
      <c r="BC33">
        <v>96823</v>
      </c>
      <c r="BD33">
        <v>96865</v>
      </c>
      <c r="BE33">
        <v>96992</v>
      </c>
      <c r="BF33">
        <v>97140</v>
      </c>
      <c r="BG33">
        <v>97336</v>
      </c>
      <c r="BH33">
        <v>97277</v>
      </c>
      <c r="BI33">
        <v>97418</v>
      </c>
      <c r="BJ33">
        <v>97477</v>
      </c>
      <c r="BK33">
        <v>97620</v>
      </c>
      <c r="BL33">
        <v>97578</v>
      </c>
      <c r="BM33">
        <v>97773</v>
      </c>
      <c r="BN33">
        <v>97852</v>
      </c>
      <c r="BO33">
        <v>97812</v>
      </c>
      <c r="BP33">
        <v>97878</v>
      </c>
      <c r="BQ33">
        <v>97986</v>
      </c>
      <c r="BR33">
        <v>98044</v>
      </c>
      <c r="BS33">
        <v>98127</v>
      </c>
      <c r="BT33">
        <v>98118</v>
      </c>
      <c r="BU33">
        <v>98271</v>
      </c>
      <c r="BV33">
        <v>98318</v>
      </c>
      <c r="BW33">
        <v>98275</v>
      </c>
      <c r="BX33">
        <v>98359</v>
      </c>
      <c r="BY33">
        <v>98429</v>
      </c>
      <c r="BZ33">
        <v>98390</v>
      </c>
      <c r="CA33">
        <v>98538</v>
      </c>
      <c r="CB33">
        <v>98553</v>
      </c>
      <c r="CC33">
        <v>98668</v>
      </c>
      <c r="CD33">
        <v>98705</v>
      </c>
      <c r="CE33">
        <v>98706</v>
      </c>
      <c r="CF33">
        <v>98758</v>
      </c>
      <c r="CG33">
        <v>98694</v>
      </c>
      <c r="CH33">
        <v>98783</v>
      </c>
      <c r="CI33">
        <v>98756</v>
      </c>
      <c r="CJ33">
        <v>98807</v>
      </c>
      <c r="CK33">
        <v>98942</v>
      </c>
      <c r="CL33">
        <v>99033</v>
      </c>
      <c r="CM33">
        <v>98944</v>
      </c>
      <c r="CN33">
        <v>98988</v>
      </c>
      <c r="CO33">
        <v>99058</v>
      </c>
      <c r="CP33">
        <v>99054</v>
      </c>
      <c r="CQ33">
        <v>99103</v>
      </c>
      <c r="CR33">
        <v>99129</v>
      </c>
      <c r="CS33">
        <v>99206</v>
      </c>
      <c r="CT33">
        <v>99123</v>
      </c>
      <c r="CU33">
        <v>99198</v>
      </c>
      <c r="CV33">
        <v>99212</v>
      </c>
      <c r="CW33">
        <v>99193</v>
      </c>
    </row>
    <row r="34" spans="1:101" x14ac:dyDescent="0.25">
      <c r="A34" t="s">
        <v>96</v>
      </c>
      <c r="B34">
        <v>74127</v>
      </c>
      <c r="C34">
        <v>75401</v>
      </c>
      <c r="D34">
        <v>77195</v>
      </c>
      <c r="E34">
        <v>76595</v>
      </c>
      <c r="F34">
        <v>77506</v>
      </c>
      <c r="G34">
        <v>78535</v>
      </c>
      <c r="H34">
        <v>78650</v>
      </c>
      <c r="I34">
        <v>79754</v>
      </c>
      <c r="J34">
        <v>80545</v>
      </c>
      <c r="K34">
        <v>81536</v>
      </c>
      <c r="L34">
        <v>81013</v>
      </c>
      <c r="M34">
        <v>80366</v>
      </c>
      <c r="N34">
        <v>83732</v>
      </c>
      <c r="O34">
        <v>82923</v>
      </c>
      <c r="P34">
        <v>82802</v>
      </c>
      <c r="Q34">
        <v>83510</v>
      </c>
      <c r="R34">
        <v>83454</v>
      </c>
      <c r="S34">
        <v>83095</v>
      </c>
      <c r="T34">
        <v>84035</v>
      </c>
      <c r="U34">
        <v>86404</v>
      </c>
      <c r="V34">
        <v>87025</v>
      </c>
      <c r="W34">
        <v>86727</v>
      </c>
      <c r="X34">
        <v>88292</v>
      </c>
      <c r="Y34">
        <v>89421</v>
      </c>
      <c r="Z34">
        <v>89684</v>
      </c>
      <c r="AA34">
        <v>89905</v>
      </c>
      <c r="AB34">
        <v>90243</v>
      </c>
      <c r="AC34">
        <v>90930</v>
      </c>
      <c r="AD34">
        <v>91277</v>
      </c>
      <c r="AE34">
        <v>91754</v>
      </c>
      <c r="AF34">
        <v>92096</v>
      </c>
      <c r="AG34">
        <v>92966</v>
      </c>
      <c r="AH34">
        <v>93237</v>
      </c>
      <c r="AI34">
        <v>93373</v>
      </c>
      <c r="AJ34">
        <v>93609</v>
      </c>
      <c r="AK34">
        <v>93893</v>
      </c>
      <c r="AL34">
        <v>93948</v>
      </c>
      <c r="AM34">
        <v>94196</v>
      </c>
      <c r="AN34">
        <v>94108</v>
      </c>
      <c r="AO34">
        <v>93886</v>
      </c>
      <c r="AP34">
        <v>93716</v>
      </c>
      <c r="AQ34">
        <v>93678</v>
      </c>
      <c r="AR34">
        <v>93768</v>
      </c>
      <c r="AS34">
        <v>93804</v>
      </c>
      <c r="AT34">
        <v>92645</v>
      </c>
      <c r="AU34">
        <v>92352</v>
      </c>
      <c r="AV34">
        <v>95353</v>
      </c>
      <c r="AW34">
        <v>95836</v>
      </c>
      <c r="AX34">
        <v>96170</v>
      </c>
      <c r="AY34">
        <v>96339</v>
      </c>
      <c r="AZ34">
        <v>96359</v>
      </c>
      <c r="BA34">
        <v>96447</v>
      </c>
      <c r="BB34">
        <v>96586</v>
      </c>
      <c r="BC34">
        <v>96779</v>
      </c>
      <c r="BD34">
        <v>96825</v>
      </c>
      <c r="BE34">
        <v>96964</v>
      </c>
      <c r="BF34">
        <v>97103</v>
      </c>
      <c r="BG34">
        <v>97301</v>
      </c>
      <c r="BH34">
        <v>97245</v>
      </c>
      <c r="BI34">
        <v>97384</v>
      </c>
      <c r="BJ34">
        <v>97446</v>
      </c>
      <c r="BK34">
        <v>97586</v>
      </c>
      <c r="BL34">
        <v>97548</v>
      </c>
      <c r="BM34">
        <v>97738</v>
      </c>
      <c r="BN34">
        <v>97817</v>
      </c>
      <c r="BO34">
        <v>97780</v>
      </c>
      <c r="BP34">
        <v>97838</v>
      </c>
      <c r="BQ34">
        <v>97941</v>
      </c>
      <c r="BR34">
        <v>98007</v>
      </c>
      <c r="BS34">
        <v>98091</v>
      </c>
      <c r="BT34">
        <v>98084</v>
      </c>
      <c r="BU34">
        <v>98233</v>
      </c>
      <c r="BV34">
        <v>98293</v>
      </c>
      <c r="BW34">
        <v>98237</v>
      </c>
      <c r="BX34">
        <v>98327</v>
      </c>
      <c r="BY34">
        <v>98396</v>
      </c>
      <c r="BZ34">
        <v>98363</v>
      </c>
      <c r="CA34">
        <v>98509</v>
      </c>
      <c r="CB34">
        <v>98529</v>
      </c>
      <c r="CC34">
        <v>98640</v>
      </c>
      <c r="CD34">
        <v>98684</v>
      </c>
      <c r="CE34">
        <v>98687</v>
      </c>
      <c r="CF34">
        <v>98726</v>
      </c>
      <c r="CG34">
        <v>98669</v>
      </c>
      <c r="CH34">
        <v>98760</v>
      </c>
      <c r="CI34">
        <v>98732</v>
      </c>
      <c r="CJ34">
        <v>98787</v>
      </c>
      <c r="CK34">
        <v>98924</v>
      </c>
      <c r="CL34">
        <v>99015</v>
      </c>
      <c r="CM34">
        <v>98921</v>
      </c>
      <c r="CN34">
        <v>98962</v>
      </c>
      <c r="CO34">
        <v>99043</v>
      </c>
      <c r="CP34">
        <v>99029</v>
      </c>
      <c r="CQ34">
        <v>99089</v>
      </c>
      <c r="CR34">
        <v>99108</v>
      </c>
      <c r="CS34">
        <v>99187</v>
      </c>
      <c r="CT34">
        <v>99103</v>
      </c>
      <c r="CU34">
        <v>99180</v>
      </c>
      <c r="CV34">
        <v>99193</v>
      </c>
      <c r="CW34">
        <v>99175</v>
      </c>
    </row>
    <row r="35" spans="1:101" x14ac:dyDescent="0.25">
      <c r="A35" t="s">
        <v>95</v>
      </c>
      <c r="B35">
        <v>73940</v>
      </c>
      <c r="C35">
        <v>75223</v>
      </c>
      <c r="D35">
        <v>76969</v>
      </c>
      <c r="E35">
        <v>76392</v>
      </c>
      <c r="F35">
        <v>77281</v>
      </c>
      <c r="G35">
        <v>78367</v>
      </c>
      <c r="H35">
        <v>78490</v>
      </c>
      <c r="I35">
        <v>79578</v>
      </c>
      <c r="J35">
        <v>80377</v>
      </c>
      <c r="K35">
        <v>81387</v>
      </c>
      <c r="L35">
        <v>80856</v>
      </c>
      <c r="M35">
        <v>80231</v>
      </c>
      <c r="N35">
        <v>83604</v>
      </c>
      <c r="O35">
        <v>82779</v>
      </c>
      <c r="P35">
        <v>82656</v>
      </c>
      <c r="Q35">
        <v>83389</v>
      </c>
      <c r="R35">
        <v>83261</v>
      </c>
      <c r="S35">
        <v>82815</v>
      </c>
      <c r="T35">
        <v>83740</v>
      </c>
      <c r="U35">
        <v>86243</v>
      </c>
      <c r="V35">
        <v>86927</v>
      </c>
      <c r="W35">
        <v>86645</v>
      </c>
      <c r="X35">
        <v>88216</v>
      </c>
      <c r="Y35">
        <v>89350</v>
      </c>
      <c r="Z35">
        <v>89603</v>
      </c>
      <c r="AA35">
        <v>89853</v>
      </c>
      <c r="AB35">
        <v>90175</v>
      </c>
      <c r="AC35">
        <v>90878</v>
      </c>
      <c r="AD35">
        <v>91228</v>
      </c>
      <c r="AE35">
        <v>91703</v>
      </c>
      <c r="AF35">
        <v>92040</v>
      </c>
      <c r="AG35">
        <v>92904</v>
      </c>
      <c r="AH35">
        <v>93188</v>
      </c>
      <c r="AI35">
        <v>93314</v>
      </c>
      <c r="AJ35">
        <v>93568</v>
      </c>
      <c r="AK35">
        <v>93847</v>
      </c>
      <c r="AL35">
        <v>93900</v>
      </c>
      <c r="AM35">
        <v>94156</v>
      </c>
      <c r="AN35">
        <v>94063</v>
      </c>
      <c r="AO35">
        <v>93833</v>
      </c>
      <c r="AP35">
        <v>93678</v>
      </c>
      <c r="AQ35">
        <v>93635</v>
      </c>
      <c r="AR35">
        <v>93715</v>
      </c>
      <c r="AS35">
        <v>93756</v>
      </c>
      <c r="AT35">
        <v>92607</v>
      </c>
      <c r="AU35">
        <v>92308</v>
      </c>
      <c r="AV35">
        <v>95305</v>
      </c>
      <c r="AW35">
        <v>95794</v>
      </c>
      <c r="AX35">
        <v>96125</v>
      </c>
      <c r="AY35">
        <v>96293</v>
      </c>
      <c r="AZ35">
        <v>96324</v>
      </c>
      <c r="BA35">
        <v>96417</v>
      </c>
      <c r="BB35">
        <v>96537</v>
      </c>
      <c r="BC35">
        <v>96744</v>
      </c>
      <c r="BD35">
        <v>96791</v>
      </c>
      <c r="BE35">
        <v>96930</v>
      </c>
      <c r="BF35">
        <v>97064</v>
      </c>
      <c r="BG35">
        <v>97265</v>
      </c>
      <c r="BH35">
        <v>97213</v>
      </c>
      <c r="BI35">
        <v>97356</v>
      </c>
      <c r="BJ35">
        <v>97409</v>
      </c>
      <c r="BK35">
        <v>97548</v>
      </c>
      <c r="BL35">
        <v>97520</v>
      </c>
      <c r="BM35">
        <v>97698</v>
      </c>
      <c r="BN35">
        <v>97784</v>
      </c>
      <c r="BO35">
        <v>97747</v>
      </c>
      <c r="BP35">
        <v>97797</v>
      </c>
      <c r="BQ35">
        <v>97911</v>
      </c>
      <c r="BR35">
        <v>97970</v>
      </c>
      <c r="BS35">
        <v>98064</v>
      </c>
      <c r="BT35">
        <v>98043</v>
      </c>
      <c r="BU35">
        <v>98201</v>
      </c>
      <c r="BV35">
        <v>98260</v>
      </c>
      <c r="BW35">
        <v>98202</v>
      </c>
      <c r="BX35">
        <v>98304</v>
      </c>
      <c r="BY35">
        <v>98357</v>
      </c>
      <c r="BZ35">
        <v>98330</v>
      </c>
      <c r="CA35">
        <v>98482</v>
      </c>
      <c r="CB35">
        <v>98507</v>
      </c>
      <c r="CC35">
        <v>98613</v>
      </c>
      <c r="CD35">
        <v>98660</v>
      </c>
      <c r="CE35">
        <v>98666</v>
      </c>
      <c r="CF35">
        <v>98697</v>
      </c>
      <c r="CG35">
        <v>98647</v>
      </c>
      <c r="CH35">
        <v>98735</v>
      </c>
      <c r="CI35">
        <v>98718</v>
      </c>
      <c r="CJ35">
        <v>98765</v>
      </c>
      <c r="CK35">
        <v>98905</v>
      </c>
      <c r="CL35">
        <v>98993</v>
      </c>
      <c r="CM35">
        <v>98899</v>
      </c>
      <c r="CN35">
        <v>98943</v>
      </c>
      <c r="CO35">
        <v>99022</v>
      </c>
      <c r="CP35">
        <v>99001</v>
      </c>
      <c r="CQ35">
        <v>99067</v>
      </c>
      <c r="CR35">
        <v>99086</v>
      </c>
      <c r="CS35">
        <v>99166</v>
      </c>
      <c r="CT35">
        <v>99082</v>
      </c>
      <c r="CU35">
        <v>99160</v>
      </c>
      <c r="CV35">
        <v>99174</v>
      </c>
      <c r="CW35">
        <v>99156</v>
      </c>
    </row>
    <row r="36" spans="1:101" x14ac:dyDescent="0.25">
      <c r="A36" t="s">
        <v>94</v>
      </c>
      <c r="B36">
        <v>73720</v>
      </c>
      <c r="C36">
        <v>74988</v>
      </c>
      <c r="D36">
        <v>76774</v>
      </c>
      <c r="E36">
        <v>76192</v>
      </c>
      <c r="F36">
        <v>77119</v>
      </c>
      <c r="G36">
        <v>78184</v>
      </c>
      <c r="H36">
        <v>78311</v>
      </c>
      <c r="I36">
        <v>79418</v>
      </c>
      <c r="J36">
        <v>80219</v>
      </c>
      <c r="K36">
        <v>81224</v>
      </c>
      <c r="L36">
        <v>80718</v>
      </c>
      <c r="M36">
        <v>80109</v>
      </c>
      <c r="N36">
        <v>83467</v>
      </c>
      <c r="O36">
        <v>82593</v>
      </c>
      <c r="P36">
        <v>82491</v>
      </c>
      <c r="Q36">
        <v>83199</v>
      </c>
      <c r="R36">
        <v>83012</v>
      </c>
      <c r="S36">
        <v>82548</v>
      </c>
      <c r="T36">
        <v>83598</v>
      </c>
      <c r="U36">
        <v>86126</v>
      </c>
      <c r="V36">
        <v>86831</v>
      </c>
      <c r="W36">
        <v>86561</v>
      </c>
      <c r="X36">
        <v>88132</v>
      </c>
      <c r="Y36">
        <v>89268</v>
      </c>
      <c r="Z36">
        <v>89546</v>
      </c>
      <c r="AA36">
        <v>89798</v>
      </c>
      <c r="AB36">
        <v>90110</v>
      </c>
      <c r="AC36">
        <v>90820</v>
      </c>
      <c r="AD36">
        <v>91192</v>
      </c>
      <c r="AE36">
        <v>91659</v>
      </c>
      <c r="AF36">
        <v>91989</v>
      </c>
      <c r="AG36">
        <v>92849</v>
      </c>
      <c r="AH36">
        <v>93129</v>
      </c>
      <c r="AI36">
        <v>93264</v>
      </c>
      <c r="AJ36">
        <v>93511</v>
      </c>
      <c r="AK36">
        <v>93805</v>
      </c>
      <c r="AL36">
        <v>93858</v>
      </c>
      <c r="AM36">
        <v>94117</v>
      </c>
      <c r="AN36">
        <v>94012</v>
      </c>
      <c r="AO36">
        <v>93778</v>
      </c>
      <c r="AP36">
        <v>93624</v>
      </c>
      <c r="AQ36">
        <v>93582</v>
      </c>
      <c r="AR36">
        <v>93660</v>
      </c>
      <c r="AS36">
        <v>93721</v>
      </c>
      <c r="AT36">
        <v>92564</v>
      </c>
      <c r="AU36">
        <v>92260</v>
      </c>
      <c r="AV36">
        <v>95268</v>
      </c>
      <c r="AW36">
        <v>95753</v>
      </c>
      <c r="AX36">
        <v>96087</v>
      </c>
      <c r="AY36">
        <v>96254</v>
      </c>
      <c r="AZ36">
        <v>96273</v>
      </c>
      <c r="BA36">
        <v>96373</v>
      </c>
      <c r="BB36">
        <v>96512</v>
      </c>
      <c r="BC36">
        <v>96695</v>
      </c>
      <c r="BD36">
        <v>96752</v>
      </c>
      <c r="BE36">
        <v>96891</v>
      </c>
      <c r="BF36">
        <v>97035</v>
      </c>
      <c r="BG36">
        <v>97232</v>
      </c>
      <c r="BH36">
        <v>97171</v>
      </c>
      <c r="BI36">
        <v>97318</v>
      </c>
      <c r="BJ36">
        <v>97369</v>
      </c>
      <c r="BK36">
        <v>97513</v>
      </c>
      <c r="BL36">
        <v>97486</v>
      </c>
      <c r="BM36">
        <v>97659</v>
      </c>
      <c r="BN36">
        <v>97742</v>
      </c>
      <c r="BO36">
        <v>97717</v>
      </c>
      <c r="BP36">
        <v>97761</v>
      </c>
      <c r="BQ36">
        <v>97869</v>
      </c>
      <c r="BR36">
        <v>97927</v>
      </c>
      <c r="BS36">
        <v>98026</v>
      </c>
      <c r="BT36">
        <v>98007</v>
      </c>
      <c r="BU36">
        <v>98167</v>
      </c>
      <c r="BV36">
        <v>98227</v>
      </c>
      <c r="BW36">
        <v>98177</v>
      </c>
      <c r="BX36">
        <v>98269</v>
      </c>
      <c r="BY36">
        <v>98325</v>
      </c>
      <c r="BZ36">
        <v>98305</v>
      </c>
      <c r="CA36">
        <v>98457</v>
      </c>
      <c r="CB36">
        <v>98483</v>
      </c>
      <c r="CC36">
        <v>98585</v>
      </c>
      <c r="CD36">
        <v>98634</v>
      </c>
      <c r="CE36">
        <v>98642</v>
      </c>
      <c r="CF36">
        <v>98677</v>
      </c>
      <c r="CG36">
        <v>98622</v>
      </c>
      <c r="CH36">
        <v>98720</v>
      </c>
      <c r="CI36">
        <v>98695</v>
      </c>
      <c r="CJ36">
        <v>98734</v>
      </c>
      <c r="CK36">
        <v>98886</v>
      </c>
      <c r="CL36">
        <v>98963</v>
      </c>
      <c r="CM36">
        <v>98883</v>
      </c>
      <c r="CN36">
        <v>98926</v>
      </c>
      <c r="CO36">
        <v>98997</v>
      </c>
      <c r="CP36">
        <v>98977</v>
      </c>
      <c r="CQ36">
        <v>99043</v>
      </c>
      <c r="CR36">
        <v>99063</v>
      </c>
      <c r="CS36">
        <v>99143</v>
      </c>
      <c r="CT36">
        <v>99060</v>
      </c>
      <c r="CU36">
        <v>99138</v>
      </c>
      <c r="CV36">
        <v>99153</v>
      </c>
      <c r="CW36">
        <v>99135</v>
      </c>
    </row>
    <row r="37" spans="1:101" x14ac:dyDescent="0.25">
      <c r="A37" t="s">
        <v>93</v>
      </c>
      <c r="B37">
        <v>73473</v>
      </c>
      <c r="C37">
        <v>74787</v>
      </c>
      <c r="D37">
        <v>76583</v>
      </c>
      <c r="E37">
        <v>76034</v>
      </c>
      <c r="F37">
        <v>76937</v>
      </c>
      <c r="G37">
        <v>78007</v>
      </c>
      <c r="H37">
        <v>78141</v>
      </c>
      <c r="I37">
        <v>79238</v>
      </c>
      <c r="J37">
        <v>80065</v>
      </c>
      <c r="K37">
        <v>81063</v>
      </c>
      <c r="L37">
        <v>80582</v>
      </c>
      <c r="M37">
        <v>79972</v>
      </c>
      <c r="N37">
        <v>83299</v>
      </c>
      <c r="O37">
        <v>82407</v>
      </c>
      <c r="P37">
        <v>82298</v>
      </c>
      <c r="Q37">
        <v>82943</v>
      </c>
      <c r="R37">
        <v>82762</v>
      </c>
      <c r="S37">
        <v>82399</v>
      </c>
      <c r="T37">
        <v>83482</v>
      </c>
      <c r="U37">
        <v>86033</v>
      </c>
      <c r="V37">
        <v>86724</v>
      </c>
      <c r="W37">
        <v>86470</v>
      </c>
      <c r="X37">
        <v>88038</v>
      </c>
      <c r="Y37">
        <v>89201</v>
      </c>
      <c r="Z37">
        <v>89473</v>
      </c>
      <c r="AA37">
        <v>89737</v>
      </c>
      <c r="AB37">
        <v>90048</v>
      </c>
      <c r="AC37">
        <v>90761</v>
      </c>
      <c r="AD37">
        <v>91120</v>
      </c>
      <c r="AE37">
        <v>91605</v>
      </c>
      <c r="AF37">
        <v>91929</v>
      </c>
      <c r="AG37">
        <v>92789</v>
      </c>
      <c r="AH37">
        <v>93074</v>
      </c>
      <c r="AI37">
        <v>93211</v>
      </c>
      <c r="AJ37">
        <v>93455</v>
      </c>
      <c r="AK37">
        <v>93750</v>
      </c>
      <c r="AL37">
        <v>93813</v>
      </c>
      <c r="AM37">
        <v>94068</v>
      </c>
      <c r="AN37">
        <v>93959</v>
      </c>
      <c r="AO37">
        <v>93740</v>
      </c>
      <c r="AP37">
        <v>93575</v>
      </c>
      <c r="AQ37">
        <v>93534</v>
      </c>
      <c r="AR37">
        <v>93604</v>
      </c>
      <c r="AS37">
        <v>93677</v>
      </c>
      <c r="AT37">
        <v>92506</v>
      </c>
      <c r="AU37">
        <v>92215</v>
      </c>
      <c r="AV37">
        <v>95225</v>
      </c>
      <c r="AW37">
        <v>95708</v>
      </c>
      <c r="AX37">
        <v>96038</v>
      </c>
      <c r="AY37">
        <v>96205</v>
      </c>
      <c r="AZ37">
        <v>96232</v>
      </c>
      <c r="BA37">
        <v>96327</v>
      </c>
      <c r="BB37">
        <v>96462</v>
      </c>
      <c r="BC37">
        <v>96652</v>
      </c>
      <c r="BD37">
        <v>96710</v>
      </c>
      <c r="BE37">
        <v>96847</v>
      </c>
      <c r="BF37">
        <v>97004</v>
      </c>
      <c r="BG37">
        <v>97184</v>
      </c>
      <c r="BH37">
        <v>97134</v>
      </c>
      <c r="BI37">
        <v>97286</v>
      </c>
      <c r="BJ37">
        <v>97336</v>
      </c>
      <c r="BK37">
        <v>97471</v>
      </c>
      <c r="BL37">
        <v>97448</v>
      </c>
      <c r="BM37">
        <v>97619</v>
      </c>
      <c r="BN37">
        <v>97696</v>
      </c>
      <c r="BO37">
        <v>97671</v>
      </c>
      <c r="BP37">
        <v>97717</v>
      </c>
      <c r="BQ37">
        <v>97833</v>
      </c>
      <c r="BR37">
        <v>97894</v>
      </c>
      <c r="BS37">
        <v>97995</v>
      </c>
      <c r="BT37">
        <v>97972</v>
      </c>
      <c r="BU37">
        <v>98136</v>
      </c>
      <c r="BV37">
        <v>98191</v>
      </c>
      <c r="BW37">
        <v>98143</v>
      </c>
      <c r="BX37">
        <v>98227</v>
      </c>
      <c r="BY37">
        <v>98291</v>
      </c>
      <c r="BZ37">
        <v>98272</v>
      </c>
      <c r="CA37">
        <v>98422</v>
      </c>
      <c r="CB37">
        <v>98450</v>
      </c>
      <c r="CC37">
        <v>98560</v>
      </c>
      <c r="CD37">
        <v>98613</v>
      </c>
      <c r="CE37">
        <v>98623</v>
      </c>
      <c r="CF37">
        <v>98645</v>
      </c>
      <c r="CG37">
        <v>98593</v>
      </c>
      <c r="CH37">
        <v>98693</v>
      </c>
      <c r="CI37">
        <v>98665</v>
      </c>
      <c r="CJ37">
        <v>98707</v>
      </c>
      <c r="CK37">
        <v>98857</v>
      </c>
      <c r="CL37">
        <v>98940</v>
      </c>
      <c r="CM37">
        <v>98853</v>
      </c>
      <c r="CN37">
        <v>98889</v>
      </c>
      <c r="CO37">
        <v>98971</v>
      </c>
      <c r="CP37">
        <v>98952</v>
      </c>
      <c r="CQ37">
        <v>99019</v>
      </c>
      <c r="CR37">
        <v>99040</v>
      </c>
      <c r="CS37">
        <v>99119</v>
      </c>
      <c r="CT37">
        <v>99038</v>
      </c>
      <c r="CU37">
        <v>99115</v>
      </c>
      <c r="CV37">
        <v>99131</v>
      </c>
      <c r="CW37">
        <v>99113</v>
      </c>
    </row>
    <row r="38" spans="1:101" x14ac:dyDescent="0.25">
      <c r="A38" t="s">
        <v>92</v>
      </c>
      <c r="B38">
        <v>73269</v>
      </c>
      <c r="C38">
        <v>74587</v>
      </c>
      <c r="D38">
        <v>76374</v>
      </c>
      <c r="E38">
        <v>75873</v>
      </c>
      <c r="F38">
        <v>76757</v>
      </c>
      <c r="G38">
        <v>77842</v>
      </c>
      <c r="H38">
        <v>77942</v>
      </c>
      <c r="I38">
        <v>79076</v>
      </c>
      <c r="J38">
        <v>79937</v>
      </c>
      <c r="K38">
        <v>80932</v>
      </c>
      <c r="L38">
        <v>80426</v>
      </c>
      <c r="M38">
        <v>79844</v>
      </c>
      <c r="N38">
        <v>83141</v>
      </c>
      <c r="O38">
        <v>82208</v>
      </c>
      <c r="P38">
        <v>82010</v>
      </c>
      <c r="Q38">
        <v>82653</v>
      </c>
      <c r="R38">
        <v>82614</v>
      </c>
      <c r="S38">
        <v>82306</v>
      </c>
      <c r="T38">
        <v>83372</v>
      </c>
      <c r="U38">
        <v>85959</v>
      </c>
      <c r="V38">
        <v>86653</v>
      </c>
      <c r="W38">
        <v>86394</v>
      </c>
      <c r="X38">
        <v>87951</v>
      </c>
      <c r="Y38">
        <v>89111</v>
      </c>
      <c r="Z38">
        <v>89392</v>
      </c>
      <c r="AA38">
        <v>89659</v>
      </c>
      <c r="AB38">
        <v>90009</v>
      </c>
      <c r="AC38">
        <v>90683</v>
      </c>
      <c r="AD38">
        <v>91065</v>
      </c>
      <c r="AE38">
        <v>91544</v>
      </c>
      <c r="AF38">
        <v>91883</v>
      </c>
      <c r="AG38">
        <v>92739</v>
      </c>
      <c r="AH38">
        <v>93025</v>
      </c>
      <c r="AI38">
        <v>93156</v>
      </c>
      <c r="AJ38">
        <v>93402</v>
      </c>
      <c r="AK38">
        <v>93697</v>
      </c>
      <c r="AL38">
        <v>93751</v>
      </c>
      <c r="AM38">
        <v>94003</v>
      </c>
      <c r="AN38">
        <v>93907</v>
      </c>
      <c r="AO38">
        <v>93689</v>
      </c>
      <c r="AP38">
        <v>93515</v>
      </c>
      <c r="AQ38">
        <v>93482</v>
      </c>
      <c r="AR38">
        <v>93558</v>
      </c>
      <c r="AS38">
        <v>93618</v>
      </c>
      <c r="AT38">
        <v>92467</v>
      </c>
      <c r="AU38">
        <v>92175</v>
      </c>
      <c r="AV38">
        <v>95173</v>
      </c>
      <c r="AW38">
        <v>95666</v>
      </c>
      <c r="AX38">
        <v>95987</v>
      </c>
      <c r="AY38">
        <v>96164</v>
      </c>
      <c r="AZ38">
        <v>96172</v>
      </c>
      <c r="BA38">
        <v>96279</v>
      </c>
      <c r="BB38">
        <v>96417</v>
      </c>
      <c r="BC38">
        <v>96597</v>
      </c>
      <c r="BD38">
        <v>96657</v>
      </c>
      <c r="BE38">
        <v>96809</v>
      </c>
      <c r="BF38">
        <v>96954</v>
      </c>
      <c r="BG38">
        <v>97148</v>
      </c>
      <c r="BH38">
        <v>97098</v>
      </c>
      <c r="BI38">
        <v>97249</v>
      </c>
      <c r="BJ38">
        <v>97296</v>
      </c>
      <c r="BK38">
        <v>97435</v>
      </c>
      <c r="BL38">
        <v>97406</v>
      </c>
      <c r="BM38">
        <v>97563</v>
      </c>
      <c r="BN38">
        <v>97662</v>
      </c>
      <c r="BO38">
        <v>97635</v>
      </c>
      <c r="BP38">
        <v>97678</v>
      </c>
      <c r="BQ38">
        <v>97786</v>
      </c>
      <c r="BR38">
        <v>97845</v>
      </c>
      <c r="BS38">
        <v>97956</v>
      </c>
      <c r="BT38">
        <v>97948</v>
      </c>
      <c r="BU38">
        <v>98095</v>
      </c>
      <c r="BV38">
        <v>98159</v>
      </c>
      <c r="BW38">
        <v>98106</v>
      </c>
      <c r="BX38">
        <v>98196</v>
      </c>
      <c r="BY38">
        <v>98265</v>
      </c>
      <c r="BZ38">
        <v>98237</v>
      </c>
      <c r="CA38">
        <v>98395</v>
      </c>
      <c r="CB38">
        <v>98420</v>
      </c>
      <c r="CC38">
        <v>98533</v>
      </c>
      <c r="CD38">
        <v>98577</v>
      </c>
      <c r="CE38">
        <v>98597</v>
      </c>
      <c r="CF38">
        <v>98619</v>
      </c>
      <c r="CG38">
        <v>98569</v>
      </c>
      <c r="CH38">
        <v>98662</v>
      </c>
      <c r="CI38">
        <v>98635</v>
      </c>
      <c r="CJ38">
        <v>98678</v>
      </c>
      <c r="CK38">
        <v>98831</v>
      </c>
      <c r="CL38">
        <v>98914</v>
      </c>
      <c r="CM38">
        <v>98829</v>
      </c>
      <c r="CN38">
        <v>98861</v>
      </c>
      <c r="CO38">
        <v>98944</v>
      </c>
      <c r="CP38">
        <v>98925</v>
      </c>
      <c r="CQ38">
        <v>98993</v>
      </c>
      <c r="CR38">
        <v>99014</v>
      </c>
      <c r="CS38">
        <v>99094</v>
      </c>
      <c r="CT38">
        <v>99013</v>
      </c>
      <c r="CU38">
        <v>99091</v>
      </c>
      <c r="CV38">
        <v>99108</v>
      </c>
      <c r="CW38">
        <v>99090</v>
      </c>
    </row>
    <row r="39" spans="1:101" x14ac:dyDescent="0.25">
      <c r="A39" t="s">
        <v>91</v>
      </c>
      <c r="B39">
        <v>73075</v>
      </c>
      <c r="C39">
        <v>74387</v>
      </c>
      <c r="D39">
        <v>76201</v>
      </c>
      <c r="E39">
        <v>75692</v>
      </c>
      <c r="F39">
        <v>76548</v>
      </c>
      <c r="G39">
        <v>77687</v>
      </c>
      <c r="H39">
        <v>77794</v>
      </c>
      <c r="I39">
        <v>78916</v>
      </c>
      <c r="J39">
        <v>79780</v>
      </c>
      <c r="K39">
        <v>80767</v>
      </c>
      <c r="L39">
        <v>80255</v>
      </c>
      <c r="M39">
        <v>79681</v>
      </c>
      <c r="N39">
        <v>82945</v>
      </c>
      <c r="O39">
        <v>81945</v>
      </c>
      <c r="P39">
        <v>81715</v>
      </c>
      <c r="Q39">
        <v>82482</v>
      </c>
      <c r="R39">
        <v>82478</v>
      </c>
      <c r="S39">
        <v>82197</v>
      </c>
      <c r="T39">
        <v>83288</v>
      </c>
      <c r="U39">
        <v>85898</v>
      </c>
      <c r="V39">
        <v>86563</v>
      </c>
      <c r="W39">
        <v>86314</v>
      </c>
      <c r="X39">
        <v>87858</v>
      </c>
      <c r="Y39">
        <v>89041</v>
      </c>
      <c r="Z39">
        <v>89322</v>
      </c>
      <c r="AA39">
        <v>89579</v>
      </c>
      <c r="AB39">
        <v>89939</v>
      </c>
      <c r="AC39">
        <v>90625</v>
      </c>
      <c r="AD39">
        <v>91001</v>
      </c>
      <c r="AE39">
        <v>91487</v>
      </c>
      <c r="AF39">
        <v>91832</v>
      </c>
      <c r="AG39">
        <v>92677</v>
      </c>
      <c r="AH39">
        <v>92959</v>
      </c>
      <c r="AI39">
        <v>93095</v>
      </c>
      <c r="AJ39">
        <v>93336</v>
      </c>
      <c r="AK39">
        <v>93639</v>
      </c>
      <c r="AL39">
        <v>93687</v>
      </c>
      <c r="AM39">
        <v>93941</v>
      </c>
      <c r="AN39">
        <v>93850</v>
      </c>
      <c r="AO39">
        <v>93641</v>
      </c>
      <c r="AP39">
        <v>93461</v>
      </c>
      <c r="AQ39">
        <v>93429</v>
      </c>
      <c r="AR39">
        <v>93485</v>
      </c>
      <c r="AS39">
        <v>93569</v>
      </c>
      <c r="AT39">
        <v>92419</v>
      </c>
      <c r="AU39">
        <v>92120</v>
      </c>
      <c r="AV39">
        <v>95110</v>
      </c>
      <c r="AW39">
        <v>95604</v>
      </c>
      <c r="AX39">
        <v>95939</v>
      </c>
      <c r="AY39">
        <v>96127</v>
      </c>
      <c r="AZ39">
        <v>96122</v>
      </c>
      <c r="BA39">
        <v>96226</v>
      </c>
      <c r="BB39">
        <v>96370</v>
      </c>
      <c r="BC39">
        <v>96545</v>
      </c>
      <c r="BD39">
        <v>96603</v>
      </c>
      <c r="BE39">
        <v>96751</v>
      </c>
      <c r="BF39">
        <v>96899</v>
      </c>
      <c r="BG39">
        <v>97103</v>
      </c>
      <c r="BH39">
        <v>97047</v>
      </c>
      <c r="BI39">
        <v>97208</v>
      </c>
      <c r="BJ39">
        <v>97250</v>
      </c>
      <c r="BK39">
        <v>97391</v>
      </c>
      <c r="BL39">
        <v>97342</v>
      </c>
      <c r="BM39">
        <v>97521</v>
      </c>
      <c r="BN39">
        <v>97616</v>
      </c>
      <c r="BO39">
        <v>97597</v>
      </c>
      <c r="BP39">
        <v>97641</v>
      </c>
      <c r="BQ39">
        <v>97750</v>
      </c>
      <c r="BR39">
        <v>97799</v>
      </c>
      <c r="BS39">
        <v>97909</v>
      </c>
      <c r="BT39">
        <v>97908</v>
      </c>
      <c r="BU39">
        <v>98053</v>
      </c>
      <c r="BV39">
        <v>98122</v>
      </c>
      <c r="BW39">
        <v>98064</v>
      </c>
      <c r="BX39">
        <v>98158</v>
      </c>
      <c r="BY39">
        <v>98232</v>
      </c>
      <c r="BZ39">
        <v>98200</v>
      </c>
      <c r="CA39">
        <v>98363</v>
      </c>
      <c r="CB39">
        <v>98390</v>
      </c>
      <c r="CC39">
        <v>98499</v>
      </c>
      <c r="CD39">
        <v>98548</v>
      </c>
      <c r="CE39">
        <v>98562</v>
      </c>
      <c r="CF39">
        <v>98587</v>
      </c>
      <c r="CG39">
        <v>98543</v>
      </c>
      <c r="CH39">
        <v>98639</v>
      </c>
      <c r="CI39">
        <v>98605</v>
      </c>
      <c r="CJ39">
        <v>98648</v>
      </c>
      <c r="CK39">
        <v>98807</v>
      </c>
      <c r="CL39">
        <v>98887</v>
      </c>
      <c r="CM39">
        <v>98800</v>
      </c>
      <c r="CN39">
        <v>98832</v>
      </c>
      <c r="CO39">
        <v>98917</v>
      </c>
      <c r="CP39">
        <v>98898</v>
      </c>
      <c r="CQ39">
        <v>98966</v>
      </c>
      <c r="CR39">
        <v>98987</v>
      </c>
      <c r="CS39">
        <v>99069</v>
      </c>
      <c r="CT39">
        <v>98987</v>
      </c>
      <c r="CU39">
        <v>99067</v>
      </c>
      <c r="CV39">
        <v>99083</v>
      </c>
      <c r="CW39">
        <v>99066</v>
      </c>
    </row>
    <row r="40" spans="1:101" x14ac:dyDescent="0.25">
      <c r="A40" t="s">
        <v>90</v>
      </c>
      <c r="B40">
        <v>72886</v>
      </c>
      <c r="C40">
        <v>74196</v>
      </c>
      <c r="D40">
        <v>76032</v>
      </c>
      <c r="E40">
        <v>75502</v>
      </c>
      <c r="F40">
        <v>76353</v>
      </c>
      <c r="G40">
        <v>77517</v>
      </c>
      <c r="H40">
        <v>77627</v>
      </c>
      <c r="I40">
        <v>78769</v>
      </c>
      <c r="J40">
        <v>79610</v>
      </c>
      <c r="K40">
        <v>80574</v>
      </c>
      <c r="L40">
        <v>80078</v>
      </c>
      <c r="M40">
        <v>79476</v>
      </c>
      <c r="N40">
        <v>82660</v>
      </c>
      <c r="O40">
        <v>81684</v>
      </c>
      <c r="P40">
        <v>81574</v>
      </c>
      <c r="Q40">
        <v>82327</v>
      </c>
      <c r="R40">
        <v>82358</v>
      </c>
      <c r="S40">
        <v>82079</v>
      </c>
      <c r="T40">
        <v>83190</v>
      </c>
      <c r="U40">
        <v>85797</v>
      </c>
      <c r="V40">
        <v>86468</v>
      </c>
      <c r="W40">
        <v>86223</v>
      </c>
      <c r="X40">
        <v>87795</v>
      </c>
      <c r="Y40">
        <v>88961</v>
      </c>
      <c r="Z40">
        <v>89249</v>
      </c>
      <c r="AA40">
        <v>89503</v>
      </c>
      <c r="AB40">
        <v>89880</v>
      </c>
      <c r="AC40">
        <v>90564</v>
      </c>
      <c r="AD40">
        <v>90943</v>
      </c>
      <c r="AE40">
        <v>91425</v>
      </c>
      <c r="AF40">
        <v>91760</v>
      </c>
      <c r="AG40">
        <v>92616</v>
      </c>
      <c r="AH40">
        <v>92901</v>
      </c>
      <c r="AI40">
        <v>93044</v>
      </c>
      <c r="AJ40">
        <v>93269</v>
      </c>
      <c r="AK40">
        <v>93561</v>
      </c>
      <c r="AL40">
        <v>93618</v>
      </c>
      <c r="AM40">
        <v>93877</v>
      </c>
      <c r="AN40">
        <v>93777</v>
      </c>
      <c r="AO40">
        <v>93583</v>
      </c>
      <c r="AP40">
        <v>93416</v>
      </c>
      <c r="AQ40">
        <v>93348</v>
      </c>
      <c r="AR40">
        <v>93431</v>
      </c>
      <c r="AS40">
        <v>93500</v>
      </c>
      <c r="AT40">
        <v>92379</v>
      </c>
      <c r="AU40">
        <v>92054</v>
      </c>
      <c r="AV40">
        <v>95057</v>
      </c>
      <c r="AW40">
        <v>95550</v>
      </c>
      <c r="AX40">
        <v>95894</v>
      </c>
      <c r="AY40">
        <v>96078</v>
      </c>
      <c r="AZ40">
        <v>96069</v>
      </c>
      <c r="BA40">
        <v>96169</v>
      </c>
      <c r="BB40">
        <v>96328</v>
      </c>
      <c r="BC40">
        <v>96488</v>
      </c>
      <c r="BD40">
        <v>96551</v>
      </c>
      <c r="BE40">
        <v>96697</v>
      </c>
      <c r="BF40">
        <v>96850</v>
      </c>
      <c r="BG40">
        <v>97055</v>
      </c>
      <c r="BH40">
        <v>96991</v>
      </c>
      <c r="BI40">
        <v>97157</v>
      </c>
      <c r="BJ40">
        <v>97208</v>
      </c>
      <c r="BK40">
        <v>97336</v>
      </c>
      <c r="BL40">
        <v>97285</v>
      </c>
      <c r="BM40">
        <v>97473</v>
      </c>
      <c r="BN40">
        <v>97574</v>
      </c>
      <c r="BO40">
        <v>97549</v>
      </c>
      <c r="BP40">
        <v>97607</v>
      </c>
      <c r="BQ40">
        <v>97715</v>
      </c>
      <c r="BR40">
        <v>97755</v>
      </c>
      <c r="BS40">
        <v>97861</v>
      </c>
      <c r="BT40">
        <v>97868</v>
      </c>
      <c r="BU40">
        <v>98027</v>
      </c>
      <c r="BV40">
        <v>98086</v>
      </c>
      <c r="BW40">
        <v>98022</v>
      </c>
      <c r="BX40">
        <v>98125</v>
      </c>
      <c r="BY40">
        <v>98197</v>
      </c>
      <c r="BZ40">
        <v>98164</v>
      </c>
      <c r="CA40">
        <v>98332</v>
      </c>
      <c r="CB40">
        <v>98362</v>
      </c>
      <c r="CC40">
        <v>98459</v>
      </c>
      <c r="CD40">
        <v>98518</v>
      </c>
      <c r="CE40">
        <v>98535</v>
      </c>
      <c r="CF40">
        <v>98558</v>
      </c>
      <c r="CG40">
        <v>98520</v>
      </c>
      <c r="CH40">
        <v>98600</v>
      </c>
      <c r="CI40">
        <v>98583</v>
      </c>
      <c r="CJ40">
        <v>98604</v>
      </c>
      <c r="CK40">
        <v>98771</v>
      </c>
      <c r="CL40">
        <v>98855</v>
      </c>
      <c r="CM40">
        <v>98769</v>
      </c>
      <c r="CN40">
        <v>98803</v>
      </c>
      <c r="CO40">
        <v>98887</v>
      </c>
      <c r="CP40">
        <v>98869</v>
      </c>
      <c r="CQ40">
        <v>98938</v>
      </c>
      <c r="CR40">
        <v>98959</v>
      </c>
      <c r="CS40">
        <v>99042</v>
      </c>
      <c r="CT40">
        <v>98960</v>
      </c>
      <c r="CU40">
        <v>99041</v>
      </c>
      <c r="CV40">
        <v>99058</v>
      </c>
      <c r="CW40">
        <v>99042</v>
      </c>
    </row>
    <row r="41" spans="1:101" x14ac:dyDescent="0.25">
      <c r="A41" t="s">
        <v>89</v>
      </c>
      <c r="B41">
        <v>72688</v>
      </c>
      <c r="C41">
        <v>74008</v>
      </c>
      <c r="D41">
        <v>75848</v>
      </c>
      <c r="E41">
        <v>75320</v>
      </c>
      <c r="F41">
        <v>76195</v>
      </c>
      <c r="G41">
        <v>77344</v>
      </c>
      <c r="H41">
        <v>77449</v>
      </c>
      <c r="I41">
        <v>78600</v>
      </c>
      <c r="J41">
        <v>79422</v>
      </c>
      <c r="K41">
        <v>80415</v>
      </c>
      <c r="L41">
        <v>79894</v>
      </c>
      <c r="M41">
        <v>79214</v>
      </c>
      <c r="N41">
        <v>82396</v>
      </c>
      <c r="O41">
        <v>81516</v>
      </c>
      <c r="P41">
        <v>81442</v>
      </c>
      <c r="Q41">
        <v>82222</v>
      </c>
      <c r="R41">
        <v>82261</v>
      </c>
      <c r="S41">
        <v>81994</v>
      </c>
      <c r="T41">
        <v>83099</v>
      </c>
      <c r="U41">
        <v>85709</v>
      </c>
      <c r="V41">
        <v>86359</v>
      </c>
      <c r="W41">
        <v>86140</v>
      </c>
      <c r="X41">
        <v>87724</v>
      </c>
      <c r="Y41">
        <v>88872</v>
      </c>
      <c r="Z41">
        <v>89159</v>
      </c>
      <c r="AA41">
        <v>89424</v>
      </c>
      <c r="AB41">
        <v>89811</v>
      </c>
      <c r="AC41">
        <v>90498</v>
      </c>
      <c r="AD41">
        <v>90876</v>
      </c>
      <c r="AE41">
        <v>91343</v>
      </c>
      <c r="AF41">
        <v>91703</v>
      </c>
      <c r="AG41">
        <v>92557</v>
      </c>
      <c r="AH41">
        <v>92839</v>
      </c>
      <c r="AI41">
        <v>92965</v>
      </c>
      <c r="AJ41">
        <v>93198</v>
      </c>
      <c r="AK41">
        <v>93509</v>
      </c>
      <c r="AL41">
        <v>93556</v>
      </c>
      <c r="AM41">
        <v>93816</v>
      </c>
      <c r="AN41">
        <v>93719</v>
      </c>
      <c r="AO41">
        <v>93521</v>
      </c>
      <c r="AP41">
        <v>93350</v>
      </c>
      <c r="AQ41">
        <v>93278</v>
      </c>
      <c r="AR41">
        <v>93346</v>
      </c>
      <c r="AS41">
        <v>93433</v>
      </c>
      <c r="AT41">
        <v>92323</v>
      </c>
      <c r="AU41">
        <v>92000</v>
      </c>
      <c r="AV41">
        <v>95002</v>
      </c>
      <c r="AW41">
        <v>95488</v>
      </c>
      <c r="AX41">
        <v>95845</v>
      </c>
      <c r="AY41">
        <v>96017</v>
      </c>
      <c r="AZ41">
        <v>96029</v>
      </c>
      <c r="BA41">
        <v>96101</v>
      </c>
      <c r="BB41">
        <v>96270</v>
      </c>
      <c r="BC41">
        <v>96426</v>
      </c>
      <c r="BD41">
        <v>96484</v>
      </c>
      <c r="BE41">
        <v>96634</v>
      </c>
      <c r="BF41">
        <v>96795</v>
      </c>
      <c r="BG41">
        <v>97003</v>
      </c>
      <c r="BH41">
        <v>96924</v>
      </c>
      <c r="BI41">
        <v>97102</v>
      </c>
      <c r="BJ41">
        <v>97146</v>
      </c>
      <c r="BK41">
        <v>97290</v>
      </c>
      <c r="BL41">
        <v>97245</v>
      </c>
      <c r="BM41">
        <v>97422</v>
      </c>
      <c r="BN41">
        <v>97529</v>
      </c>
      <c r="BO41">
        <v>97501</v>
      </c>
      <c r="BP41">
        <v>97563</v>
      </c>
      <c r="BQ41">
        <v>97669</v>
      </c>
      <c r="BR41">
        <v>97707</v>
      </c>
      <c r="BS41">
        <v>97807</v>
      </c>
      <c r="BT41">
        <v>97825</v>
      </c>
      <c r="BU41">
        <v>97992</v>
      </c>
      <c r="BV41">
        <v>98037</v>
      </c>
      <c r="BW41">
        <v>97979</v>
      </c>
      <c r="BX41">
        <v>98079</v>
      </c>
      <c r="BY41">
        <v>98165</v>
      </c>
      <c r="BZ41">
        <v>98124</v>
      </c>
      <c r="CA41">
        <v>98296</v>
      </c>
      <c r="CB41">
        <v>98328</v>
      </c>
      <c r="CC41">
        <v>98420</v>
      </c>
      <c r="CD41">
        <v>98479</v>
      </c>
      <c r="CE41">
        <v>98501</v>
      </c>
      <c r="CF41">
        <v>98529</v>
      </c>
      <c r="CG41">
        <v>98475</v>
      </c>
      <c r="CH41">
        <v>98564</v>
      </c>
      <c r="CI41">
        <v>98554</v>
      </c>
      <c r="CJ41">
        <v>98572</v>
      </c>
      <c r="CK41">
        <v>98738</v>
      </c>
      <c r="CL41">
        <v>98824</v>
      </c>
      <c r="CM41">
        <v>98738</v>
      </c>
      <c r="CN41">
        <v>98772</v>
      </c>
      <c r="CO41">
        <v>98857</v>
      </c>
      <c r="CP41">
        <v>98839</v>
      </c>
      <c r="CQ41">
        <v>98910</v>
      </c>
      <c r="CR41">
        <v>98931</v>
      </c>
      <c r="CS41">
        <v>99014</v>
      </c>
      <c r="CT41">
        <v>98934</v>
      </c>
      <c r="CU41">
        <v>99014</v>
      </c>
      <c r="CV41">
        <v>99032</v>
      </c>
      <c r="CW41">
        <v>99016</v>
      </c>
    </row>
    <row r="42" spans="1:101" x14ac:dyDescent="0.25">
      <c r="A42" t="s">
        <v>88</v>
      </c>
      <c r="B42">
        <v>72500</v>
      </c>
      <c r="C42">
        <v>73826</v>
      </c>
      <c r="D42">
        <v>75675</v>
      </c>
      <c r="E42">
        <v>75126</v>
      </c>
      <c r="F42">
        <v>76000</v>
      </c>
      <c r="G42">
        <v>77180</v>
      </c>
      <c r="H42">
        <v>77271</v>
      </c>
      <c r="I42">
        <v>78422</v>
      </c>
      <c r="J42">
        <v>79226</v>
      </c>
      <c r="K42">
        <v>80185</v>
      </c>
      <c r="L42">
        <v>79598</v>
      </c>
      <c r="M42">
        <v>78931</v>
      </c>
      <c r="N42">
        <v>82251</v>
      </c>
      <c r="O42">
        <v>81358</v>
      </c>
      <c r="P42">
        <v>81330</v>
      </c>
      <c r="Q42">
        <v>82092</v>
      </c>
      <c r="R42">
        <v>82154</v>
      </c>
      <c r="S42">
        <v>81884</v>
      </c>
      <c r="T42">
        <v>83013</v>
      </c>
      <c r="U42">
        <v>85602</v>
      </c>
      <c r="V42">
        <v>86264</v>
      </c>
      <c r="W42">
        <v>86063</v>
      </c>
      <c r="X42">
        <v>87650</v>
      </c>
      <c r="Y42">
        <v>88794</v>
      </c>
      <c r="Z42">
        <v>89082</v>
      </c>
      <c r="AA42">
        <v>89323</v>
      </c>
      <c r="AB42">
        <v>89739</v>
      </c>
      <c r="AC42">
        <v>90434</v>
      </c>
      <c r="AD42">
        <v>90800</v>
      </c>
      <c r="AE42">
        <v>91262</v>
      </c>
      <c r="AF42">
        <v>91631</v>
      </c>
      <c r="AG42">
        <v>92498</v>
      </c>
      <c r="AH42">
        <v>92769</v>
      </c>
      <c r="AI42">
        <v>92900</v>
      </c>
      <c r="AJ42">
        <v>93134</v>
      </c>
      <c r="AK42">
        <v>93434</v>
      </c>
      <c r="AL42">
        <v>93480</v>
      </c>
      <c r="AM42">
        <v>93730</v>
      </c>
      <c r="AN42">
        <v>93646</v>
      </c>
      <c r="AO42">
        <v>93466</v>
      </c>
      <c r="AP42">
        <v>93278</v>
      </c>
      <c r="AQ42">
        <v>93220</v>
      </c>
      <c r="AR42">
        <v>93273</v>
      </c>
      <c r="AS42">
        <v>93355</v>
      </c>
      <c r="AT42">
        <v>92254</v>
      </c>
      <c r="AU42">
        <v>91929</v>
      </c>
      <c r="AV42">
        <v>94959</v>
      </c>
      <c r="AW42">
        <v>95432</v>
      </c>
      <c r="AX42">
        <v>95782</v>
      </c>
      <c r="AY42">
        <v>95951</v>
      </c>
      <c r="AZ42">
        <v>95959</v>
      </c>
      <c r="BA42">
        <v>96030</v>
      </c>
      <c r="BB42">
        <v>96208</v>
      </c>
      <c r="BC42">
        <v>96367</v>
      </c>
      <c r="BD42">
        <v>96426</v>
      </c>
      <c r="BE42">
        <v>96563</v>
      </c>
      <c r="BF42">
        <v>96735</v>
      </c>
      <c r="BG42">
        <v>96934</v>
      </c>
      <c r="BH42">
        <v>96868</v>
      </c>
      <c r="BI42">
        <v>97052</v>
      </c>
      <c r="BJ42">
        <v>97084</v>
      </c>
      <c r="BK42">
        <v>97217</v>
      </c>
      <c r="BL42">
        <v>97183</v>
      </c>
      <c r="BM42">
        <v>97366</v>
      </c>
      <c r="BN42">
        <v>97478</v>
      </c>
      <c r="BO42">
        <v>97441</v>
      </c>
      <c r="BP42">
        <v>97511</v>
      </c>
      <c r="BQ42">
        <v>97624</v>
      </c>
      <c r="BR42">
        <v>97651</v>
      </c>
      <c r="BS42">
        <v>97754</v>
      </c>
      <c r="BT42">
        <v>97770</v>
      </c>
      <c r="BU42">
        <v>97944</v>
      </c>
      <c r="BV42">
        <v>97989</v>
      </c>
      <c r="BW42">
        <v>97942</v>
      </c>
      <c r="BX42">
        <v>98041</v>
      </c>
      <c r="BY42">
        <v>98133</v>
      </c>
      <c r="BZ42">
        <v>98079</v>
      </c>
      <c r="CA42">
        <v>98260</v>
      </c>
      <c r="CB42">
        <v>98288</v>
      </c>
      <c r="CC42">
        <v>98383</v>
      </c>
      <c r="CD42">
        <v>98441</v>
      </c>
      <c r="CE42">
        <v>98467</v>
      </c>
      <c r="CF42">
        <v>98491</v>
      </c>
      <c r="CG42">
        <v>98442</v>
      </c>
      <c r="CH42">
        <v>98534</v>
      </c>
      <c r="CI42">
        <v>98517</v>
      </c>
      <c r="CJ42">
        <v>98538</v>
      </c>
      <c r="CK42">
        <v>98705</v>
      </c>
      <c r="CL42">
        <v>98791</v>
      </c>
      <c r="CM42">
        <v>98705</v>
      </c>
      <c r="CN42">
        <v>98740</v>
      </c>
      <c r="CO42">
        <v>98827</v>
      </c>
      <c r="CP42">
        <v>98809</v>
      </c>
      <c r="CQ42">
        <v>98880</v>
      </c>
      <c r="CR42">
        <v>98901</v>
      </c>
      <c r="CS42">
        <v>98985</v>
      </c>
      <c r="CT42">
        <v>98906</v>
      </c>
      <c r="CU42">
        <v>98986</v>
      </c>
      <c r="CV42">
        <v>99005</v>
      </c>
      <c r="CW42">
        <v>98989</v>
      </c>
    </row>
    <row r="43" spans="1:101" x14ac:dyDescent="0.25">
      <c r="A43" t="s">
        <v>87</v>
      </c>
      <c r="B43">
        <v>72334</v>
      </c>
      <c r="C43">
        <v>73608</v>
      </c>
      <c r="D43">
        <v>75496</v>
      </c>
      <c r="E43">
        <v>74939</v>
      </c>
      <c r="F43">
        <v>75832</v>
      </c>
      <c r="G43">
        <v>77015</v>
      </c>
      <c r="H43">
        <v>77099</v>
      </c>
      <c r="I43">
        <v>78243</v>
      </c>
      <c r="J43">
        <v>79052</v>
      </c>
      <c r="K43">
        <v>79930</v>
      </c>
      <c r="L43">
        <v>79299</v>
      </c>
      <c r="M43">
        <v>78754</v>
      </c>
      <c r="N43">
        <v>82115</v>
      </c>
      <c r="O43">
        <v>81235</v>
      </c>
      <c r="P43">
        <v>81221</v>
      </c>
      <c r="Q43">
        <v>81964</v>
      </c>
      <c r="R43">
        <v>82070</v>
      </c>
      <c r="S43">
        <v>81770</v>
      </c>
      <c r="T43">
        <v>82910</v>
      </c>
      <c r="U43">
        <v>85508</v>
      </c>
      <c r="V43">
        <v>86167</v>
      </c>
      <c r="W43">
        <v>85983</v>
      </c>
      <c r="X43">
        <v>87564</v>
      </c>
      <c r="Y43">
        <v>88715</v>
      </c>
      <c r="Z43">
        <v>88990</v>
      </c>
      <c r="AA43">
        <v>89253</v>
      </c>
      <c r="AB43">
        <v>89667</v>
      </c>
      <c r="AC43">
        <v>90346</v>
      </c>
      <c r="AD43">
        <v>90714</v>
      </c>
      <c r="AE43">
        <v>91186</v>
      </c>
      <c r="AF43">
        <v>91560</v>
      </c>
      <c r="AG43">
        <v>92429</v>
      </c>
      <c r="AH43">
        <v>92717</v>
      </c>
      <c r="AI43">
        <v>92822</v>
      </c>
      <c r="AJ43">
        <v>93057</v>
      </c>
      <c r="AK43">
        <v>93325</v>
      </c>
      <c r="AL43">
        <v>93398</v>
      </c>
      <c r="AM43">
        <v>93653</v>
      </c>
      <c r="AN43">
        <v>93580</v>
      </c>
      <c r="AO43">
        <v>93391</v>
      </c>
      <c r="AP43">
        <v>93220</v>
      </c>
      <c r="AQ43">
        <v>93135</v>
      </c>
      <c r="AR43">
        <v>93189</v>
      </c>
      <c r="AS43">
        <v>93278</v>
      </c>
      <c r="AT43">
        <v>92182</v>
      </c>
      <c r="AU43">
        <v>91869</v>
      </c>
      <c r="AV43">
        <v>94897</v>
      </c>
      <c r="AW43">
        <v>95377</v>
      </c>
      <c r="AX43">
        <v>95716</v>
      </c>
      <c r="AY43">
        <v>95892</v>
      </c>
      <c r="AZ43">
        <v>95905</v>
      </c>
      <c r="BA43">
        <v>95969</v>
      </c>
      <c r="BB43">
        <v>96150</v>
      </c>
      <c r="BC43">
        <v>96297</v>
      </c>
      <c r="BD43">
        <v>96359</v>
      </c>
      <c r="BE43">
        <v>96505</v>
      </c>
      <c r="BF43">
        <v>96674</v>
      </c>
      <c r="BG43">
        <v>96859</v>
      </c>
      <c r="BH43">
        <v>96801</v>
      </c>
      <c r="BI43">
        <v>96982</v>
      </c>
      <c r="BJ43">
        <v>97021</v>
      </c>
      <c r="BK43">
        <v>97159</v>
      </c>
      <c r="BL43">
        <v>97127</v>
      </c>
      <c r="BM43">
        <v>97307</v>
      </c>
      <c r="BN43">
        <v>97413</v>
      </c>
      <c r="BO43">
        <v>97391</v>
      </c>
      <c r="BP43">
        <v>97456</v>
      </c>
      <c r="BQ43">
        <v>97562</v>
      </c>
      <c r="BR43">
        <v>97604</v>
      </c>
      <c r="BS43">
        <v>97703</v>
      </c>
      <c r="BT43">
        <v>97715</v>
      </c>
      <c r="BU43">
        <v>97893</v>
      </c>
      <c r="BV43">
        <v>97946</v>
      </c>
      <c r="BW43">
        <v>97903</v>
      </c>
      <c r="BX43">
        <v>97999</v>
      </c>
      <c r="BY43">
        <v>98087</v>
      </c>
      <c r="BZ43">
        <v>98045</v>
      </c>
      <c r="CA43">
        <v>98223</v>
      </c>
      <c r="CB43">
        <v>98261</v>
      </c>
      <c r="CC43">
        <v>98350</v>
      </c>
      <c r="CD43">
        <v>98389</v>
      </c>
      <c r="CE43">
        <v>98423</v>
      </c>
      <c r="CF43">
        <v>98445</v>
      </c>
      <c r="CG43">
        <v>98401</v>
      </c>
      <c r="CH43">
        <v>98493</v>
      </c>
      <c r="CI43">
        <v>98481</v>
      </c>
      <c r="CJ43">
        <v>98502</v>
      </c>
      <c r="CK43">
        <v>98670</v>
      </c>
      <c r="CL43">
        <v>98757</v>
      </c>
      <c r="CM43">
        <v>98671</v>
      </c>
      <c r="CN43">
        <v>98708</v>
      </c>
      <c r="CO43">
        <v>98794</v>
      </c>
      <c r="CP43">
        <v>98777</v>
      </c>
      <c r="CQ43">
        <v>98849</v>
      </c>
      <c r="CR43">
        <v>98870</v>
      </c>
      <c r="CS43">
        <v>98956</v>
      </c>
      <c r="CT43">
        <v>98876</v>
      </c>
      <c r="CU43">
        <v>98958</v>
      </c>
      <c r="CV43">
        <v>98977</v>
      </c>
      <c r="CW43">
        <v>98961</v>
      </c>
    </row>
    <row r="44" spans="1:101" x14ac:dyDescent="0.25">
      <c r="A44" t="s">
        <v>86</v>
      </c>
      <c r="B44">
        <v>72134</v>
      </c>
      <c r="C44">
        <v>73423</v>
      </c>
      <c r="D44">
        <v>75279</v>
      </c>
      <c r="E44">
        <v>74784</v>
      </c>
      <c r="F44">
        <v>75623</v>
      </c>
      <c r="G44">
        <v>76840</v>
      </c>
      <c r="H44">
        <v>76924</v>
      </c>
      <c r="I44">
        <v>78025</v>
      </c>
      <c r="J44">
        <v>78750</v>
      </c>
      <c r="K44">
        <v>79625</v>
      </c>
      <c r="L44">
        <v>79112</v>
      </c>
      <c r="M44">
        <v>78611</v>
      </c>
      <c r="N44">
        <v>81988</v>
      </c>
      <c r="O44">
        <v>81106</v>
      </c>
      <c r="P44">
        <v>81116</v>
      </c>
      <c r="Q44">
        <v>81846</v>
      </c>
      <c r="R44">
        <v>81957</v>
      </c>
      <c r="S44">
        <v>81650</v>
      </c>
      <c r="T44">
        <v>82840</v>
      </c>
      <c r="U44">
        <v>85404</v>
      </c>
      <c r="V44">
        <v>86052</v>
      </c>
      <c r="W44">
        <v>85879</v>
      </c>
      <c r="X44">
        <v>87480</v>
      </c>
      <c r="Y44">
        <v>88627</v>
      </c>
      <c r="Z44">
        <v>88903</v>
      </c>
      <c r="AA44">
        <v>89178</v>
      </c>
      <c r="AB44">
        <v>89579</v>
      </c>
      <c r="AC44">
        <v>90267</v>
      </c>
      <c r="AD44">
        <v>90618</v>
      </c>
      <c r="AE44">
        <v>91099</v>
      </c>
      <c r="AF44">
        <v>91462</v>
      </c>
      <c r="AG44">
        <v>92344</v>
      </c>
      <c r="AH44">
        <v>92624</v>
      </c>
      <c r="AI44">
        <v>92724</v>
      </c>
      <c r="AJ44">
        <v>92986</v>
      </c>
      <c r="AK44">
        <v>93254</v>
      </c>
      <c r="AL44">
        <v>93313</v>
      </c>
      <c r="AM44">
        <v>93585</v>
      </c>
      <c r="AN44">
        <v>93506</v>
      </c>
      <c r="AO44">
        <v>93321</v>
      </c>
      <c r="AP44">
        <v>93148</v>
      </c>
      <c r="AQ44">
        <v>93048</v>
      </c>
      <c r="AR44">
        <v>93135</v>
      </c>
      <c r="AS44">
        <v>93202</v>
      </c>
      <c r="AT44">
        <v>92116</v>
      </c>
      <c r="AU44">
        <v>91804</v>
      </c>
      <c r="AV44">
        <v>94834</v>
      </c>
      <c r="AW44">
        <v>95311</v>
      </c>
      <c r="AX44">
        <v>95644</v>
      </c>
      <c r="AY44">
        <v>95817</v>
      </c>
      <c r="AZ44">
        <v>95816</v>
      </c>
      <c r="BA44">
        <v>95896</v>
      </c>
      <c r="BB44">
        <v>96079</v>
      </c>
      <c r="BC44">
        <v>96226</v>
      </c>
      <c r="BD44">
        <v>96292</v>
      </c>
      <c r="BE44">
        <v>96428</v>
      </c>
      <c r="BF44">
        <v>96597</v>
      </c>
      <c r="BG44">
        <v>96793</v>
      </c>
      <c r="BH44">
        <v>96723</v>
      </c>
      <c r="BI44">
        <v>96918</v>
      </c>
      <c r="BJ44">
        <v>96951</v>
      </c>
      <c r="BK44">
        <v>97090</v>
      </c>
      <c r="BL44">
        <v>97076</v>
      </c>
      <c r="BM44">
        <v>97245</v>
      </c>
      <c r="BN44">
        <v>97343</v>
      </c>
      <c r="BO44">
        <v>97325</v>
      </c>
      <c r="BP44">
        <v>97389</v>
      </c>
      <c r="BQ44">
        <v>97504</v>
      </c>
      <c r="BR44">
        <v>97549</v>
      </c>
      <c r="BS44">
        <v>97643</v>
      </c>
      <c r="BT44">
        <v>97665</v>
      </c>
      <c r="BU44">
        <v>97845</v>
      </c>
      <c r="BV44">
        <v>97895</v>
      </c>
      <c r="BW44">
        <v>97853</v>
      </c>
      <c r="BX44">
        <v>97955</v>
      </c>
      <c r="BY44">
        <v>98039</v>
      </c>
      <c r="BZ44">
        <v>98011</v>
      </c>
      <c r="CA44">
        <v>98174</v>
      </c>
      <c r="CB44">
        <v>98227</v>
      </c>
      <c r="CC44">
        <v>98314</v>
      </c>
      <c r="CD44">
        <v>98346</v>
      </c>
      <c r="CE44">
        <v>98389</v>
      </c>
      <c r="CF44">
        <v>98408</v>
      </c>
      <c r="CG44">
        <v>98359</v>
      </c>
      <c r="CH44">
        <v>98453</v>
      </c>
      <c r="CI44">
        <v>98443</v>
      </c>
      <c r="CJ44">
        <v>98465</v>
      </c>
      <c r="CK44">
        <v>98634</v>
      </c>
      <c r="CL44">
        <v>98721</v>
      </c>
      <c r="CM44">
        <v>98637</v>
      </c>
      <c r="CN44">
        <v>98673</v>
      </c>
      <c r="CO44">
        <v>98761</v>
      </c>
      <c r="CP44">
        <v>98745</v>
      </c>
      <c r="CQ44">
        <v>98817</v>
      </c>
      <c r="CR44">
        <v>98839</v>
      </c>
      <c r="CS44">
        <v>98925</v>
      </c>
      <c r="CT44">
        <v>98846</v>
      </c>
      <c r="CU44">
        <v>98928</v>
      </c>
      <c r="CV44">
        <v>98948</v>
      </c>
      <c r="CW44">
        <v>98933</v>
      </c>
    </row>
    <row r="45" spans="1:101" x14ac:dyDescent="0.25">
      <c r="A45" t="s">
        <v>85</v>
      </c>
      <c r="B45">
        <v>71928</v>
      </c>
      <c r="C45">
        <v>73202</v>
      </c>
      <c r="D45">
        <v>75080</v>
      </c>
      <c r="E45">
        <v>74557</v>
      </c>
      <c r="F45">
        <v>75409</v>
      </c>
      <c r="G45">
        <v>76642</v>
      </c>
      <c r="H45">
        <v>76699</v>
      </c>
      <c r="I45">
        <v>77746</v>
      </c>
      <c r="J45">
        <v>78433</v>
      </c>
      <c r="K45">
        <v>79445</v>
      </c>
      <c r="L45">
        <v>78970</v>
      </c>
      <c r="M45">
        <v>78479</v>
      </c>
      <c r="N45">
        <v>81860</v>
      </c>
      <c r="O45">
        <v>80971</v>
      </c>
      <c r="P45">
        <v>81002</v>
      </c>
      <c r="Q45">
        <v>81720</v>
      </c>
      <c r="R45">
        <v>81802</v>
      </c>
      <c r="S45">
        <v>81538</v>
      </c>
      <c r="T45">
        <v>82730</v>
      </c>
      <c r="U45">
        <v>85306</v>
      </c>
      <c r="V45">
        <v>85959</v>
      </c>
      <c r="W45">
        <v>85784</v>
      </c>
      <c r="X45">
        <v>87370</v>
      </c>
      <c r="Y45">
        <v>88521</v>
      </c>
      <c r="Z45">
        <v>88791</v>
      </c>
      <c r="AA45">
        <v>89096</v>
      </c>
      <c r="AB45">
        <v>89481</v>
      </c>
      <c r="AC45">
        <v>90161</v>
      </c>
      <c r="AD45">
        <v>90533</v>
      </c>
      <c r="AE45">
        <v>91005</v>
      </c>
      <c r="AF45">
        <v>91374</v>
      </c>
      <c r="AG45">
        <v>92254</v>
      </c>
      <c r="AH45">
        <v>92546</v>
      </c>
      <c r="AI45">
        <v>92656</v>
      </c>
      <c r="AJ45">
        <v>92911</v>
      </c>
      <c r="AK45">
        <v>93170</v>
      </c>
      <c r="AL45">
        <v>93208</v>
      </c>
      <c r="AM45">
        <v>93503</v>
      </c>
      <c r="AN45">
        <v>93424</v>
      </c>
      <c r="AO45">
        <v>93249</v>
      </c>
      <c r="AP45">
        <v>93067</v>
      </c>
      <c r="AQ45">
        <v>92964</v>
      </c>
      <c r="AR45">
        <v>93066</v>
      </c>
      <c r="AS45">
        <v>93104</v>
      </c>
      <c r="AT45">
        <v>92042</v>
      </c>
      <c r="AU45">
        <v>91735</v>
      </c>
      <c r="AV45">
        <v>94776</v>
      </c>
      <c r="AW45">
        <v>95241</v>
      </c>
      <c r="AX45">
        <v>95575</v>
      </c>
      <c r="AY45">
        <v>95745</v>
      </c>
      <c r="AZ45">
        <v>95749</v>
      </c>
      <c r="BA45">
        <v>95823</v>
      </c>
      <c r="BB45">
        <v>95993</v>
      </c>
      <c r="BC45">
        <v>96160</v>
      </c>
      <c r="BD45">
        <v>96206</v>
      </c>
      <c r="BE45">
        <v>96336</v>
      </c>
      <c r="BF45">
        <v>96529</v>
      </c>
      <c r="BG45">
        <v>96707</v>
      </c>
      <c r="BH45">
        <v>96640</v>
      </c>
      <c r="BI45">
        <v>96843</v>
      </c>
      <c r="BJ45">
        <v>96870</v>
      </c>
      <c r="BK45">
        <v>97014</v>
      </c>
      <c r="BL45">
        <v>97012</v>
      </c>
      <c r="BM45">
        <v>97166</v>
      </c>
      <c r="BN45">
        <v>97267</v>
      </c>
      <c r="BO45">
        <v>97262</v>
      </c>
      <c r="BP45">
        <v>97324</v>
      </c>
      <c r="BQ45">
        <v>97444</v>
      </c>
      <c r="BR45">
        <v>97486</v>
      </c>
      <c r="BS45">
        <v>97591</v>
      </c>
      <c r="BT45">
        <v>97608</v>
      </c>
      <c r="BU45">
        <v>97792</v>
      </c>
      <c r="BV45">
        <v>97842</v>
      </c>
      <c r="BW45">
        <v>97801</v>
      </c>
      <c r="BX45">
        <v>97899</v>
      </c>
      <c r="BY45">
        <v>97989</v>
      </c>
      <c r="BZ45">
        <v>97975</v>
      </c>
      <c r="CA45">
        <v>98121</v>
      </c>
      <c r="CB45">
        <v>98179</v>
      </c>
      <c r="CC45">
        <v>98258</v>
      </c>
      <c r="CD45">
        <v>98302</v>
      </c>
      <c r="CE45">
        <v>98353</v>
      </c>
      <c r="CF45">
        <v>98372</v>
      </c>
      <c r="CG45">
        <v>98318</v>
      </c>
      <c r="CH45">
        <v>98413</v>
      </c>
      <c r="CI45">
        <v>98404</v>
      </c>
      <c r="CJ45">
        <v>98427</v>
      </c>
      <c r="CK45">
        <v>98596</v>
      </c>
      <c r="CL45">
        <v>98683</v>
      </c>
      <c r="CM45">
        <v>98600</v>
      </c>
      <c r="CN45">
        <v>98638</v>
      </c>
      <c r="CO45">
        <v>98725</v>
      </c>
      <c r="CP45">
        <v>98710</v>
      </c>
      <c r="CQ45">
        <v>98783</v>
      </c>
      <c r="CR45">
        <v>98805</v>
      </c>
      <c r="CS45">
        <v>98892</v>
      </c>
      <c r="CT45">
        <v>98814</v>
      </c>
      <c r="CU45">
        <v>98896</v>
      </c>
      <c r="CV45">
        <v>98917</v>
      </c>
      <c r="CW45">
        <v>98903</v>
      </c>
    </row>
    <row r="46" spans="1:101" x14ac:dyDescent="0.25">
      <c r="A46" t="s">
        <v>84</v>
      </c>
      <c r="B46">
        <v>71722</v>
      </c>
      <c r="C46">
        <v>73006</v>
      </c>
      <c r="D46">
        <v>74882</v>
      </c>
      <c r="E46">
        <v>74349</v>
      </c>
      <c r="F46">
        <v>75202</v>
      </c>
      <c r="G46">
        <v>76430</v>
      </c>
      <c r="H46">
        <v>76399</v>
      </c>
      <c r="I46">
        <v>77420</v>
      </c>
      <c r="J46">
        <v>78244</v>
      </c>
      <c r="K46">
        <v>79284</v>
      </c>
      <c r="L46">
        <v>78836</v>
      </c>
      <c r="M46">
        <v>78358</v>
      </c>
      <c r="N46">
        <v>81729</v>
      </c>
      <c r="O46">
        <v>80860</v>
      </c>
      <c r="P46">
        <v>80878</v>
      </c>
      <c r="Q46">
        <v>81590</v>
      </c>
      <c r="R46">
        <v>81686</v>
      </c>
      <c r="S46">
        <v>81420</v>
      </c>
      <c r="T46">
        <v>82624</v>
      </c>
      <c r="U46">
        <v>85214</v>
      </c>
      <c r="V46">
        <v>85844</v>
      </c>
      <c r="W46">
        <v>85685</v>
      </c>
      <c r="X46">
        <v>87278</v>
      </c>
      <c r="Y46">
        <v>88411</v>
      </c>
      <c r="Z46">
        <v>88687</v>
      </c>
      <c r="AA46">
        <v>88993</v>
      </c>
      <c r="AB46">
        <v>89404</v>
      </c>
      <c r="AC46">
        <v>90056</v>
      </c>
      <c r="AD46">
        <v>90438</v>
      </c>
      <c r="AE46">
        <v>90920</v>
      </c>
      <c r="AF46">
        <v>91286</v>
      </c>
      <c r="AG46">
        <v>92145</v>
      </c>
      <c r="AH46">
        <v>92458</v>
      </c>
      <c r="AI46">
        <v>92562</v>
      </c>
      <c r="AJ46">
        <v>92815</v>
      </c>
      <c r="AK46">
        <v>93066</v>
      </c>
      <c r="AL46">
        <v>93118</v>
      </c>
      <c r="AM46">
        <v>93405</v>
      </c>
      <c r="AN46">
        <v>93335</v>
      </c>
      <c r="AO46">
        <v>93169</v>
      </c>
      <c r="AP46">
        <v>92996</v>
      </c>
      <c r="AQ46">
        <v>92877</v>
      </c>
      <c r="AR46">
        <v>92984</v>
      </c>
      <c r="AS46">
        <v>93027</v>
      </c>
      <c r="AT46">
        <v>91968</v>
      </c>
      <c r="AU46">
        <v>91661</v>
      </c>
      <c r="AV46">
        <v>94692</v>
      </c>
      <c r="AW46">
        <v>95157</v>
      </c>
      <c r="AX46">
        <v>95501</v>
      </c>
      <c r="AY46">
        <v>95672</v>
      </c>
      <c r="AZ46">
        <v>95676</v>
      </c>
      <c r="BA46">
        <v>95752</v>
      </c>
      <c r="BB46">
        <v>95901</v>
      </c>
      <c r="BC46">
        <v>96083</v>
      </c>
      <c r="BD46">
        <v>96134</v>
      </c>
      <c r="BE46">
        <v>96244</v>
      </c>
      <c r="BF46">
        <v>96438</v>
      </c>
      <c r="BG46">
        <v>96606</v>
      </c>
      <c r="BH46">
        <v>96558</v>
      </c>
      <c r="BI46">
        <v>96777</v>
      </c>
      <c r="BJ46">
        <v>96796</v>
      </c>
      <c r="BK46">
        <v>96932</v>
      </c>
      <c r="BL46">
        <v>96924</v>
      </c>
      <c r="BM46">
        <v>97090</v>
      </c>
      <c r="BN46">
        <v>97201</v>
      </c>
      <c r="BO46">
        <v>97189</v>
      </c>
      <c r="BP46">
        <v>97259</v>
      </c>
      <c r="BQ46">
        <v>97378</v>
      </c>
      <c r="BR46">
        <v>97417</v>
      </c>
      <c r="BS46">
        <v>97542</v>
      </c>
      <c r="BT46">
        <v>97547</v>
      </c>
      <c r="BU46">
        <v>97731</v>
      </c>
      <c r="BV46">
        <v>97791</v>
      </c>
      <c r="BW46">
        <v>97739</v>
      </c>
      <c r="BX46">
        <v>97840</v>
      </c>
      <c r="BY46">
        <v>97929</v>
      </c>
      <c r="BZ46">
        <v>97932</v>
      </c>
      <c r="CA46">
        <v>98078</v>
      </c>
      <c r="CB46">
        <v>98129</v>
      </c>
      <c r="CC46">
        <v>98202</v>
      </c>
      <c r="CD46">
        <v>98257</v>
      </c>
      <c r="CE46">
        <v>98304</v>
      </c>
      <c r="CF46">
        <v>98327</v>
      </c>
      <c r="CG46">
        <v>98274</v>
      </c>
      <c r="CH46">
        <v>98370</v>
      </c>
      <c r="CI46">
        <v>98362</v>
      </c>
      <c r="CJ46">
        <v>98385</v>
      </c>
      <c r="CK46">
        <v>98556</v>
      </c>
      <c r="CL46">
        <v>98644</v>
      </c>
      <c r="CM46">
        <v>98561</v>
      </c>
      <c r="CN46">
        <v>98599</v>
      </c>
      <c r="CO46">
        <v>98688</v>
      </c>
      <c r="CP46">
        <v>98673</v>
      </c>
      <c r="CQ46">
        <v>98747</v>
      </c>
      <c r="CR46">
        <v>98770</v>
      </c>
      <c r="CS46">
        <v>98858</v>
      </c>
      <c r="CT46">
        <v>98779</v>
      </c>
      <c r="CU46">
        <v>98863</v>
      </c>
      <c r="CV46">
        <v>98884</v>
      </c>
      <c r="CW46">
        <v>98870</v>
      </c>
    </row>
    <row r="47" spans="1:101" x14ac:dyDescent="0.25">
      <c r="A47" t="s">
        <v>83</v>
      </c>
      <c r="B47">
        <v>71509</v>
      </c>
      <c r="C47">
        <v>72807</v>
      </c>
      <c r="D47">
        <v>74664</v>
      </c>
      <c r="E47">
        <v>74124</v>
      </c>
      <c r="F47">
        <v>74940</v>
      </c>
      <c r="G47">
        <v>76105</v>
      </c>
      <c r="H47">
        <v>76077</v>
      </c>
      <c r="I47">
        <v>77212</v>
      </c>
      <c r="J47">
        <v>78079</v>
      </c>
      <c r="K47">
        <v>79109</v>
      </c>
      <c r="L47">
        <v>78690</v>
      </c>
      <c r="M47">
        <v>78225</v>
      </c>
      <c r="N47">
        <v>81584</v>
      </c>
      <c r="O47">
        <v>80731</v>
      </c>
      <c r="P47">
        <v>80750</v>
      </c>
      <c r="Q47">
        <v>81459</v>
      </c>
      <c r="R47">
        <v>81570</v>
      </c>
      <c r="S47">
        <v>81302</v>
      </c>
      <c r="T47">
        <v>82507</v>
      </c>
      <c r="U47">
        <v>85105</v>
      </c>
      <c r="V47">
        <v>85733</v>
      </c>
      <c r="W47">
        <v>85591</v>
      </c>
      <c r="X47">
        <v>87191</v>
      </c>
      <c r="Y47">
        <v>88305</v>
      </c>
      <c r="Z47">
        <v>88581</v>
      </c>
      <c r="AA47">
        <v>88891</v>
      </c>
      <c r="AB47">
        <v>89292</v>
      </c>
      <c r="AC47">
        <v>89954</v>
      </c>
      <c r="AD47">
        <v>90320</v>
      </c>
      <c r="AE47">
        <v>90809</v>
      </c>
      <c r="AF47">
        <v>91151</v>
      </c>
      <c r="AG47">
        <v>92012</v>
      </c>
      <c r="AH47">
        <v>92340</v>
      </c>
      <c r="AI47">
        <v>92451</v>
      </c>
      <c r="AJ47">
        <v>92705</v>
      </c>
      <c r="AK47">
        <v>92962</v>
      </c>
      <c r="AL47">
        <v>93005</v>
      </c>
      <c r="AM47">
        <v>93322</v>
      </c>
      <c r="AN47">
        <v>93240</v>
      </c>
      <c r="AO47">
        <v>93068</v>
      </c>
      <c r="AP47">
        <v>92919</v>
      </c>
      <c r="AQ47">
        <v>92777</v>
      </c>
      <c r="AR47">
        <v>92897</v>
      </c>
      <c r="AS47">
        <v>92939</v>
      </c>
      <c r="AT47">
        <v>91888</v>
      </c>
      <c r="AU47">
        <v>91591</v>
      </c>
      <c r="AV47">
        <v>94601</v>
      </c>
      <c r="AW47">
        <v>95057</v>
      </c>
      <c r="AX47">
        <v>95423</v>
      </c>
      <c r="AY47">
        <v>95594</v>
      </c>
      <c r="AZ47">
        <v>95589</v>
      </c>
      <c r="BA47">
        <v>95671</v>
      </c>
      <c r="BB47">
        <v>95813</v>
      </c>
      <c r="BC47">
        <v>96005</v>
      </c>
      <c r="BD47">
        <v>96044</v>
      </c>
      <c r="BE47">
        <v>96160</v>
      </c>
      <c r="BF47">
        <v>96350</v>
      </c>
      <c r="BG47">
        <v>96505</v>
      </c>
      <c r="BH47">
        <v>96466</v>
      </c>
      <c r="BI47">
        <v>96695</v>
      </c>
      <c r="BJ47">
        <v>96686</v>
      </c>
      <c r="BK47">
        <v>96852</v>
      </c>
      <c r="BL47">
        <v>96840</v>
      </c>
      <c r="BM47">
        <v>97005</v>
      </c>
      <c r="BN47">
        <v>97123</v>
      </c>
      <c r="BO47">
        <v>97113</v>
      </c>
      <c r="BP47">
        <v>97185</v>
      </c>
      <c r="BQ47">
        <v>97315</v>
      </c>
      <c r="BR47">
        <v>97352</v>
      </c>
      <c r="BS47">
        <v>97473</v>
      </c>
      <c r="BT47">
        <v>97489</v>
      </c>
      <c r="BU47">
        <v>97676</v>
      </c>
      <c r="BV47">
        <v>97718</v>
      </c>
      <c r="BW47">
        <v>97686</v>
      </c>
      <c r="BX47">
        <v>97780</v>
      </c>
      <c r="BY47">
        <v>97869</v>
      </c>
      <c r="BZ47">
        <v>97874</v>
      </c>
      <c r="CA47">
        <v>98026</v>
      </c>
      <c r="CB47">
        <v>98065</v>
      </c>
      <c r="CC47">
        <v>98147</v>
      </c>
      <c r="CD47">
        <v>98204</v>
      </c>
      <c r="CE47">
        <v>98254</v>
      </c>
      <c r="CF47">
        <v>98278</v>
      </c>
      <c r="CG47">
        <v>98226</v>
      </c>
      <c r="CH47">
        <v>98322</v>
      </c>
      <c r="CI47">
        <v>98315</v>
      </c>
      <c r="CJ47">
        <v>98340</v>
      </c>
      <c r="CK47">
        <v>98512</v>
      </c>
      <c r="CL47">
        <v>98601</v>
      </c>
      <c r="CM47">
        <v>98519</v>
      </c>
      <c r="CN47">
        <v>98557</v>
      </c>
      <c r="CO47">
        <v>98646</v>
      </c>
      <c r="CP47">
        <v>98632</v>
      </c>
      <c r="CQ47">
        <v>98707</v>
      </c>
      <c r="CR47">
        <v>98730</v>
      </c>
      <c r="CS47">
        <v>98819</v>
      </c>
      <c r="CT47">
        <v>98742</v>
      </c>
      <c r="CU47">
        <v>98826</v>
      </c>
      <c r="CV47">
        <v>98848</v>
      </c>
      <c r="CW47">
        <v>98835</v>
      </c>
    </row>
    <row r="48" spans="1:101" x14ac:dyDescent="0.25">
      <c r="A48" t="s">
        <v>82</v>
      </c>
      <c r="B48">
        <v>71273</v>
      </c>
      <c r="C48">
        <v>72587</v>
      </c>
      <c r="D48">
        <v>74458</v>
      </c>
      <c r="E48">
        <v>73886</v>
      </c>
      <c r="F48">
        <v>74632</v>
      </c>
      <c r="G48">
        <v>75778</v>
      </c>
      <c r="H48">
        <v>75883</v>
      </c>
      <c r="I48">
        <v>77029</v>
      </c>
      <c r="J48">
        <v>77902</v>
      </c>
      <c r="K48">
        <v>78946</v>
      </c>
      <c r="L48">
        <v>78546</v>
      </c>
      <c r="M48">
        <v>78106</v>
      </c>
      <c r="N48">
        <v>81422</v>
      </c>
      <c r="O48">
        <v>80576</v>
      </c>
      <c r="P48">
        <v>80627</v>
      </c>
      <c r="Q48">
        <v>81334</v>
      </c>
      <c r="R48">
        <v>81437</v>
      </c>
      <c r="S48">
        <v>81177</v>
      </c>
      <c r="T48">
        <v>82373</v>
      </c>
      <c r="U48">
        <v>84991</v>
      </c>
      <c r="V48">
        <v>85623</v>
      </c>
      <c r="W48">
        <v>85450</v>
      </c>
      <c r="X48">
        <v>87068</v>
      </c>
      <c r="Y48">
        <v>88199</v>
      </c>
      <c r="Z48">
        <v>88460</v>
      </c>
      <c r="AA48">
        <v>88783</v>
      </c>
      <c r="AB48">
        <v>89188</v>
      </c>
      <c r="AC48">
        <v>89823</v>
      </c>
      <c r="AD48">
        <v>90199</v>
      </c>
      <c r="AE48">
        <v>90675</v>
      </c>
      <c r="AF48">
        <v>91037</v>
      </c>
      <c r="AG48">
        <v>91886</v>
      </c>
      <c r="AH48">
        <v>92206</v>
      </c>
      <c r="AI48">
        <v>92326</v>
      </c>
      <c r="AJ48">
        <v>92589</v>
      </c>
      <c r="AK48">
        <v>92856</v>
      </c>
      <c r="AL48">
        <v>92909</v>
      </c>
      <c r="AM48">
        <v>93188</v>
      </c>
      <c r="AN48">
        <v>93134</v>
      </c>
      <c r="AO48">
        <v>92967</v>
      </c>
      <c r="AP48">
        <v>92832</v>
      </c>
      <c r="AQ48">
        <v>92677</v>
      </c>
      <c r="AR48">
        <v>92797</v>
      </c>
      <c r="AS48">
        <v>92810</v>
      </c>
      <c r="AT48">
        <v>91804</v>
      </c>
      <c r="AU48">
        <v>91497</v>
      </c>
      <c r="AV48">
        <v>94496</v>
      </c>
      <c r="AW48">
        <v>94959</v>
      </c>
      <c r="AX48">
        <v>95323</v>
      </c>
      <c r="AY48">
        <v>95497</v>
      </c>
      <c r="AZ48">
        <v>95497</v>
      </c>
      <c r="BA48">
        <v>95577</v>
      </c>
      <c r="BB48">
        <v>95726</v>
      </c>
      <c r="BC48">
        <v>95898</v>
      </c>
      <c r="BD48">
        <v>95955</v>
      </c>
      <c r="BE48">
        <v>96051</v>
      </c>
      <c r="BF48">
        <v>96254</v>
      </c>
      <c r="BG48">
        <v>96404</v>
      </c>
      <c r="BH48">
        <v>96373</v>
      </c>
      <c r="BI48">
        <v>96578</v>
      </c>
      <c r="BJ48">
        <v>96584</v>
      </c>
      <c r="BK48">
        <v>96754</v>
      </c>
      <c r="BL48">
        <v>96752</v>
      </c>
      <c r="BM48">
        <v>96909</v>
      </c>
      <c r="BN48">
        <v>97044</v>
      </c>
      <c r="BO48">
        <v>97024</v>
      </c>
      <c r="BP48">
        <v>97122</v>
      </c>
      <c r="BQ48">
        <v>97250</v>
      </c>
      <c r="BR48">
        <v>97289</v>
      </c>
      <c r="BS48">
        <v>97398</v>
      </c>
      <c r="BT48">
        <v>97412</v>
      </c>
      <c r="BU48">
        <v>97609</v>
      </c>
      <c r="BV48">
        <v>97651</v>
      </c>
      <c r="BW48">
        <v>97624</v>
      </c>
      <c r="BX48">
        <v>97729</v>
      </c>
      <c r="BY48">
        <v>97818</v>
      </c>
      <c r="BZ48">
        <v>97804</v>
      </c>
      <c r="CA48">
        <v>97966</v>
      </c>
      <c r="CB48">
        <v>98007</v>
      </c>
      <c r="CC48">
        <v>98086</v>
      </c>
      <c r="CD48">
        <v>98148</v>
      </c>
      <c r="CE48">
        <v>98200</v>
      </c>
      <c r="CF48">
        <v>98225</v>
      </c>
      <c r="CG48">
        <v>98174</v>
      </c>
      <c r="CH48">
        <v>98271</v>
      </c>
      <c r="CI48">
        <v>98265</v>
      </c>
      <c r="CJ48">
        <v>98291</v>
      </c>
      <c r="CK48">
        <v>98463</v>
      </c>
      <c r="CL48">
        <v>98553</v>
      </c>
      <c r="CM48">
        <v>98471</v>
      </c>
      <c r="CN48">
        <v>98511</v>
      </c>
      <c r="CO48">
        <v>98601</v>
      </c>
      <c r="CP48">
        <v>98588</v>
      </c>
      <c r="CQ48">
        <v>98664</v>
      </c>
      <c r="CR48">
        <v>98688</v>
      </c>
      <c r="CS48">
        <v>98777</v>
      </c>
      <c r="CT48">
        <v>98700</v>
      </c>
      <c r="CU48">
        <v>98786</v>
      </c>
      <c r="CV48">
        <v>98808</v>
      </c>
      <c r="CW48">
        <v>98795</v>
      </c>
    </row>
    <row r="49" spans="1:101" x14ac:dyDescent="0.25">
      <c r="A49" t="s">
        <v>81</v>
      </c>
      <c r="B49">
        <v>71036</v>
      </c>
      <c r="C49">
        <v>72302</v>
      </c>
      <c r="D49">
        <v>74186</v>
      </c>
      <c r="E49">
        <v>73567</v>
      </c>
      <c r="F49">
        <v>74288</v>
      </c>
      <c r="G49">
        <v>75596</v>
      </c>
      <c r="H49">
        <v>75671</v>
      </c>
      <c r="I49">
        <v>76853</v>
      </c>
      <c r="J49">
        <v>77739</v>
      </c>
      <c r="K49">
        <v>78789</v>
      </c>
      <c r="L49">
        <v>78383</v>
      </c>
      <c r="M49">
        <v>77980</v>
      </c>
      <c r="N49">
        <v>81270</v>
      </c>
      <c r="O49">
        <v>80438</v>
      </c>
      <c r="P49">
        <v>80481</v>
      </c>
      <c r="Q49">
        <v>81179</v>
      </c>
      <c r="R49">
        <v>81291</v>
      </c>
      <c r="S49">
        <v>81058</v>
      </c>
      <c r="T49">
        <v>82256</v>
      </c>
      <c r="U49">
        <v>84856</v>
      </c>
      <c r="V49">
        <v>85504</v>
      </c>
      <c r="W49">
        <v>85312</v>
      </c>
      <c r="X49">
        <v>86936</v>
      </c>
      <c r="Y49">
        <v>88088</v>
      </c>
      <c r="Z49">
        <v>88328</v>
      </c>
      <c r="AA49">
        <v>88654</v>
      </c>
      <c r="AB49">
        <v>89062</v>
      </c>
      <c r="AC49">
        <v>89658</v>
      </c>
      <c r="AD49">
        <v>90059</v>
      </c>
      <c r="AE49">
        <v>90561</v>
      </c>
      <c r="AF49">
        <v>90916</v>
      </c>
      <c r="AG49">
        <v>91766</v>
      </c>
      <c r="AH49">
        <v>92070</v>
      </c>
      <c r="AI49">
        <v>92208</v>
      </c>
      <c r="AJ49">
        <v>92457</v>
      </c>
      <c r="AK49">
        <v>92754</v>
      </c>
      <c r="AL49">
        <v>92787</v>
      </c>
      <c r="AM49">
        <v>93066</v>
      </c>
      <c r="AN49">
        <v>93028</v>
      </c>
      <c r="AO49">
        <v>92864</v>
      </c>
      <c r="AP49">
        <v>92725</v>
      </c>
      <c r="AQ49">
        <v>92570</v>
      </c>
      <c r="AR49">
        <v>92707</v>
      </c>
      <c r="AS49">
        <v>92702</v>
      </c>
      <c r="AT49">
        <v>91704</v>
      </c>
      <c r="AU49">
        <v>91396</v>
      </c>
      <c r="AV49">
        <v>94391</v>
      </c>
      <c r="AW49">
        <v>94841</v>
      </c>
      <c r="AX49">
        <v>95223</v>
      </c>
      <c r="AY49">
        <v>95373</v>
      </c>
      <c r="AZ49">
        <v>95389</v>
      </c>
      <c r="BA49">
        <v>95467</v>
      </c>
      <c r="BB49">
        <v>95626</v>
      </c>
      <c r="BC49">
        <v>95792</v>
      </c>
      <c r="BD49">
        <v>95833</v>
      </c>
      <c r="BE49">
        <v>95931</v>
      </c>
      <c r="BF49">
        <v>96132</v>
      </c>
      <c r="BG49">
        <v>96284</v>
      </c>
      <c r="BH49">
        <v>96256</v>
      </c>
      <c r="BI49">
        <v>96471</v>
      </c>
      <c r="BJ49">
        <v>96474</v>
      </c>
      <c r="BK49">
        <v>96653</v>
      </c>
      <c r="BL49">
        <v>96649</v>
      </c>
      <c r="BM49">
        <v>96805</v>
      </c>
      <c r="BN49">
        <v>96951</v>
      </c>
      <c r="BO49">
        <v>96919</v>
      </c>
      <c r="BP49">
        <v>97040</v>
      </c>
      <c r="BQ49">
        <v>97166</v>
      </c>
      <c r="BR49">
        <v>97202</v>
      </c>
      <c r="BS49">
        <v>97317</v>
      </c>
      <c r="BT49">
        <v>97337</v>
      </c>
      <c r="BU49">
        <v>97529</v>
      </c>
      <c r="BV49">
        <v>97589</v>
      </c>
      <c r="BW49">
        <v>97550</v>
      </c>
      <c r="BX49">
        <v>97659</v>
      </c>
      <c r="BY49">
        <v>97747</v>
      </c>
      <c r="BZ49">
        <v>97749</v>
      </c>
      <c r="CA49">
        <v>97910</v>
      </c>
      <c r="CB49">
        <v>97947</v>
      </c>
      <c r="CC49">
        <v>98023</v>
      </c>
      <c r="CD49">
        <v>98087</v>
      </c>
      <c r="CE49">
        <v>98140</v>
      </c>
      <c r="CF49">
        <v>98166</v>
      </c>
      <c r="CG49">
        <v>98116</v>
      </c>
      <c r="CH49">
        <v>98214</v>
      </c>
      <c r="CI49">
        <v>98210</v>
      </c>
      <c r="CJ49">
        <v>98237</v>
      </c>
      <c r="CK49">
        <v>98410</v>
      </c>
      <c r="CL49">
        <v>98501</v>
      </c>
      <c r="CM49">
        <v>98420</v>
      </c>
      <c r="CN49">
        <v>98459</v>
      </c>
      <c r="CO49">
        <v>98550</v>
      </c>
      <c r="CP49">
        <v>98538</v>
      </c>
      <c r="CQ49">
        <v>98615</v>
      </c>
      <c r="CR49">
        <v>98640</v>
      </c>
      <c r="CS49">
        <v>98730</v>
      </c>
      <c r="CT49">
        <v>98655</v>
      </c>
      <c r="CU49">
        <v>98741</v>
      </c>
      <c r="CV49">
        <v>98764</v>
      </c>
      <c r="CW49">
        <v>98752</v>
      </c>
    </row>
    <row r="50" spans="1:101" x14ac:dyDescent="0.25">
      <c r="A50" t="s">
        <v>80</v>
      </c>
      <c r="B50">
        <v>70790</v>
      </c>
      <c r="C50">
        <v>72062</v>
      </c>
      <c r="D50">
        <v>73881</v>
      </c>
      <c r="E50">
        <v>73185</v>
      </c>
      <c r="F50">
        <v>74087</v>
      </c>
      <c r="G50">
        <v>75395</v>
      </c>
      <c r="H50">
        <v>75478</v>
      </c>
      <c r="I50">
        <v>76668</v>
      </c>
      <c r="J50">
        <v>77591</v>
      </c>
      <c r="K50">
        <v>78606</v>
      </c>
      <c r="L50">
        <v>78242</v>
      </c>
      <c r="M50">
        <v>77823</v>
      </c>
      <c r="N50">
        <v>81115</v>
      </c>
      <c r="O50">
        <v>80287</v>
      </c>
      <c r="P50">
        <v>80344</v>
      </c>
      <c r="Q50">
        <v>81038</v>
      </c>
      <c r="R50">
        <v>81162</v>
      </c>
      <c r="S50">
        <v>80921</v>
      </c>
      <c r="T50">
        <v>82120</v>
      </c>
      <c r="U50">
        <v>84720</v>
      </c>
      <c r="V50">
        <v>85367</v>
      </c>
      <c r="W50">
        <v>85183</v>
      </c>
      <c r="X50">
        <v>86802</v>
      </c>
      <c r="Y50">
        <v>87958</v>
      </c>
      <c r="Z50">
        <v>88189</v>
      </c>
      <c r="AA50">
        <v>88494</v>
      </c>
      <c r="AB50">
        <v>88905</v>
      </c>
      <c r="AC50">
        <v>89524</v>
      </c>
      <c r="AD50">
        <v>89918</v>
      </c>
      <c r="AE50">
        <v>90424</v>
      </c>
      <c r="AF50">
        <v>90773</v>
      </c>
      <c r="AG50">
        <v>91627</v>
      </c>
      <c r="AH50">
        <v>91927</v>
      </c>
      <c r="AI50">
        <v>92068</v>
      </c>
      <c r="AJ50">
        <v>92335</v>
      </c>
      <c r="AK50">
        <v>92634</v>
      </c>
      <c r="AL50">
        <v>92676</v>
      </c>
      <c r="AM50">
        <v>92916</v>
      </c>
      <c r="AN50">
        <v>92913</v>
      </c>
      <c r="AO50">
        <v>92740</v>
      </c>
      <c r="AP50">
        <v>92600</v>
      </c>
      <c r="AQ50">
        <v>92460</v>
      </c>
      <c r="AR50">
        <v>92589</v>
      </c>
      <c r="AS50">
        <v>92598</v>
      </c>
      <c r="AT50">
        <v>91605</v>
      </c>
      <c r="AU50">
        <v>91286</v>
      </c>
      <c r="AV50">
        <v>94283</v>
      </c>
      <c r="AW50">
        <v>94720</v>
      </c>
      <c r="AX50">
        <v>95131</v>
      </c>
      <c r="AY50">
        <v>95252</v>
      </c>
      <c r="AZ50">
        <v>95260</v>
      </c>
      <c r="BA50">
        <v>95363</v>
      </c>
      <c r="BB50">
        <v>95500</v>
      </c>
      <c r="BC50">
        <v>95674</v>
      </c>
      <c r="BD50">
        <v>95703</v>
      </c>
      <c r="BE50">
        <v>95815</v>
      </c>
      <c r="BF50">
        <v>96002</v>
      </c>
      <c r="BG50">
        <v>96155</v>
      </c>
      <c r="BH50">
        <v>96132</v>
      </c>
      <c r="BI50">
        <v>96357</v>
      </c>
      <c r="BJ50">
        <v>96362</v>
      </c>
      <c r="BK50">
        <v>96538</v>
      </c>
      <c r="BL50">
        <v>96547</v>
      </c>
      <c r="BM50">
        <v>96711</v>
      </c>
      <c r="BN50">
        <v>96863</v>
      </c>
      <c r="BO50">
        <v>96834</v>
      </c>
      <c r="BP50">
        <v>96940</v>
      </c>
      <c r="BQ50">
        <v>97078</v>
      </c>
      <c r="BR50">
        <v>97120</v>
      </c>
      <c r="BS50">
        <v>97220</v>
      </c>
      <c r="BT50">
        <v>97253</v>
      </c>
      <c r="BU50">
        <v>97447</v>
      </c>
      <c r="BV50">
        <v>97502</v>
      </c>
      <c r="BW50">
        <v>97479</v>
      </c>
      <c r="BX50">
        <v>97601</v>
      </c>
      <c r="BY50">
        <v>97667</v>
      </c>
      <c r="BZ50">
        <v>97662</v>
      </c>
      <c r="CA50">
        <v>97846</v>
      </c>
      <c r="CB50">
        <v>97876</v>
      </c>
      <c r="CC50">
        <v>97955</v>
      </c>
      <c r="CD50">
        <v>98020</v>
      </c>
      <c r="CE50">
        <v>98075</v>
      </c>
      <c r="CF50">
        <v>98101</v>
      </c>
      <c r="CG50">
        <v>98052</v>
      </c>
      <c r="CH50">
        <v>98151</v>
      </c>
      <c r="CI50">
        <v>98149</v>
      </c>
      <c r="CJ50">
        <v>98177</v>
      </c>
      <c r="CK50">
        <v>98351</v>
      </c>
      <c r="CL50">
        <v>98443</v>
      </c>
      <c r="CM50">
        <v>98363</v>
      </c>
      <c r="CN50">
        <v>98403</v>
      </c>
      <c r="CO50">
        <v>98495</v>
      </c>
      <c r="CP50">
        <v>98484</v>
      </c>
      <c r="CQ50">
        <v>98562</v>
      </c>
      <c r="CR50">
        <v>98588</v>
      </c>
      <c r="CS50">
        <v>98679</v>
      </c>
      <c r="CT50">
        <v>98605</v>
      </c>
      <c r="CU50">
        <v>98692</v>
      </c>
      <c r="CV50">
        <v>98715</v>
      </c>
      <c r="CW50">
        <v>98704</v>
      </c>
    </row>
    <row r="51" spans="1:101" x14ac:dyDescent="0.25">
      <c r="A51" t="s">
        <v>79</v>
      </c>
      <c r="B51">
        <v>70508</v>
      </c>
      <c r="C51">
        <v>71699</v>
      </c>
      <c r="D51">
        <v>73483</v>
      </c>
      <c r="E51">
        <v>72961</v>
      </c>
      <c r="F51">
        <v>73872</v>
      </c>
      <c r="G51">
        <v>75208</v>
      </c>
      <c r="H51">
        <v>75301</v>
      </c>
      <c r="I51">
        <v>76490</v>
      </c>
      <c r="J51">
        <v>77431</v>
      </c>
      <c r="K51">
        <v>78421</v>
      </c>
      <c r="L51">
        <v>78057</v>
      </c>
      <c r="M51">
        <v>77663</v>
      </c>
      <c r="N51">
        <v>80958</v>
      </c>
      <c r="O51">
        <v>80139</v>
      </c>
      <c r="P51">
        <v>80190</v>
      </c>
      <c r="Q51">
        <v>80871</v>
      </c>
      <c r="R51">
        <v>80992</v>
      </c>
      <c r="S51">
        <v>80787</v>
      </c>
      <c r="T51">
        <v>81969</v>
      </c>
      <c r="U51">
        <v>84569</v>
      </c>
      <c r="V51">
        <v>85238</v>
      </c>
      <c r="W51">
        <v>85048</v>
      </c>
      <c r="X51">
        <v>86668</v>
      </c>
      <c r="Y51">
        <v>87766</v>
      </c>
      <c r="Z51">
        <v>88036</v>
      </c>
      <c r="AA51">
        <v>88339</v>
      </c>
      <c r="AB51">
        <v>88732</v>
      </c>
      <c r="AC51">
        <v>89367</v>
      </c>
      <c r="AD51">
        <v>89762</v>
      </c>
      <c r="AE51">
        <v>90250</v>
      </c>
      <c r="AF51">
        <v>90599</v>
      </c>
      <c r="AG51">
        <v>91469</v>
      </c>
      <c r="AH51">
        <v>91764</v>
      </c>
      <c r="AI51">
        <v>91929</v>
      </c>
      <c r="AJ51">
        <v>92210</v>
      </c>
      <c r="AK51">
        <v>92470</v>
      </c>
      <c r="AL51">
        <v>92542</v>
      </c>
      <c r="AM51">
        <v>92769</v>
      </c>
      <c r="AN51">
        <v>92787</v>
      </c>
      <c r="AO51">
        <v>92609</v>
      </c>
      <c r="AP51">
        <v>92473</v>
      </c>
      <c r="AQ51">
        <v>92326</v>
      </c>
      <c r="AR51">
        <v>92477</v>
      </c>
      <c r="AS51">
        <v>92460</v>
      </c>
      <c r="AT51">
        <v>91489</v>
      </c>
      <c r="AU51">
        <v>91160</v>
      </c>
      <c r="AV51">
        <v>94167</v>
      </c>
      <c r="AW51">
        <v>94586</v>
      </c>
      <c r="AX51">
        <v>94988</v>
      </c>
      <c r="AY51">
        <v>95120</v>
      </c>
      <c r="AZ51">
        <v>95112</v>
      </c>
      <c r="BA51">
        <v>95222</v>
      </c>
      <c r="BB51">
        <v>95375</v>
      </c>
      <c r="BC51">
        <v>95519</v>
      </c>
      <c r="BD51">
        <v>95567</v>
      </c>
      <c r="BE51">
        <v>95687</v>
      </c>
      <c r="BF51">
        <v>95865</v>
      </c>
      <c r="BG51">
        <v>96036</v>
      </c>
      <c r="BH51">
        <v>96008</v>
      </c>
      <c r="BI51">
        <v>96236</v>
      </c>
      <c r="BJ51">
        <v>96238</v>
      </c>
      <c r="BK51">
        <v>96402</v>
      </c>
      <c r="BL51">
        <v>96422</v>
      </c>
      <c r="BM51">
        <v>96614</v>
      </c>
      <c r="BN51">
        <v>96761</v>
      </c>
      <c r="BO51">
        <v>96737</v>
      </c>
      <c r="BP51">
        <v>96836</v>
      </c>
      <c r="BQ51">
        <v>96982</v>
      </c>
      <c r="BR51">
        <v>97026</v>
      </c>
      <c r="BS51">
        <v>97129</v>
      </c>
      <c r="BT51">
        <v>97173</v>
      </c>
      <c r="BU51">
        <v>97356</v>
      </c>
      <c r="BV51">
        <v>97416</v>
      </c>
      <c r="BW51">
        <v>97405</v>
      </c>
      <c r="BX51">
        <v>97514</v>
      </c>
      <c r="BY51">
        <v>97596</v>
      </c>
      <c r="BZ51">
        <v>97586</v>
      </c>
      <c r="CA51">
        <v>97767</v>
      </c>
      <c r="CB51">
        <v>97800</v>
      </c>
      <c r="CC51">
        <v>97880</v>
      </c>
      <c r="CD51">
        <v>97947</v>
      </c>
      <c r="CE51">
        <v>98003</v>
      </c>
      <c r="CF51">
        <v>98031</v>
      </c>
      <c r="CG51">
        <v>97982</v>
      </c>
      <c r="CH51">
        <v>98084</v>
      </c>
      <c r="CI51">
        <v>98083</v>
      </c>
      <c r="CJ51">
        <v>98111</v>
      </c>
      <c r="CK51">
        <v>98286</v>
      </c>
      <c r="CL51">
        <v>98380</v>
      </c>
      <c r="CM51">
        <v>98301</v>
      </c>
      <c r="CN51">
        <v>98342</v>
      </c>
      <c r="CO51">
        <v>98435</v>
      </c>
      <c r="CP51">
        <v>98425</v>
      </c>
      <c r="CQ51">
        <v>98504</v>
      </c>
      <c r="CR51">
        <v>98531</v>
      </c>
      <c r="CS51">
        <v>98624</v>
      </c>
      <c r="CT51">
        <v>98550</v>
      </c>
      <c r="CU51">
        <v>98638</v>
      </c>
      <c r="CV51">
        <v>98663</v>
      </c>
      <c r="CW51">
        <v>98653</v>
      </c>
    </row>
    <row r="52" spans="1:101" x14ac:dyDescent="0.25">
      <c r="A52" t="s">
        <v>78</v>
      </c>
      <c r="B52">
        <v>70181</v>
      </c>
      <c r="C52">
        <v>71338</v>
      </c>
      <c r="D52">
        <v>73264</v>
      </c>
      <c r="E52">
        <v>72758</v>
      </c>
      <c r="F52">
        <v>73666</v>
      </c>
      <c r="G52">
        <v>74977</v>
      </c>
      <c r="H52">
        <v>75132</v>
      </c>
      <c r="I52">
        <v>76311</v>
      </c>
      <c r="J52">
        <v>77256</v>
      </c>
      <c r="K52">
        <v>78218</v>
      </c>
      <c r="L52">
        <v>77912</v>
      </c>
      <c r="M52">
        <v>77501</v>
      </c>
      <c r="N52">
        <v>80790</v>
      </c>
      <c r="O52">
        <v>79973</v>
      </c>
      <c r="P52">
        <v>80016</v>
      </c>
      <c r="Q52">
        <v>80702</v>
      </c>
      <c r="R52">
        <v>80839</v>
      </c>
      <c r="S52">
        <v>80636</v>
      </c>
      <c r="T52">
        <v>81822</v>
      </c>
      <c r="U52">
        <v>84396</v>
      </c>
      <c r="V52">
        <v>85064</v>
      </c>
      <c r="W52">
        <v>84876</v>
      </c>
      <c r="X52">
        <v>86503</v>
      </c>
      <c r="Y52">
        <v>87596</v>
      </c>
      <c r="Z52">
        <v>87871</v>
      </c>
      <c r="AA52">
        <v>88152</v>
      </c>
      <c r="AB52">
        <v>88566</v>
      </c>
      <c r="AC52">
        <v>89201</v>
      </c>
      <c r="AD52">
        <v>89572</v>
      </c>
      <c r="AE52">
        <v>90080</v>
      </c>
      <c r="AF52">
        <v>90432</v>
      </c>
      <c r="AG52">
        <v>91302</v>
      </c>
      <c r="AH52">
        <v>91600</v>
      </c>
      <c r="AI52">
        <v>91771</v>
      </c>
      <c r="AJ52">
        <v>92052</v>
      </c>
      <c r="AK52">
        <v>92296</v>
      </c>
      <c r="AL52">
        <v>92381</v>
      </c>
      <c r="AM52">
        <v>92624</v>
      </c>
      <c r="AN52">
        <v>92621</v>
      </c>
      <c r="AO52">
        <v>92458</v>
      </c>
      <c r="AP52">
        <v>92344</v>
      </c>
      <c r="AQ52">
        <v>92212</v>
      </c>
      <c r="AR52">
        <v>92332</v>
      </c>
      <c r="AS52">
        <v>92307</v>
      </c>
      <c r="AT52">
        <v>91358</v>
      </c>
      <c r="AU52">
        <v>91034</v>
      </c>
      <c r="AV52">
        <v>94037</v>
      </c>
      <c r="AW52">
        <v>94433</v>
      </c>
      <c r="AX52">
        <v>94839</v>
      </c>
      <c r="AY52">
        <v>94970</v>
      </c>
      <c r="AZ52">
        <v>94969</v>
      </c>
      <c r="BA52">
        <v>95076</v>
      </c>
      <c r="BB52">
        <v>95216</v>
      </c>
      <c r="BC52">
        <v>95369</v>
      </c>
      <c r="BD52">
        <v>95407</v>
      </c>
      <c r="BE52">
        <v>95548</v>
      </c>
      <c r="BF52">
        <v>95712</v>
      </c>
      <c r="BG52">
        <v>95906</v>
      </c>
      <c r="BH52">
        <v>95865</v>
      </c>
      <c r="BI52">
        <v>96081</v>
      </c>
      <c r="BJ52">
        <v>96110</v>
      </c>
      <c r="BK52">
        <v>96255</v>
      </c>
      <c r="BL52">
        <v>96302</v>
      </c>
      <c r="BM52">
        <v>96496</v>
      </c>
      <c r="BN52">
        <v>96652</v>
      </c>
      <c r="BO52">
        <v>96613</v>
      </c>
      <c r="BP52">
        <v>96729</v>
      </c>
      <c r="BQ52">
        <v>96878</v>
      </c>
      <c r="BR52">
        <v>96926</v>
      </c>
      <c r="BS52">
        <v>97038</v>
      </c>
      <c r="BT52">
        <v>97087</v>
      </c>
      <c r="BU52">
        <v>97257</v>
      </c>
      <c r="BV52">
        <v>97325</v>
      </c>
      <c r="BW52">
        <v>97312</v>
      </c>
      <c r="BX52">
        <v>97415</v>
      </c>
      <c r="BY52">
        <v>97505</v>
      </c>
      <c r="BZ52">
        <v>97499</v>
      </c>
      <c r="CA52">
        <v>97682</v>
      </c>
      <c r="CB52">
        <v>97718</v>
      </c>
      <c r="CC52">
        <v>97800</v>
      </c>
      <c r="CD52">
        <v>97868</v>
      </c>
      <c r="CE52">
        <v>97926</v>
      </c>
      <c r="CF52">
        <v>97955</v>
      </c>
      <c r="CG52">
        <v>97908</v>
      </c>
      <c r="CH52">
        <v>98011</v>
      </c>
      <c r="CI52">
        <v>98011</v>
      </c>
      <c r="CJ52">
        <v>98041</v>
      </c>
      <c r="CK52">
        <v>98217</v>
      </c>
      <c r="CL52">
        <v>98313</v>
      </c>
      <c r="CM52">
        <v>98235</v>
      </c>
      <c r="CN52">
        <v>98277</v>
      </c>
      <c r="CO52">
        <v>98371</v>
      </c>
      <c r="CP52">
        <v>98363</v>
      </c>
      <c r="CQ52">
        <v>98443</v>
      </c>
      <c r="CR52">
        <v>98471</v>
      </c>
      <c r="CS52">
        <v>98565</v>
      </c>
      <c r="CT52">
        <v>98493</v>
      </c>
      <c r="CU52">
        <v>98582</v>
      </c>
      <c r="CV52">
        <v>98608</v>
      </c>
      <c r="CW52">
        <v>98599</v>
      </c>
    </row>
    <row r="53" spans="1:101" x14ac:dyDescent="0.25">
      <c r="A53" t="s">
        <v>77</v>
      </c>
      <c r="B53">
        <v>69828</v>
      </c>
      <c r="C53">
        <v>71070</v>
      </c>
      <c r="D53">
        <v>73033</v>
      </c>
      <c r="E53">
        <v>72553</v>
      </c>
      <c r="F53">
        <v>73445</v>
      </c>
      <c r="G53">
        <v>74768</v>
      </c>
      <c r="H53">
        <v>74909</v>
      </c>
      <c r="I53">
        <v>76095</v>
      </c>
      <c r="J53">
        <v>77069</v>
      </c>
      <c r="K53">
        <v>78036</v>
      </c>
      <c r="L53">
        <v>77722</v>
      </c>
      <c r="M53">
        <v>77310</v>
      </c>
      <c r="N53">
        <v>80584</v>
      </c>
      <c r="O53">
        <v>79796</v>
      </c>
      <c r="P53">
        <v>79836</v>
      </c>
      <c r="Q53">
        <v>80501</v>
      </c>
      <c r="R53">
        <v>80693</v>
      </c>
      <c r="S53">
        <v>80468</v>
      </c>
      <c r="T53">
        <v>81657</v>
      </c>
      <c r="U53">
        <v>84239</v>
      </c>
      <c r="V53">
        <v>84896</v>
      </c>
      <c r="W53">
        <v>84693</v>
      </c>
      <c r="X53">
        <v>86317</v>
      </c>
      <c r="Y53">
        <v>87409</v>
      </c>
      <c r="Z53">
        <v>87683</v>
      </c>
      <c r="AA53">
        <v>87943</v>
      </c>
      <c r="AB53">
        <v>88418</v>
      </c>
      <c r="AC53">
        <v>89014</v>
      </c>
      <c r="AD53">
        <v>89373</v>
      </c>
      <c r="AE53">
        <v>89929</v>
      </c>
      <c r="AF53">
        <v>90260</v>
      </c>
      <c r="AG53">
        <v>91129</v>
      </c>
      <c r="AH53">
        <v>91422</v>
      </c>
      <c r="AI53">
        <v>91583</v>
      </c>
      <c r="AJ53">
        <v>91884</v>
      </c>
      <c r="AK53">
        <v>92151</v>
      </c>
      <c r="AL53">
        <v>92227</v>
      </c>
      <c r="AM53">
        <v>92472</v>
      </c>
      <c r="AN53">
        <v>92464</v>
      </c>
      <c r="AO53">
        <v>92304</v>
      </c>
      <c r="AP53">
        <v>92176</v>
      </c>
      <c r="AQ53">
        <v>92064</v>
      </c>
      <c r="AR53">
        <v>92159</v>
      </c>
      <c r="AS53">
        <v>92150</v>
      </c>
      <c r="AT53">
        <v>91197</v>
      </c>
      <c r="AU53">
        <v>90875</v>
      </c>
      <c r="AV53">
        <v>93899</v>
      </c>
      <c r="AW53">
        <v>94275</v>
      </c>
      <c r="AX53">
        <v>94679</v>
      </c>
      <c r="AY53">
        <v>94806</v>
      </c>
      <c r="AZ53">
        <v>94805</v>
      </c>
      <c r="BA53">
        <v>94911</v>
      </c>
      <c r="BB53">
        <v>95053</v>
      </c>
      <c r="BC53">
        <v>95211</v>
      </c>
      <c r="BD53">
        <v>95233</v>
      </c>
      <c r="BE53">
        <v>95366</v>
      </c>
      <c r="BF53">
        <v>95543</v>
      </c>
      <c r="BG53">
        <v>95739</v>
      </c>
      <c r="BH53">
        <v>95707</v>
      </c>
      <c r="BI53">
        <v>95931</v>
      </c>
      <c r="BJ53">
        <v>95981</v>
      </c>
      <c r="BK53">
        <v>96104</v>
      </c>
      <c r="BL53">
        <v>96177</v>
      </c>
      <c r="BM53">
        <v>96362</v>
      </c>
      <c r="BN53">
        <v>96532</v>
      </c>
      <c r="BO53">
        <v>96495</v>
      </c>
      <c r="BP53">
        <v>96599</v>
      </c>
      <c r="BQ53">
        <v>96768</v>
      </c>
      <c r="BR53">
        <v>96826</v>
      </c>
      <c r="BS53">
        <v>96923</v>
      </c>
      <c r="BT53">
        <v>96987</v>
      </c>
      <c r="BU53">
        <v>97153</v>
      </c>
      <c r="BV53">
        <v>97234</v>
      </c>
      <c r="BW53">
        <v>97220</v>
      </c>
      <c r="BX53">
        <v>97324</v>
      </c>
      <c r="BY53">
        <v>97409</v>
      </c>
      <c r="BZ53">
        <v>97406</v>
      </c>
      <c r="CA53">
        <v>97593</v>
      </c>
      <c r="CB53">
        <v>97630</v>
      </c>
      <c r="CC53">
        <v>97714</v>
      </c>
      <c r="CD53">
        <v>97783</v>
      </c>
      <c r="CE53">
        <v>97843</v>
      </c>
      <c r="CF53">
        <v>97874</v>
      </c>
      <c r="CG53">
        <v>97828</v>
      </c>
      <c r="CH53">
        <v>97934</v>
      </c>
      <c r="CI53">
        <v>97935</v>
      </c>
      <c r="CJ53">
        <v>97967</v>
      </c>
      <c r="CK53">
        <v>98145</v>
      </c>
      <c r="CL53">
        <v>98242</v>
      </c>
      <c r="CM53">
        <v>98165</v>
      </c>
      <c r="CN53">
        <v>98210</v>
      </c>
      <c r="CO53">
        <v>98304</v>
      </c>
      <c r="CP53">
        <v>98298</v>
      </c>
      <c r="CQ53">
        <v>98379</v>
      </c>
      <c r="CR53">
        <v>98408</v>
      </c>
      <c r="CS53">
        <v>98504</v>
      </c>
      <c r="CT53">
        <v>98433</v>
      </c>
      <c r="CU53">
        <v>98523</v>
      </c>
      <c r="CV53">
        <v>98551</v>
      </c>
      <c r="CW53">
        <v>98543</v>
      </c>
    </row>
    <row r="54" spans="1:101" x14ac:dyDescent="0.25">
      <c r="A54" t="s">
        <v>76</v>
      </c>
      <c r="B54">
        <v>69581</v>
      </c>
      <c r="C54">
        <v>70812</v>
      </c>
      <c r="D54">
        <v>72814</v>
      </c>
      <c r="E54">
        <v>72315</v>
      </c>
      <c r="F54">
        <v>73228</v>
      </c>
      <c r="G54">
        <v>74537</v>
      </c>
      <c r="H54">
        <v>74714</v>
      </c>
      <c r="I54">
        <v>75868</v>
      </c>
      <c r="J54">
        <v>76854</v>
      </c>
      <c r="K54">
        <v>77795</v>
      </c>
      <c r="L54">
        <v>77508</v>
      </c>
      <c r="M54">
        <v>77121</v>
      </c>
      <c r="N54">
        <v>80395</v>
      </c>
      <c r="O54">
        <v>79593</v>
      </c>
      <c r="P54">
        <v>79647</v>
      </c>
      <c r="Q54">
        <v>80332</v>
      </c>
      <c r="R54">
        <v>80511</v>
      </c>
      <c r="S54">
        <v>80281</v>
      </c>
      <c r="T54">
        <v>81450</v>
      </c>
      <c r="U54">
        <v>84027</v>
      </c>
      <c r="V54">
        <v>84688</v>
      </c>
      <c r="W54">
        <v>84489</v>
      </c>
      <c r="X54">
        <v>86132</v>
      </c>
      <c r="Y54">
        <v>87200</v>
      </c>
      <c r="Z54">
        <v>87466</v>
      </c>
      <c r="AA54">
        <v>87757</v>
      </c>
      <c r="AB54">
        <v>88191</v>
      </c>
      <c r="AC54">
        <v>88776</v>
      </c>
      <c r="AD54">
        <v>89171</v>
      </c>
      <c r="AE54">
        <v>89733</v>
      </c>
      <c r="AF54">
        <v>90076</v>
      </c>
      <c r="AG54">
        <v>90928</v>
      </c>
      <c r="AH54">
        <v>91218</v>
      </c>
      <c r="AI54">
        <v>91401</v>
      </c>
      <c r="AJ54">
        <v>91716</v>
      </c>
      <c r="AK54">
        <v>91980</v>
      </c>
      <c r="AL54">
        <v>92041</v>
      </c>
      <c r="AM54">
        <v>92307</v>
      </c>
      <c r="AN54">
        <v>92288</v>
      </c>
      <c r="AO54">
        <v>92146</v>
      </c>
      <c r="AP54">
        <v>92012</v>
      </c>
      <c r="AQ54">
        <v>91885</v>
      </c>
      <c r="AR54">
        <v>91984</v>
      </c>
      <c r="AS54">
        <v>91973</v>
      </c>
      <c r="AT54">
        <v>91031</v>
      </c>
      <c r="AU54">
        <v>90711</v>
      </c>
      <c r="AV54">
        <v>93728</v>
      </c>
      <c r="AW54">
        <v>94121</v>
      </c>
      <c r="AX54">
        <v>94498</v>
      </c>
      <c r="AY54">
        <v>94631</v>
      </c>
      <c r="AZ54">
        <v>94636</v>
      </c>
      <c r="BA54">
        <v>94707</v>
      </c>
      <c r="BB54">
        <v>94892</v>
      </c>
      <c r="BC54">
        <v>95036</v>
      </c>
      <c r="BD54">
        <v>95045</v>
      </c>
      <c r="BE54">
        <v>95169</v>
      </c>
      <c r="BF54">
        <v>95353</v>
      </c>
      <c r="BG54">
        <v>95556</v>
      </c>
      <c r="BH54">
        <v>95530</v>
      </c>
      <c r="BI54">
        <v>95774</v>
      </c>
      <c r="BJ54">
        <v>95833</v>
      </c>
      <c r="BK54">
        <v>95968</v>
      </c>
      <c r="BL54">
        <v>96035</v>
      </c>
      <c r="BM54">
        <v>96219</v>
      </c>
      <c r="BN54">
        <v>96394</v>
      </c>
      <c r="BO54">
        <v>96366</v>
      </c>
      <c r="BP54">
        <v>96466</v>
      </c>
      <c r="BQ54">
        <v>96643</v>
      </c>
      <c r="BR54">
        <v>96703</v>
      </c>
      <c r="BS54">
        <v>96813</v>
      </c>
      <c r="BT54">
        <v>96872</v>
      </c>
      <c r="BU54">
        <v>97048</v>
      </c>
      <c r="BV54">
        <v>97116</v>
      </c>
      <c r="BW54">
        <v>97099</v>
      </c>
      <c r="BX54">
        <v>97219</v>
      </c>
      <c r="BY54">
        <v>97308</v>
      </c>
      <c r="BZ54">
        <v>97308</v>
      </c>
      <c r="CA54">
        <v>97496</v>
      </c>
      <c r="CB54">
        <v>97536</v>
      </c>
      <c r="CC54">
        <v>97622</v>
      </c>
      <c r="CD54">
        <v>97694</v>
      </c>
      <c r="CE54">
        <v>97755</v>
      </c>
      <c r="CF54">
        <v>97788</v>
      </c>
      <c r="CG54">
        <v>97744</v>
      </c>
      <c r="CH54">
        <v>97851</v>
      </c>
      <c r="CI54">
        <v>97855</v>
      </c>
      <c r="CJ54">
        <v>97889</v>
      </c>
      <c r="CK54">
        <v>98068</v>
      </c>
      <c r="CL54">
        <v>98168</v>
      </c>
      <c r="CM54">
        <v>98092</v>
      </c>
      <c r="CN54">
        <v>98138</v>
      </c>
      <c r="CO54">
        <v>98234</v>
      </c>
      <c r="CP54">
        <v>98230</v>
      </c>
      <c r="CQ54">
        <v>98312</v>
      </c>
      <c r="CR54">
        <v>98343</v>
      </c>
      <c r="CS54">
        <v>98440</v>
      </c>
      <c r="CT54">
        <v>98371</v>
      </c>
      <c r="CU54">
        <v>98462</v>
      </c>
      <c r="CV54">
        <v>98491</v>
      </c>
      <c r="CW54">
        <v>98484</v>
      </c>
    </row>
    <row r="55" spans="1:101" x14ac:dyDescent="0.25">
      <c r="A55" t="s">
        <v>75</v>
      </c>
      <c r="B55">
        <v>69304</v>
      </c>
      <c r="C55">
        <v>70575</v>
      </c>
      <c r="D55">
        <v>72560</v>
      </c>
      <c r="E55">
        <v>72073</v>
      </c>
      <c r="F55">
        <v>73016</v>
      </c>
      <c r="G55">
        <v>74319</v>
      </c>
      <c r="H55">
        <v>74473</v>
      </c>
      <c r="I55">
        <v>75661</v>
      </c>
      <c r="J55">
        <v>76649</v>
      </c>
      <c r="K55">
        <v>77590</v>
      </c>
      <c r="L55">
        <v>77295</v>
      </c>
      <c r="M55">
        <v>76911</v>
      </c>
      <c r="N55">
        <v>80188</v>
      </c>
      <c r="O55">
        <v>79355</v>
      </c>
      <c r="P55">
        <v>79466</v>
      </c>
      <c r="Q55">
        <v>80121</v>
      </c>
      <c r="R55">
        <v>80312</v>
      </c>
      <c r="S55">
        <v>80076</v>
      </c>
      <c r="T55">
        <v>81224</v>
      </c>
      <c r="U55">
        <v>83819</v>
      </c>
      <c r="V55">
        <v>84474</v>
      </c>
      <c r="W55">
        <v>84266</v>
      </c>
      <c r="X55">
        <v>85908</v>
      </c>
      <c r="Y55">
        <v>86945</v>
      </c>
      <c r="Z55">
        <v>87216</v>
      </c>
      <c r="AA55">
        <v>87539</v>
      </c>
      <c r="AB55">
        <v>87968</v>
      </c>
      <c r="AC55">
        <v>88519</v>
      </c>
      <c r="AD55">
        <v>88948</v>
      </c>
      <c r="AE55">
        <v>89504</v>
      </c>
      <c r="AF55">
        <v>89833</v>
      </c>
      <c r="AG55">
        <v>90724</v>
      </c>
      <c r="AH55">
        <v>91025</v>
      </c>
      <c r="AI55">
        <v>91198</v>
      </c>
      <c r="AJ55">
        <v>91538</v>
      </c>
      <c r="AK55">
        <v>91791</v>
      </c>
      <c r="AL55">
        <v>91837</v>
      </c>
      <c r="AM55">
        <v>92118</v>
      </c>
      <c r="AN55">
        <v>92120</v>
      </c>
      <c r="AO55">
        <v>91941</v>
      </c>
      <c r="AP55">
        <v>91833</v>
      </c>
      <c r="AQ55">
        <v>91713</v>
      </c>
      <c r="AR55">
        <v>91787</v>
      </c>
      <c r="AS55">
        <v>91784</v>
      </c>
      <c r="AT55">
        <v>90840</v>
      </c>
      <c r="AU55">
        <v>90546</v>
      </c>
      <c r="AV55">
        <v>93506</v>
      </c>
      <c r="AW55">
        <v>93916</v>
      </c>
      <c r="AX55">
        <v>94311</v>
      </c>
      <c r="AY55">
        <v>94459</v>
      </c>
      <c r="AZ55">
        <v>94448</v>
      </c>
      <c r="BA55">
        <v>94511</v>
      </c>
      <c r="BB55">
        <v>94687</v>
      </c>
      <c r="BC55">
        <v>94810</v>
      </c>
      <c r="BD55">
        <v>94850</v>
      </c>
      <c r="BE55">
        <v>94958</v>
      </c>
      <c r="BF55">
        <v>95143</v>
      </c>
      <c r="BG55">
        <v>95353</v>
      </c>
      <c r="BH55">
        <v>95352</v>
      </c>
      <c r="BI55">
        <v>95599</v>
      </c>
      <c r="BJ55">
        <v>95659</v>
      </c>
      <c r="BK55">
        <v>95806</v>
      </c>
      <c r="BL55">
        <v>95875</v>
      </c>
      <c r="BM55">
        <v>96062</v>
      </c>
      <c r="BN55">
        <v>96232</v>
      </c>
      <c r="BO55">
        <v>96193</v>
      </c>
      <c r="BP55">
        <v>96321</v>
      </c>
      <c r="BQ55">
        <v>96505</v>
      </c>
      <c r="BR55">
        <v>96573</v>
      </c>
      <c r="BS55">
        <v>96684</v>
      </c>
      <c r="BT55">
        <v>96749</v>
      </c>
      <c r="BU55">
        <v>96925</v>
      </c>
      <c r="BV55">
        <v>97006</v>
      </c>
      <c r="BW55">
        <v>96984</v>
      </c>
      <c r="BX55">
        <v>97108</v>
      </c>
      <c r="BY55">
        <v>97201</v>
      </c>
      <c r="BZ55">
        <v>97204</v>
      </c>
      <c r="CA55">
        <v>97394</v>
      </c>
      <c r="CB55">
        <v>97436</v>
      </c>
      <c r="CC55">
        <v>97525</v>
      </c>
      <c r="CD55">
        <v>97599</v>
      </c>
      <c r="CE55">
        <v>97662</v>
      </c>
      <c r="CF55">
        <v>97697</v>
      </c>
      <c r="CG55">
        <v>97656</v>
      </c>
      <c r="CH55">
        <v>97765</v>
      </c>
      <c r="CI55">
        <v>97771</v>
      </c>
      <c r="CJ55">
        <v>97806</v>
      </c>
      <c r="CK55">
        <v>97988</v>
      </c>
      <c r="CL55">
        <v>98089</v>
      </c>
      <c r="CM55">
        <v>98015</v>
      </c>
      <c r="CN55">
        <v>98063</v>
      </c>
      <c r="CO55">
        <v>98162</v>
      </c>
      <c r="CP55">
        <v>98160</v>
      </c>
      <c r="CQ55">
        <v>98243</v>
      </c>
      <c r="CR55">
        <v>98275</v>
      </c>
      <c r="CS55">
        <v>98374</v>
      </c>
      <c r="CT55">
        <v>98307</v>
      </c>
      <c r="CU55">
        <v>98399</v>
      </c>
      <c r="CV55">
        <v>98429</v>
      </c>
      <c r="CW55">
        <v>98424</v>
      </c>
    </row>
    <row r="56" spans="1:101" x14ac:dyDescent="0.25">
      <c r="A56" t="s">
        <v>74</v>
      </c>
      <c r="B56">
        <v>69043</v>
      </c>
      <c r="C56">
        <v>70300</v>
      </c>
      <c r="D56">
        <v>72306</v>
      </c>
      <c r="E56">
        <v>71869</v>
      </c>
      <c r="F56">
        <v>72782</v>
      </c>
      <c r="G56">
        <v>74036</v>
      </c>
      <c r="H56">
        <v>74220</v>
      </c>
      <c r="I56">
        <v>75441</v>
      </c>
      <c r="J56">
        <v>76411</v>
      </c>
      <c r="K56">
        <v>77370</v>
      </c>
      <c r="L56">
        <v>77050</v>
      </c>
      <c r="M56">
        <v>76688</v>
      </c>
      <c r="N56">
        <v>79963</v>
      </c>
      <c r="O56">
        <v>79120</v>
      </c>
      <c r="P56">
        <v>79256</v>
      </c>
      <c r="Q56">
        <v>79897</v>
      </c>
      <c r="R56">
        <v>80098</v>
      </c>
      <c r="S56">
        <v>79848</v>
      </c>
      <c r="T56">
        <v>80986</v>
      </c>
      <c r="U56">
        <v>83585</v>
      </c>
      <c r="V56">
        <v>84244</v>
      </c>
      <c r="W56">
        <v>84030</v>
      </c>
      <c r="X56">
        <v>85677</v>
      </c>
      <c r="Y56">
        <v>86703</v>
      </c>
      <c r="Z56">
        <v>86975</v>
      </c>
      <c r="AA56">
        <v>87270</v>
      </c>
      <c r="AB56">
        <v>87758</v>
      </c>
      <c r="AC56">
        <v>88304</v>
      </c>
      <c r="AD56">
        <v>88717</v>
      </c>
      <c r="AE56">
        <v>89267</v>
      </c>
      <c r="AF56">
        <v>89578</v>
      </c>
      <c r="AG56">
        <v>90489</v>
      </c>
      <c r="AH56">
        <v>90818</v>
      </c>
      <c r="AI56">
        <v>90979</v>
      </c>
      <c r="AJ56">
        <v>91311</v>
      </c>
      <c r="AK56">
        <v>91582</v>
      </c>
      <c r="AL56">
        <v>91633</v>
      </c>
      <c r="AM56">
        <v>91921</v>
      </c>
      <c r="AN56">
        <v>91906</v>
      </c>
      <c r="AO56">
        <v>91710</v>
      </c>
      <c r="AP56">
        <v>91642</v>
      </c>
      <c r="AQ56">
        <v>91491</v>
      </c>
      <c r="AR56">
        <v>91601</v>
      </c>
      <c r="AS56">
        <v>91596</v>
      </c>
      <c r="AT56">
        <v>90633</v>
      </c>
      <c r="AU56">
        <v>90358</v>
      </c>
      <c r="AV56">
        <v>93295</v>
      </c>
      <c r="AW56">
        <v>93720</v>
      </c>
      <c r="AX56">
        <v>94126</v>
      </c>
      <c r="AY56">
        <v>94256</v>
      </c>
      <c r="AZ56">
        <v>94246</v>
      </c>
      <c r="BA56">
        <v>94287</v>
      </c>
      <c r="BB56">
        <v>94455</v>
      </c>
      <c r="BC56">
        <v>94588</v>
      </c>
      <c r="BD56">
        <v>94592</v>
      </c>
      <c r="BE56">
        <v>94760</v>
      </c>
      <c r="BF56">
        <v>94916</v>
      </c>
      <c r="BG56">
        <v>95155</v>
      </c>
      <c r="BH56">
        <v>95167</v>
      </c>
      <c r="BI56">
        <v>95406</v>
      </c>
      <c r="BJ56">
        <v>95485</v>
      </c>
      <c r="BK56">
        <v>95633</v>
      </c>
      <c r="BL56">
        <v>95717</v>
      </c>
      <c r="BM56">
        <v>95882</v>
      </c>
      <c r="BN56">
        <v>96067</v>
      </c>
      <c r="BO56">
        <v>96042</v>
      </c>
      <c r="BP56">
        <v>96191</v>
      </c>
      <c r="BQ56">
        <v>96346</v>
      </c>
      <c r="BR56">
        <v>96422</v>
      </c>
      <c r="BS56">
        <v>96538</v>
      </c>
      <c r="BT56">
        <v>96628</v>
      </c>
      <c r="BU56">
        <v>96804</v>
      </c>
      <c r="BV56">
        <v>96879</v>
      </c>
      <c r="BW56">
        <v>96862</v>
      </c>
      <c r="BX56">
        <v>96991</v>
      </c>
      <c r="BY56">
        <v>97086</v>
      </c>
      <c r="BZ56">
        <v>97092</v>
      </c>
      <c r="CA56">
        <v>97285</v>
      </c>
      <c r="CB56">
        <v>97330</v>
      </c>
      <c r="CC56">
        <v>97421</v>
      </c>
      <c r="CD56">
        <v>97497</v>
      </c>
      <c r="CE56">
        <v>97564</v>
      </c>
      <c r="CF56">
        <v>97600</v>
      </c>
      <c r="CG56">
        <v>97563</v>
      </c>
      <c r="CH56">
        <v>97673</v>
      </c>
      <c r="CI56">
        <v>97682</v>
      </c>
      <c r="CJ56">
        <v>97719</v>
      </c>
      <c r="CK56">
        <v>97902</v>
      </c>
      <c r="CL56">
        <v>98006</v>
      </c>
      <c r="CM56">
        <v>97934</v>
      </c>
      <c r="CN56">
        <v>97984</v>
      </c>
      <c r="CO56">
        <v>98085</v>
      </c>
      <c r="CP56">
        <v>98084</v>
      </c>
      <c r="CQ56">
        <v>98170</v>
      </c>
      <c r="CR56">
        <v>98203</v>
      </c>
      <c r="CS56">
        <v>98305</v>
      </c>
      <c r="CT56">
        <v>98239</v>
      </c>
      <c r="CU56">
        <v>98333</v>
      </c>
      <c r="CV56">
        <v>98365</v>
      </c>
      <c r="CW56">
        <v>98361</v>
      </c>
    </row>
    <row r="57" spans="1:101" x14ac:dyDescent="0.25">
      <c r="A57" t="s">
        <v>73</v>
      </c>
      <c r="B57">
        <v>68736</v>
      </c>
      <c r="C57">
        <v>70042</v>
      </c>
      <c r="D57">
        <v>72024</v>
      </c>
      <c r="E57">
        <v>71572</v>
      </c>
      <c r="F57">
        <v>72512</v>
      </c>
      <c r="G57">
        <v>73772</v>
      </c>
      <c r="H57">
        <v>73969</v>
      </c>
      <c r="I57">
        <v>75170</v>
      </c>
      <c r="J57">
        <v>76160</v>
      </c>
      <c r="K57">
        <v>77125</v>
      </c>
      <c r="L57">
        <v>76800</v>
      </c>
      <c r="M57">
        <v>76478</v>
      </c>
      <c r="N57">
        <v>79684</v>
      </c>
      <c r="O57">
        <v>78879</v>
      </c>
      <c r="P57">
        <v>79008</v>
      </c>
      <c r="Q57">
        <v>79642</v>
      </c>
      <c r="R57">
        <v>79860</v>
      </c>
      <c r="S57">
        <v>79630</v>
      </c>
      <c r="T57">
        <v>80754</v>
      </c>
      <c r="U57">
        <v>83345</v>
      </c>
      <c r="V57">
        <v>83983</v>
      </c>
      <c r="W57">
        <v>83790</v>
      </c>
      <c r="X57">
        <v>85396</v>
      </c>
      <c r="Y57">
        <v>86448</v>
      </c>
      <c r="Z57">
        <v>86705</v>
      </c>
      <c r="AA57">
        <v>86988</v>
      </c>
      <c r="AB57">
        <v>87497</v>
      </c>
      <c r="AC57">
        <v>88040</v>
      </c>
      <c r="AD57">
        <v>88477</v>
      </c>
      <c r="AE57">
        <v>88959</v>
      </c>
      <c r="AF57">
        <v>89310</v>
      </c>
      <c r="AG57">
        <v>90249</v>
      </c>
      <c r="AH57">
        <v>90567</v>
      </c>
      <c r="AI57">
        <v>90743</v>
      </c>
      <c r="AJ57">
        <v>91065</v>
      </c>
      <c r="AK57">
        <v>91364</v>
      </c>
      <c r="AL57">
        <v>91391</v>
      </c>
      <c r="AM57">
        <v>91700</v>
      </c>
      <c r="AN57">
        <v>91704</v>
      </c>
      <c r="AO57">
        <v>91470</v>
      </c>
      <c r="AP57">
        <v>91430</v>
      </c>
      <c r="AQ57">
        <v>91259</v>
      </c>
      <c r="AR57">
        <v>91370</v>
      </c>
      <c r="AS57">
        <v>91338</v>
      </c>
      <c r="AT57">
        <v>90407</v>
      </c>
      <c r="AU57">
        <v>90145</v>
      </c>
      <c r="AV57">
        <v>93073</v>
      </c>
      <c r="AW57">
        <v>93500</v>
      </c>
      <c r="AX57">
        <v>93909</v>
      </c>
      <c r="AY57">
        <v>94023</v>
      </c>
      <c r="AZ57">
        <v>94009</v>
      </c>
      <c r="BA57">
        <v>94056</v>
      </c>
      <c r="BB57">
        <v>94241</v>
      </c>
      <c r="BC57">
        <v>94362</v>
      </c>
      <c r="BD57">
        <v>94335</v>
      </c>
      <c r="BE57">
        <v>94504</v>
      </c>
      <c r="BF57">
        <v>94689</v>
      </c>
      <c r="BG57">
        <v>94950</v>
      </c>
      <c r="BH57">
        <v>94966</v>
      </c>
      <c r="BI57">
        <v>95203</v>
      </c>
      <c r="BJ57">
        <v>95310</v>
      </c>
      <c r="BK57">
        <v>95456</v>
      </c>
      <c r="BL57">
        <v>95533</v>
      </c>
      <c r="BM57">
        <v>95694</v>
      </c>
      <c r="BN57">
        <v>95888</v>
      </c>
      <c r="BO57">
        <v>95867</v>
      </c>
      <c r="BP57">
        <v>96051</v>
      </c>
      <c r="BQ57">
        <v>96201</v>
      </c>
      <c r="BR57">
        <v>96260</v>
      </c>
      <c r="BS57">
        <v>96403</v>
      </c>
      <c r="BT57">
        <v>96498</v>
      </c>
      <c r="BU57">
        <v>96663</v>
      </c>
      <c r="BV57">
        <v>96744</v>
      </c>
      <c r="BW57">
        <v>96732</v>
      </c>
      <c r="BX57">
        <v>96864</v>
      </c>
      <c r="BY57">
        <v>96962</v>
      </c>
      <c r="BZ57">
        <v>96970</v>
      </c>
      <c r="CA57">
        <v>97166</v>
      </c>
      <c r="CB57">
        <v>97215</v>
      </c>
      <c r="CC57">
        <v>97309</v>
      </c>
      <c r="CD57">
        <v>97387</v>
      </c>
      <c r="CE57">
        <v>97456</v>
      </c>
      <c r="CF57">
        <v>97496</v>
      </c>
      <c r="CG57">
        <v>97461</v>
      </c>
      <c r="CH57">
        <v>97574</v>
      </c>
      <c r="CI57">
        <v>97585</v>
      </c>
      <c r="CJ57">
        <v>97624</v>
      </c>
      <c r="CK57">
        <v>97810</v>
      </c>
      <c r="CL57">
        <v>97915</v>
      </c>
      <c r="CM57">
        <v>97846</v>
      </c>
      <c r="CN57">
        <v>97898</v>
      </c>
      <c r="CO57">
        <v>98002</v>
      </c>
      <c r="CP57">
        <v>98003</v>
      </c>
      <c r="CQ57">
        <v>98090</v>
      </c>
      <c r="CR57">
        <v>98126</v>
      </c>
      <c r="CS57">
        <v>98229</v>
      </c>
      <c r="CT57">
        <v>98166</v>
      </c>
      <c r="CU57">
        <v>98261</v>
      </c>
      <c r="CV57">
        <v>98295</v>
      </c>
      <c r="CW57">
        <v>98292</v>
      </c>
    </row>
    <row r="58" spans="1:101" x14ac:dyDescent="0.25">
      <c r="A58" t="s">
        <v>72</v>
      </c>
      <c r="B58">
        <v>68431</v>
      </c>
      <c r="C58">
        <v>69768</v>
      </c>
      <c r="D58">
        <v>71692</v>
      </c>
      <c r="E58">
        <v>71252</v>
      </c>
      <c r="F58">
        <v>72237</v>
      </c>
      <c r="G58">
        <v>73512</v>
      </c>
      <c r="H58">
        <v>73688</v>
      </c>
      <c r="I58">
        <v>74893</v>
      </c>
      <c r="J58">
        <v>75893</v>
      </c>
      <c r="K58">
        <v>76882</v>
      </c>
      <c r="L58">
        <v>76549</v>
      </c>
      <c r="M58">
        <v>76230</v>
      </c>
      <c r="N58">
        <v>79417</v>
      </c>
      <c r="O58">
        <v>78586</v>
      </c>
      <c r="P58">
        <v>78752</v>
      </c>
      <c r="Q58">
        <v>79391</v>
      </c>
      <c r="R58">
        <v>79603</v>
      </c>
      <c r="S58">
        <v>79385</v>
      </c>
      <c r="T58">
        <v>80448</v>
      </c>
      <c r="U58">
        <v>83085</v>
      </c>
      <c r="V58">
        <v>83702</v>
      </c>
      <c r="W58">
        <v>83493</v>
      </c>
      <c r="X58">
        <v>85133</v>
      </c>
      <c r="Y58">
        <v>86161</v>
      </c>
      <c r="Z58">
        <v>86410</v>
      </c>
      <c r="AA58">
        <v>86704</v>
      </c>
      <c r="AB58">
        <v>87207</v>
      </c>
      <c r="AC58">
        <v>87767</v>
      </c>
      <c r="AD58">
        <v>88209</v>
      </c>
      <c r="AE58">
        <v>88710</v>
      </c>
      <c r="AF58">
        <v>89052</v>
      </c>
      <c r="AG58">
        <v>90000</v>
      </c>
      <c r="AH58">
        <v>90315</v>
      </c>
      <c r="AI58">
        <v>90505</v>
      </c>
      <c r="AJ58">
        <v>90815</v>
      </c>
      <c r="AK58">
        <v>91111</v>
      </c>
      <c r="AL58">
        <v>91168</v>
      </c>
      <c r="AM58">
        <v>91479</v>
      </c>
      <c r="AN58">
        <v>91451</v>
      </c>
      <c r="AO58">
        <v>91227</v>
      </c>
      <c r="AP58">
        <v>91230</v>
      </c>
      <c r="AQ58">
        <v>91007</v>
      </c>
      <c r="AR58">
        <v>91135</v>
      </c>
      <c r="AS58">
        <v>91097</v>
      </c>
      <c r="AT58">
        <v>90172</v>
      </c>
      <c r="AU58">
        <v>89910</v>
      </c>
      <c r="AV58">
        <v>92808</v>
      </c>
      <c r="AW58">
        <v>93266</v>
      </c>
      <c r="AX58">
        <v>93649</v>
      </c>
      <c r="AY58">
        <v>93759</v>
      </c>
      <c r="AZ58">
        <v>93763</v>
      </c>
      <c r="BA58">
        <v>93794</v>
      </c>
      <c r="BB58">
        <v>93964</v>
      </c>
      <c r="BC58">
        <v>94094</v>
      </c>
      <c r="BD58">
        <v>94103</v>
      </c>
      <c r="BE58">
        <v>94257</v>
      </c>
      <c r="BF58">
        <v>94445</v>
      </c>
      <c r="BG58">
        <v>94734</v>
      </c>
      <c r="BH58">
        <v>94737</v>
      </c>
      <c r="BI58">
        <v>94963</v>
      </c>
      <c r="BJ58">
        <v>95134</v>
      </c>
      <c r="BK58">
        <v>95242</v>
      </c>
      <c r="BL58">
        <v>95336</v>
      </c>
      <c r="BM58">
        <v>95494</v>
      </c>
      <c r="BN58">
        <v>95709</v>
      </c>
      <c r="BO58">
        <v>95676</v>
      </c>
      <c r="BP58">
        <v>95865</v>
      </c>
      <c r="BQ58">
        <v>96030</v>
      </c>
      <c r="BR58">
        <v>96098</v>
      </c>
      <c r="BS58">
        <v>96253</v>
      </c>
      <c r="BT58">
        <v>96342</v>
      </c>
      <c r="BU58">
        <v>96512</v>
      </c>
      <c r="BV58">
        <v>96598</v>
      </c>
      <c r="BW58">
        <v>96589</v>
      </c>
      <c r="BX58">
        <v>96725</v>
      </c>
      <c r="BY58">
        <v>96826</v>
      </c>
      <c r="BZ58">
        <v>96839</v>
      </c>
      <c r="CA58">
        <v>97037</v>
      </c>
      <c r="CB58">
        <v>97090</v>
      </c>
      <c r="CC58">
        <v>97187</v>
      </c>
      <c r="CD58">
        <v>97267</v>
      </c>
      <c r="CE58">
        <v>97339</v>
      </c>
      <c r="CF58">
        <v>97381</v>
      </c>
      <c r="CG58">
        <v>97350</v>
      </c>
      <c r="CH58">
        <v>97465</v>
      </c>
      <c r="CI58">
        <v>97480</v>
      </c>
      <c r="CJ58">
        <v>97521</v>
      </c>
      <c r="CK58">
        <v>97710</v>
      </c>
      <c r="CL58">
        <v>97817</v>
      </c>
      <c r="CM58">
        <v>97750</v>
      </c>
      <c r="CN58">
        <v>97804</v>
      </c>
      <c r="CO58">
        <v>97911</v>
      </c>
      <c r="CP58">
        <v>97913</v>
      </c>
      <c r="CQ58">
        <v>98003</v>
      </c>
      <c r="CR58">
        <v>98040</v>
      </c>
      <c r="CS58">
        <v>98146</v>
      </c>
      <c r="CT58">
        <v>98085</v>
      </c>
      <c r="CU58">
        <v>98183</v>
      </c>
      <c r="CV58">
        <v>98218</v>
      </c>
      <c r="CW58">
        <v>98218</v>
      </c>
    </row>
    <row r="59" spans="1:101" x14ac:dyDescent="0.25">
      <c r="A59" t="s">
        <v>71</v>
      </c>
      <c r="B59">
        <v>68130</v>
      </c>
      <c r="C59">
        <v>69479</v>
      </c>
      <c r="D59">
        <v>71343</v>
      </c>
      <c r="E59">
        <v>70932</v>
      </c>
      <c r="F59">
        <v>71955</v>
      </c>
      <c r="G59">
        <v>73212</v>
      </c>
      <c r="H59">
        <v>73395</v>
      </c>
      <c r="I59">
        <v>74595</v>
      </c>
      <c r="J59">
        <v>75622</v>
      </c>
      <c r="K59">
        <v>76614</v>
      </c>
      <c r="L59">
        <v>76290</v>
      </c>
      <c r="M59">
        <v>75964</v>
      </c>
      <c r="N59">
        <v>79101</v>
      </c>
      <c r="O59">
        <v>78297</v>
      </c>
      <c r="P59">
        <v>78494</v>
      </c>
      <c r="Q59">
        <v>79087</v>
      </c>
      <c r="R59">
        <v>79306</v>
      </c>
      <c r="S59">
        <v>79094</v>
      </c>
      <c r="T59">
        <v>80151</v>
      </c>
      <c r="U59">
        <v>82796</v>
      </c>
      <c r="V59">
        <v>83389</v>
      </c>
      <c r="W59">
        <v>83174</v>
      </c>
      <c r="X59">
        <v>84865</v>
      </c>
      <c r="Y59">
        <v>85869</v>
      </c>
      <c r="Z59">
        <v>86145</v>
      </c>
      <c r="AA59">
        <v>86406</v>
      </c>
      <c r="AB59">
        <v>86907</v>
      </c>
      <c r="AC59">
        <v>87495</v>
      </c>
      <c r="AD59">
        <v>87903</v>
      </c>
      <c r="AE59">
        <v>88399</v>
      </c>
      <c r="AF59">
        <v>88770</v>
      </c>
      <c r="AG59">
        <v>89724</v>
      </c>
      <c r="AH59">
        <v>90022</v>
      </c>
      <c r="AI59">
        <v>90238</v>
      </c>
      <c r="AJ59">
        <v>90550</v>
      </c>
      <c r="AK59">
        <v>90846</v>
      </c>
      <c r="AL59">
        <v>90900</v>
      </c>
      <c r="AM59">
        <v>91262</v>
      </c>
      <c r="AN59">
        <v>91182</v>
      </c>
      <c r="AO59">
        <v>90981</v>
      </c>
      <c r="AP59">
        <v>90999</v>
      </c>
      <c r="AQ59">
        <v>90742</v>
      </c>
      <c r="AR59">
        <v>90899</v>
      </c>
      <c r="AS59">
        <v>90841</v>
      </c>
      <c r="AT59">
        <v>89892</v>
      </c>
      <c r="AU59">
        <v>89661</v>
      </c>
      <c r="AV59">
        <v>92542</v>
      </c>
      <c r="AW59">
        <v>93017</v>
      </c>
      <c r="AX59">
        <v>93376</v>
      </c>
      <c r="AY59">
        <v>93511</v>
      </c>
      <c r="AZ59">
        <v>93505</v>
      </c>
      <c r="BA59">
        <v>93523</v>
      </c>
      <c r="BB59">
        <v>93681</v>
      </c>
      <c r="BC59">
        <v>93813</v>
      </c>
      <c r="BD59">
        <v>93836</v>
      </c>
      <c r="BE59">
        <v>94003</v>
      </c>
      <c r="BF59">
        <v>94199</v>
      </c>
      <c r="BG59">
        <v>94475</v>
      </c>
      <c r="BH59">
        <v>94479</v>
      </c>
      <c r="BI59">
        <v>94699</v>
      </c>
      <c r="BJ59">
        <v>94907</v>
      </c>
      <c r="BK59">
        <v>95013</v>
      </c>
      <c r="BL59">
        <v>95137</v>
      </c>
      <c r="BM59">
        <v>95277</v>
      </c>
      <c r="BN59">
        <v>95500</v>
      </c>
      <c r="BO59">
        <v>95463</v>
      </c>
      <c r="BP59">
        <v>95679</v>
      </c>
      <c r="BQ59">
        <v>95847</v>
      </c>
      <c r="BR59">
        <v>95927</v>
      </c>
      <c r="BS59">
        <v>96077</v>
      </c>
      <c r="BT59">
        <v>96173</v>
      </c>
      <c r="BU59">
        <v>96348</v>
      </c>
      <c r="BV59">
        <v>96439</v>
      </c>
      <c r="BW59">
        <v>96434</v>
      </c>
      <c r="BX59">
        <v>96573</v>
      </c>
      <c r="BY59">
        <v>96678</v>
      </c>
      <c r="BZ59">
        <v>96694</v>
      </c>
      <c r="CA59">
        <v>96895</v>
      </c>
      <c r="CB59">
        <v>96952</v>
      </c>
      <c r="CC59">
        <v>97052</v>
      </c>
      <c r="CD59">
        <v>97136</v>
      </c>
      <c r="CE59">
        <v>97211</v>
      </c>
      <c r="CF59">
        <v>97256</v>
      </c>
      <c r="CG59">
        <v>97228</v>
      </c>
      <c r="CH59">
        <v>97346</v>
      </c>
      <c r="CI59">
        <v>97364</v>
      </c>
      <c r="CJ59">
        <v>97408</v>
      </c>
      <c r="CK59">
        <v>97598</v>
      </c>
      <c r="CL59">
        <v>97708</v>
      </c>
      <c r="CM59">
        <v>97644</v>
      </c>
      <c r="CN59">
        <v>97701</v>
      </c>
      <c r="CO59">
        <v>97810</v>
      </c>
      <c r="CP59">
        <v>97816</v>
      </c>
      <c r="CQ59">
        <v>97907</v>
      </c>
      <c r="CR59">
        <v>97947</v>
      </c>
      <c r="CS59">
        <v>98055</v>
      </c>
      <c r="CT59">
        <v>97996</v>
      </c>
      <c r="CU59">
        <v>98096</v>
      </c>
      <c r="CV59">
        <v>98134</v>
      </c>
      <c r="CW59">
        <v>98135</v>
      </c>
    </row>
    <row r="60" spans="1:101" x14ac:dyDescent="0.25">
      <c r="A60" t="s">
        <v>70</v>
      </c>
      <c r="B60">
        <v>67798</v>
      </c>
      <c r="C60">
        <v>69126</v>
      </c>
      <c r="D60">
        <v>71014</v>
      </c>
      <c r="E60">
        <v>70630</v>
      </c>
      <c r="F60">
        <v>71662</v>
      </c>
      <c r="G60">
        <v>72868</v>
      </c>
      <c r="H60">
        <v>73075</v>
      </c>
      <c r="I60">
        <v>74269</v>
      </c>
      <c r="J60">
        <v>75329</v>
      </c>
      <c r="K60">
        <v>76305</v>
      </c>
      <c r="L60">
        <v>75991</v>
      </c>
      <c r="M60">
        <v>75677</v>
      </c>
      <c r="N60">
        <v>78806</v>
      </c>
      <c r="O60">
        <v>77980</v>
      </c>
      <c r="P60">
        <v>78162</v>
      </c>
      <c r="Q60">
        <v>78789</v>
      </c>
      <c r="R60">
        <v>78984</v>
      </c>
      <c r="S60">
        <v>78770</v>
      </c>
      <c r="T60">
        <v>79839</v>
      </c>
      <c r="U60">
        <v>82413</v>
      </c>
      <c r="V60">
        <v>83040</v>
      </c>
      <c r="W60">
        <v>82838</v>
      </c>
      <c r="X60">
        <v>84527</v>
      </c>
      <c r="Y60">
        <v>85530</v>
      </c>
      <c r="Z60">
        <v>85836</v>
      </c>
      <c r="AA60">
        <v>86065</v>
      </c>
      <c r="AB60">
        <v>86610</v>
      </c>
      <c r="AC60">
        <v>87186</v>
      </c>
      <c r="AD60">
        <v>87622</v>
      </c>
      <c r="AE60">
        <v>88058</v>
      </c>
      <c r="AF60">
        <v>88479</v>
      </c>
      <c r="AG60">
        <v>89412</v>
      </c>
      <c r="AH60">
        <v>89732</v>
      </c>
      <c r="AI60">
        <v>89926</v>
      </c>
      <c r="AJ60">
        <v>90252</v>
      </c>
      <c r="AK60">
        <v>90551</v>
      </c>
      <c r="AL60">
        <v>90611</v>
      </c>
      <c r="AM60">
        <v>90943</v>
      </c>
      <c r="AN60">
        <v>90900</v>
      </c>
      <c r="AO60">
        <v>90661</v>
      </c>
      <c r="AP60">
        <v>90729</v>
      </c>
      <c r="AQ60">
        <v>90449</v>
      </c>
      <c r="AR60">
        <v>90604</v>
      </c>
      <c r="AS60">
        <v>90572</v>
      </c>
      <c r="AT60">
        <v>89583</v>
      </c>
      <c r="AU60">
        <v>89366</v>
      </c>
      <c r="AV60">
        <v>92237</v>
      </c>
      <c r="AW60">
        <v>92718</v>
      </c>
      <c r="AX60">
        <v>93065</v>
      </c>
      <c r="AY60">
        <v>93199</v>
      </c>
      <c r="AZ60">
        <v>93223</v>
      </c>
      <c r="BA60">
        <v>93230</v>
      </c>
      <c r="BB60">
        <v>93383</v>
      </c>
      <c r="BC60">
        <v>93526</v>
      </c>
      <c r="BD60">
        <v>93550</v>
      </c>
      <c r="BE60">
        <v>93721</v>
      </c>
      <c r="BF60">
        <v>93915</v>
      </c>
      <c r="BG60">
        <v>94216</v>
      </c>
      <c r="BH60">
        <v>94233</v>
      </c>
      <c r="BI60">
        <v>94445</v>
      </c>
      <c r="BJ60">
        <v>94684</v>
      </c>
      <c r="BK60">
        <v>94785</v>
      </c>
      <c r="BL60">
        <v>94921</v>
      </c>
      <c r="BM60">
        <v>95064</v>
      </c>
      <c r="BN60">
        <v>95268</v>
      </c>
      <c r="BO60">
        <v>95278</v>
      </c>
      <c r="BP60">
        <v>95467</v>
      </c>
      <c r="BQ60">
        <v>95630</v>
      </c>
      <c r="BR60">
        <v>95730</v>
      </c>
      <c r="BS60">
        <v>95887</v>
      </c>
      <c r="BT60">
        <v>95989</v>
      </c>
      <c r="BU60">
        <v>96169</v>
      </c>
      <c r="BV60">
        <v>96264</v>
      </c>
      <c r="BW60">
        <v>96263</v>
      </c>
      <c r="BX60">
        <v>96407</v>
      </c>
      <c r="BY60">
        <v>96516</v>
      </c>
      <c r="BZ60">
        <v>96536</v>
      </c>
      <c r="CA60">
        <v>96740</v>
      </c>
      <c r="CB60">
        <v>96801</v>
      </c>
      <c r="CC60">
        <v>96905</v>
      </c>
      <c r="CD60">
        <v>96991</v>
      </c>
      <c r="CE60">
        <v>97070</v>
      </c>
      <c r="CF60">
        <v>97119</v>
      </c>
      <c r="CG60">
        <v>97094</v>
      </c>
      <c r="CH60">
        <v>97216</v>
      </c>
      <c r="CI60">
        <v>97236</v>
      </c>
      <c r="CJ60">
        <v>97283</v>
      </c>
      <c r="CK60">
        <v>97476</v>
      </c>
      <c r="CL60">
        <v>97589</v>
      </c>
      <c r="CM60">
        <v>97528</v>
      </c>
      <c r="CN60">
        <v>97588</v>
      </c>
      <c r="CO60">
        <v>97699</v>
      </c>
      <c r="CP60">
        <v>97708</v>
      </c>
      <c r="CQ60">
        <v>97801</v>
      </c>
      <c r="CR60">
        <v>97844</v>
      </c>
      <c r="CS60">
        <v>97954</v>
      </c>
      <c r="CT60">
        <v>97898</v>
      </c>
      <c r="CU60">
        <v>98001</v>
      </c>
      <c r="CV60">
        <v>98040</v>
      </c>
      <c r="CW60">
        <v>98044</v>
      </c>
    </row>
    <row r="61" spans="1:101" x14ac:dyDescent="0.25">
      <c r="A61" t="s">
        <v>69</v>
      </c>
      <c r="B61">
        <v>67447</v>
      </c>
      <c r="C61">
        <v>68738</v>
      </c>
      <c r="D61">
        <v>70685</v>
      </c>
      <c r="E61">
        <v>70318</v>
      </c>
      <c r="F61">
        <v>71372</v>
      </c>
      <c r="G61">
        <v>72565</v>
      </c>
      <c r="H61">
        <v>72771</v>
      </c>
      <c r="I61">
        <v>73936</v>
      </c>
      <c r="J61">
        <v>75002</v>
      </c>
      <c r="K61">
        <v>76021</v>
      </c>
      <c r="L61">
        <v>75676</v>
      </c>
      <c r="M61">
        <v>75362</v>
      </c>
      <c r="N61">
        <v>78465</v>
      </c>
      <c r="O61">
        <v>77618</v>
      </c>
      <c r="P61">
        <v>77834</v>
      </c>
      <c r="Q61">
        <v>78452</v>
      </c>
      <c r="R61">
        <v>78645</v>
      </c>
      <c r="S61">
        <v>78416</v>
      </c>
      <c r="T61">
        <v>79499</v>
      </c>
      <c r="U61">
        <v>82048</v>
      </c>
      <c r="V61">
        <v>82673</v>
      </c>
      <c r="W61">
        <v>82518</v>
      </c>
      <c r="X61">
        <v>84190</v>
      </c>
      <c r="Y61">
        <v>85199</v>
      </c>
      <c r="Z61">
        <v>85506</v>
      </c>
      <c r="AA61">
        <v>85706</v>
      </c>
      <c r="AB61">
        <v>86272</v>
      </c>
      <c r="AC61">
        <v>86844</v>
      </c>
      <c r="AD61">
        <v>87262</v>
      </c>
      <c r="AE61">
        <v>87744</v>
      </c>
      <c r="AF61">
        <v>88156</v>
      </c>
      <c r="AG61">
        <v>89095</v>
      </c>
      <c r="AH61">
        <v>89369</v>
      </c>
      <c r="AI61">
        <v>89612</v>
      </c>
      <c r="AJ61">
        <v>89950</v>
      </c>
      <c r="AK61">
        <v>90267</v>
      </c>
      <c r="AL61">
        <v>90290</v>
      </c>
      <c r="AM61">
        <v>90653</v>
      </c>
      <c r="AN61">
        <v>90617</v>
      </c>
      <c r="AO61">
        <v>90357</v>
      </c>
      <c r="AP61">
        <v>90425</v>
      </c>
      <c r="AQ61">
        <v>90169</v>
      </c>
      <c r="AR61">
        <v>90301</v>
      </c>
      <c r="AS61">
        <v>90253</v>
      </c>
      <c r="AT61">
        <v>89291</v>
      </c>
      <c r="AU61">
        <v>89025</v>
      </c>
      <c r="AV61">
        <v>91910</v>
      </c>
      <c r="AW61">
        <v>92405</v>
      </c>
      <c r="AX61">
        <v>92752</v>
      </c>
      <c r="AY61">
        <v>92870</v>
      </c>
      <c r="AZ61">
        <v>92889</v>
      </c>
      <c r="BA61">
        <v>92924</v>
      </c>
      <c r="BB61">
        <v>93094</v>
      </c>
      <c r="BC61">
        <v>93211</v>
      </c>
      <c r="BD61">
        <v>93271</v>
      </c>
      <c r="BE61">
        <v>93448</v>
      </c>
      <c r="BF61">
        <v>93628</v>
      </c>
      <c r="BG61">
        <v>93923</v>
      </c>
      <c r="BH61">
        <v>93938</v>
      </c>
      <c r="BI61">
        <v>94150</v>
      </c>
      <c r="BJ61">
        <v>94422</v>
      </c>
      <c r="BK61">
        <v>94526</v>
      </c>
      <c r="BL61">
        <v>94677</v>
      </c>
      <c r="BM61">
        <v>94797</v>
      </c>
      <c r="BN61">
        <v>95035</v>
      </c>
      <c r="BO61">
        <v>95062</v>
      </c>
      <c r="BP61">
        <v>95242</v>
      </c>
      <c r="BQ61">
        <v>95411</v>
      </c>
      <c r="BR61">
        <v>95519</v>
      </c>
      <c r="BS61">
        <v>95683</v>
      </c>
      <c r="BT61">
        <v>95790</v>
      </c>
      <c r="BU61">
        <v>95974</v>
      </c>
      <c r="BV61">
        <v>96075</v>
      </c>
      <c r="BW61">
        <v>96077</v>
      </c>
      <c r="BX61">
        <v>96226</v>
      </c>
      <c r="BY61">
        <v>96339</v>
      </c>
      <c r="BZ61">
        <v>96363</v>
      </c>
      <c r="CA61">
        <v>96572</v>
      </c>
      <c r="CB61">
        <v>96636</v>
      </c>
      <c r="CC61">
        <v>96744</v>
      </c>
      <c r="CD61">
        <v>96834</v>
      </c>
      <c r="CE61">
        <v>96917</v>
      </c>
      <c r="CF61">
        <v>96969</v>
      </c>
      <c r="CG61">
        <v>96949</v>
      </c>
      <c r="CH61">
        <v>97073</v>
      </c>
      <c r="CI61">
        <v>97097</v>
      </c>
      <c r="CJ61">
        <v>97147</v>
      </c>
      <c r="CK61">
        <v>97344</v>
      </c>
      <c r="CL61">
        <v>97459</v>
      </c>
      <c r="CM61">
        <v>97402</v>
      </c>
      <c r="CN61">
        <v>97465</v>
      </c>
      <c r="CO61">
        <v>97579</v>
      </c>
      <c r="CP61">
        <v>97591</v>
      </c>
      <c r="CQ61">
        <v>97687</v>
      </c>
      <c r="CR61">
        <v>97733</v>
      </c>
      <c r="CS61">
        <v>97844</v>
      </c>
      <c r="CT61">
        <v>97791</v>
      </c>
      <c r="CU61">
        <v>97897</v>
      </c>
      <c r="CV61">
        <v>97938</v>
      </c>
      <c r="CW61">
        <v>97945</v>
      </c>
    </row>
    <row r="62" spans="1:101" x14ac:dyDescent="0.25">
      <c r="A62" t="s">
        <v>68</v>
      </c>
      <c r="B62">
        <v>67076</v>
      </c>
      <c r="C62">
        <v>68346</v>
      </c>
      <c r="D62">
        <v>70371</v>
      </c>
      <c r="E62">
        <v>69968</v>
      </c>
      <c r="F62">
        <v>71028</v>
      </c>
      <c r="G62">
        <v>72211</v>
      </c>
      <c r="H62">
        <v>72405</v>
      </c>
      <c r="I62">
        <v>73540</v>
      </c>
      <c r="J62">
        <v>74667</v>
      </c>
      <c r="K62">
        <v>75684</v>
      </c>
      <c r="L62">
        <v>75307</v>
      </c>
      <c r="M62">
        <v>75013</v>
      </c>
      <c r="N62">
        <v>78153</v>
      </c>
      <c r="O62">
        <v>77246</v>
      </c>
      <c r="P62">
        <v>77505</v>
      </c>
      <c r="Q62">
        <v>78048</v>
      </c>
      <c r="R62">
        <v>78233</v>
      </c>
      <c r="S62">
        <v>78066</v>
      </c>
      <c r="T62">
        <v>79168</v>
      </c>
      <c r="U62">
        <v>81662</v>
      </c>
      <c r="V62">
        <v>82321</v>
      </c>
      <c r="W62">
        <v>82141</v>
      </c>
      <c r="X62">
        <v>83852</v>
      </c>
      <c r="Y62">
        <v>84866</v>
      </c>
      <c r="Z62">
        <v>85144</v>
      </c>
      <c r="AA62">
        <v>85360</v>
      </c>
      <c r="AB62">
        <v>85956</v>
      </c>
      <c r="AC62">
        <v>86490</v>
      </c>
      <c r="AD62">
        <v>86922</v>
      </c>
      <c r="AE62">
        <v>87401</v>
      </c>
      <c r="AF62">
        <v>87821</v>
      </c>
      <c r="AG62">
        <v>88742</v>
      </c>
      <c r="AH62">
        <v>88978</v>
      </c>
      <c r="AI62">
        <v>89266</v>
      </c>
      <c r="AJ62">
        <v>89653</v>
      </c>
      <c r="AK62">
        <v>89921</v>
      </c>
      <c r="AL62">
        <v>89955</v>
      </c>
      <c r="AM62">
        <v>90334</v>
      </c>
      <c r="AN62">
        <v>90264</v>
      </c>
      <c r="AO62">
        <v>90028</v>
      </c>
      <c r="AP62">
        <v>90067</v>
      </c>
      <c r="AQ62">
        <v>89858</v>
      </c>
      <c r="AR62">
        <v>89991</v>
      </c>
      <c r="AS62">
        <v>89920</v>
      </c>
      <c r="AT62">
        <v>88972</v>
      </c>
      <c r="AU62">
        <v>88702</v>
      </c>
      <c r="AV62">
        <v>91605</v>
      </c>
      <c r="AW62">
        <v>92060</v>
      </c>
      <c r="AX62">
        <v>92390</v>
      </c>
      <c r="AY62">
        <v>92527</v>
      </c>
      <c r="AZ62">
        <v>92526</v>
      </c>
      <c r="BA62">
        <v>92612</v>
      </c>
      <c r="BB62">
        <v>92791</v>
      </c>
      <c r="BC62">
        <v>92905</v>
      </c>
      <c r="BD62">
        <v>92941</v>
      </c>
      <c r="BE62">
        <v>93144</v>
      </c>
      <c r="BF62">
        <v>93308</v>
      </c>
      <c r="BG62">
        <v>93629</v>
      </c>
      <c r="BH62">
        <v>93654</v>
      </c>
      <c r="BI62">
        <v>93859</v>
      </c>
      <c r="BJ62">
        <v>94161</v>
      </c>
      <c r="BK62">
        <v>94262</v>
      </c>
      <c r="BL62">
        <v>94399</v>
      </c>
      <c r="BM62">
        <v>94534</v>
      </c>
      <c r="BN62">
        <v>94794</v>
      </c>
      <c r="BO62">
        <v>94829</v>
      </c>
      <c r="BP62">
        <v>94999</v>
      </c>
      <c r="BQ62">
        <v>95177</v>
      </c>
      <c r="BR62">
        <v>95293</v>
      </c>
      <c r="BS62">
        <v>95462</v>
      </c>
      <c r="BT62">
        <v>95574</v>
      </c>
      <c r="BU62">
        <v>95763</v>
      </c>
      <c r="BV62">
        <v>95869</v>
      </c>
      <c r="BW62">
        <v>95877</v>
      </c>
      <c r="BX62">
        <v>96031</v>
      </c>
      <c r="BY62">
        <v>96148</v>
      </c>
      <c r="BZ62">
        <v>96177</v>
      </c>
      <c r="CA62">
        <v>96389</v>
      </c>
      <c r="CB62">
        <v>96459</v>
      </c>
      <c r="CC62">
        <v>96571</v>
      </c>
      <c r="CD62">
        <v>96665</v>
      </c>
      <c r="CE62">
        <v>96751</v>
      </c>
      <c r="CF62">
        <v>96808</v>
      </c>
      <c r="CG62">
        <v>96791</v>
      </c>
      <c r="CH62">
        <v>96920</v>
      </c>
      <c r="CI62">
        <v>96948</v>
      </c>
      <c r="CJ62">
        <v>97000</v>
      </c>
      <c r="CK62">
        <v>97201</v>
      </c>
      <c r="CL62">
        <v>97320</v>
      </c>
      <c r="CM62">
        <v>97266</v>
      </c>
      <c r="CN62">
        <v>97332</v>
      </c>
      <c r="CO62">
        <v>97449</v>
      </c>
      <c r="CP62">
        <v>97464</v>
      </c>
      <c r="CQ62">
        <v>97563</v>
      </c>
      <c r="CR62">
        <v>97612</v>
      </c>
      <c r="CS62">
        <v>97727</v>
      </c>
      <c r="CT62">
        <v>97677</v>
      </c>
      <c r="CU62">
        <v>97786</v>
      </c>
      <c r="CV62">
        <v>97830</v>
      </c>
      <c r="CW62">
        <v>97838</v>
      </c>
    </row>
    <row r="63" spans="1:101" x14ac:dyDescent="0.25">
      <c r="A63" t="s">
        <v>67</v>
      </c>
      <c r="B63">
        <v>66698</v>
      </c>
      <c r="C63">
        <v>67968</v>
      </c>
      <c r="D63">
        <v>70028</v>
      </c>
      <c r="E63">
        <v>69610</v>
      </c>
      <c r="F63">
        <v>70655</v>
      </c>
      <c r="G63">
        <v>71848</v>
      </c>
      <c r="H63">
        <v>72066</v>
      </c>
      <c r="I63">
        <v>73207</v>
      </c>
      <c r="J63">
        <v>74317</v>
      </c>
      <c r="K63">
        <v>75298</v>
      </c>
      <c r="L63">
        <v>74932</v>
      </c>
      <c r="M63">
        <v>74612</v>
      </c>
      <c r="N63">
        <v>77763</v>
      </c>
      <c r="O63">
        <v>76836</v>
      </c>
      <c r="P63">
        <v>77092</v>
      </c>
      <c r="Q63">
        <v>77646</v>
      </c>
      <c r="R63">
        <v>77822</v>
      </c>
      <c r="S63">
        <v>77705</v>
      </c>
      <c r="T63">
        <v>78771</v>
      </c>
      <c r="U63">
        <v>81286</v>
      </c>
      <c r="V63">
        <v>81967</v>
      </c>
      <c r="W63">
        <v>81759</v>
      </c>
      <c r="X63">
        <v>83484</v>
      </c>
      <c r="Y63">
        <v>84481</v>
      </c>
      <c r="Z63">
        <v>84727</v>
      </c>
      <c r="AA63">
        <v>84984</v>
      </c>
      <c r="AB63">
        <v>85582</v>
      </c>
      <c r="AC63">
        <v>86123</v>
      </c>
      <c r="AD63">
        <v>86539</v>
      </c>
      <c r="AE63">
        <v>86990</v>
      </c>
      <c r="AF63">
        <v>87409</v>
      </c>
      <c r="AG63">
        <v>88372</v>
      </c>
      <c r="AH63">
        <v>88607</v>
      </c>
      <c r="AI63">
        <v>88901</v>
      </c>
      <c r="AJ63">
        <v>89323</v>
      </c>
      <c r="AK63">
        <v>89580</v>
      </c>
      <c r="AL63">
        <v>89602</v>
      </c>
      <c r="AM63">
        <v>89965</v>
      </c>
      <c r="AN63">
        <v>89903</v>
      </c>
      <c r="AO63">
        <v>89683</v>
      </c>
      <c r="AP63">
        <v>89732</v>
      </c>
      <c r="AQ63">
        <v>89487</v>
      </c>
      <c r="AR63">
        <v>89669</v>
      </c>
      <c r="AS63">
        <v>89577</v>
      </c>
      <c r="AT63">
        <v>88590</v>
      </c>
      <c r="AU63">
        <v>88350</v>
      </c>
      <c r="AV63">
        <v>91266</v>
      </c>
      <c r="AW63">
        <v>91696</v>
      </c>
      <c r="AX63">
        <v>92015</v>
      </c>
      <c r="AY63">
        <v>92191</v>
      </c>
      <c r="AZ63">
        <v>92164</v>
      </c>
      <c r="BA63">
        <v>92256</v>
      </c>
      <c r="BB63">
        <v>92443</v>
      </c>
      <c r="BC63">
        <v>92580</v>
      </c>
      <c r="BD63">
        <v>92595</v>
      </c>
      <c r="BE63">
        <v>92816</v>
      </c>
      <c r="BF63">
        <v>92961</v>
      </c>
      <c r="BG63">
        <v>93317</v>
      </c>
      <c r="BH63">
        <v>93353</v>
      </c>
      <c r="BI63">
        <v>93557</v>
      </c>
      <c r="BJ63">
        <v>93841</v>
      </c>
      <c r="BK63">
        <v>93954</v>
      </c>
      <c r="BL63">
        <v>94105</v>
      </c>
      <c r="BM63">
        <v>94237</v>
      </c>
      <c r="BN63">
        <v>94539</v>
      </c>
      <c r="BO63">
        <v>94560</v>
      </c>
      <c r="BP63">
        <v>94740</v>
      </c>
      <c r="BQ63">
        <v>94927</v>
      </c>
      <c r="BR63">
        <v>95049</v>
      </c>
      <c r="BS63">
        <v>95224</v>
      </c>
      <c r="BT63">
        <v>95342</v>
      </c>
      <c r="BU63">
        <v>95536</v>
      </c>
      <c r="BV63">
        <v>95648</v>
      </c>
      <c r="BW63">
        <v>95661</v>
      </c>
      <c r="BX63">
        <v>95820</v>
      </c>
      <c r="BY63">
        <v>95943</v>
      </c>
      <c r="BZ63">
        <v>95976</v>
      </c>
      <c r="CA63">
        <v>96193</v>
      </c>
      <c r="CB63">
        <v>96268</v>
      </c>
      <c r="CC63">
        <v>96384</v>
      </c>
      <c r="CD63">
        <v>96483</v>
      </c>
      <c r="CE63">
        <v>96573</v>
      </c>
      <c r="CF63">
        <v>96635</v>
      </c>
      <c r="CG63">
        <v>96622</v>
      </c>
      <c r="CH63">
        <v>96755</v>
      </c>
      <c r="CI63">
        <v>96787</v>
      </c>
      <c r="CJ63">
        <v>96843</v>
      </c>
      <c r="CK63">
        <v>97047</v>
      </c>
      <c r="CL63">
        <v>97170</v>
      </c>
      <c r="CM63">
        <v>97120</v>
      </c>
      <c r="CN63">
        <v>97190</v>
      </c>
      <c r="CO63">
        <v>97310</v>
      </c>
      <c r="CP63">
        <v>97328</v>
      </c>
      <c r="CQ63">
        <v>97431</v>
      </c>
      <c r="CR63">
        <v>97484</v>
      </c>
      <c r="CS63">
        <v>97601</v>
      </c>
      <c r="CT63">
        <v>97554</v>
      </c>
      <c r="CU63">
        <v>97665</v>
      </c>
      <c r="CV63">
        <v>97712</v>
      </c>
      <c r="CW63">
        <v>97724</v>
      </c>
    </row>
    <row r="64" spans="1:101" x14ac:dyDescent="0.25">
      <c r="A64" t="s">
        <v>66</v>
      </c>
      <c r="B64">
        <v>66308</v>
      </c>
      <c r="C64">
        <v>67539</v>
      </c>
      <c r="D64">
        <v>69623</v>
      </c>
      <c r="E64">
        <v>69236</v>
      </c>
      <c r="F64">
        <v>70193</v>
      </c>
      <c r="G64">
        <v>71427</v>
      </c>
      <c r="H64">
        <v>71692</v>
      </c>
      <c r="I64">
        <v>72851</v>
      </c>
      <c r="J64">
        <v>73892</v>
      </c>
      <c r="K64">
        <v>74908</v>
      </c>
      <c r="L64">
        <v>74502</v>
      </c>
      <c r="M64">
        <v>74217</v>
      </c>
      <c r="N64">
        <v>77354</v>
      </c>
      <c r="O64">
        <v>76414</v>
      </c>
      <c r="P64">
        <v>76650</v>
      </c>
      <c r="Q64">
        <v>77222</v>
      </c>
      <c r="R64">
        <v>77398</v>
      </c>
      <c r="S64">
        <v>77276</v>
      </c>
      <c r="T64">
        <v>78388</v>
      </c>
      <c r="U64">
        <v>80858</v>
      </c>
      <c r="V64">
        <v>81563</v>
      </c>
      <c r="W64">
        <v>81357</v>
      </c>
      <c r="X64">
        <v>83109</v>
      </c>
      <c r="Y64">
        <v>84103</v>
      </c>
      <c r="Z64">
        <v>84345</v>
      </c>
      <c r="AA64">
        <v>84629</v>
      </c>
      <c r="AB64">
        <v>85202</v>
      </c>
      <c r="AC64">
        <v>85746</v>
      </c>
      <c r="AD64">
        <v>86134</v>
      </c>
      <c r="AE64">
        <v>86589</v>
      </c>
      <c r="AF64">
        <v>86988</v>
      </c>
      <c r="AG64">
        <v>87945</v>
      </c>
      <c r="AH64">
        <v>88213</v>
      </c>
      <c r="AI64">
        <v>88488</v>
      </c>
      <c r="AJ64">
        <v>88914</v>
      </c>
      <c r="AK64">
        <v>89173</v>
      </c>
      <c r="AL64">
        <v>89212</v>
      </c>
      <c r="AM64">
        <v>89557</v>
      </c>
      <c r="AN64">
        <v>89480</v>
      </c>
      <c r="AO64">
        <v>89310</v>
      </c>
      <c r="AP64">
        <v>89390</v>
      </c>
      <c r="AQ64">
        <v>89115</v>
      </c>
      <c r="AR64">
        <v>89301</v>
      </c>
      <c r="AS64">
        <v>89200</v>
      </c>
      <c r="AT64">
        <v>88178</v>
      </c>
      <c r="AU64">
        <v>87946</v>
      </c>
      <c r="AV64">
        <v>90855</v>
      </c>
      <c r="AW64">
        <v>91310</v>
      </c>
      <c r="AX64">
        <v>91649</v>
      </c>
      <c r="AY64">
        <v>91841</v>
      </c>
      <c r="AZ64">
        <v>91782</v>
      </c>
      <c r="BA64">
        <v>91907</v>
      </c>
      <c r="BB64">
        <v>92078</v>
      </c>
      <c r="BC64">
        <v>92211</v>
      </c>
      <c r="BD64">
        <v>92233</v>
      </c>
      <c r="BE64">
        <v>92436</v>
      </c>
      <c r="BF64">
        <v>92627</v>
      </c>
      <c r="BG64">
        <v>92964</v>
      </c>
      <c r="BH64">
        <v>93031</v>
      </c>
      <c r="BI64">
        <v>93230</v>
      </c>
      <c r="BJ64">
        <v>93524</v>
      </c>
      <c r="BK64">
        <v>93634</v>
      </c>
      <c r="BL64">
        <v>93811</v>
      </c>
      <c r="BM64">
        <v>93936</v>
      </c>
      <c r="BN64">
        <v>94242</v>
      </c>
      <c r="BO64">
        <v>94275</v>
      </c>
      <c r="BP64">
        <v>94465</v>
      </c>
      <c r="BQ64">
        <v>94658</v>
      </c>
      <c r="BR64">
        <v>94788</v>
      </c>
      <c r="BS64">
        <v>94969</v>
      </c>
      <c r="BT64">
        <v>95093</v>
      </c>
      <c r="BU64">
        <v>95293</v>
      </c>
      <c r="BV64">
        <v>95410</v>
      </c>
      <c r="BW64">
        <v>95429</v>
      </c>
      <c r="BX64">
        <v>95594</v>
      </c>
      <c r="BY64">
        <v>95722</v>
      </c>
      <c r="BZ64">
        <v>95761</v>
      </c>
      <c r="CA64">
        <v>95983</v>
      </c>
      <c r="CB64">
        <v>96062</v>
      </c>
      <c r="CC64">
        <v>96184</v>
      </c>
      <c r="CD64">
        <v>96288</v>
      </c>
      <c r="CE64">
        <v>96383</v>
      </c>
      <c r="CF64">
        <v>96449</v>
      </c>
      <c r="CG64">
        <v>96441</v>
      </c>
      <c r="CH64">
        <v>96578</v>
      </c>
      <c r="CI64">
        <v>96615</v>
      </c>
      <c r="CJ64">
        <v>96675</v>
      </c>
      <c r="CK64">
        <v>96883</v>
      </c>
      <c r="CL64">
        <v>97009</v>
      </c>
      <c r="CM64">
        <v>96964</v>
      </c>
      <c r="CN64">
        <v>97037</v>
      </c>
      <c r="CO64">
        <v>97161</v>
      </c>
      <c r="CP64">
        <v>97183</v>
      </c>
      <c r="CQ64">
        <v>97289</v>
      </c>
      <c r="CR64">
        <v>97345</v>
      </c>
      <c r="CS64">
        <v>97466</v>
      </c>
      <c r="CT64">
        <v>97422</v>
      </c>
      <c r="CU64">
        <v>97537</v>
      </c>
      <c r="CV64">
        <v>97587</v>
      </c>
      <c r="CW64">
        <v>97602</v>
      </c>
    </row>
    <row r="65" spans="1:101" x14ac:dyDescent="0.25">
      <c r="A65" t="s">
        <v>65</v>
      </c>
      <c r="B65">
        <v>65864</v>
      </c>
      <c r="C65">
        <v>67072</v>
      </c>
      <c r="D65">
        <v>69212</v>
      </c>
      <c r="E65">
        <v>68842</v>
      </c>
      <c r="F65">
        <v>69755</v>
      </c>
      <c r="G65">
        <v>70986</v>
      </c>
      <c r="H65">
        <v>71261</v>
      </c>
      <c r="I65">
        <v>72454</v>
      </c>
      <c r="J65">
        <v>73439</v>
      </c>
      <c r="K65">
        <v>74448</v>
      </c>
      <c r="L65">
        <v>74090</v>
      </c>
      <c r="M65">
        <v>73763</v>
      </c>
      <c r="N65">
        <v>76860</v>
      </c>
      <c r="O65">
        <v>75975</v>
      </c>
      <c r="P65">
        <v>76216</v>
      </c>
      <c r="Q65">
        <v>76738</v>
      </c>
      <c r="R65">
        <v>76937</v>
      </c>
      <c r="S65">
        <v>76854</v>
      </c>
      <c r="T65">
        <v>77973</v>
      </c>
      <c r="U65">
        <v>80398</v>
      </c>
      <c r="V65">
        <v>81092</v>
      </c>
      <c r="W65">
        <v>80943</v>
      </c>
      <c r="X65">
        <v>82653</v>
      </c>
      <c r="Y65">
        <v>83678</v>
      </c>
      <c r="Z65">
        <v>83893</v>
      </c>
      <c r="AA65">
        <v>84197</v>
      </c>
      <c r="AB65">
        <v>84734</v>
      </c>
      <c r="AC65">
        <v>85322</v>
      </c>
      <c r="AD65">
        <v>85688</v>
      </c>
      <c r="AE65">
        <v>86115</v>
      </c>
      <c r="AF65">
        <v>86567</v>
      </c>
      <c r="AG65">
        <v>87476</v>
      </c>
      <c r="AH65">
        <v>87783</v>
      </c>
      <c r="AI65">
        <v>88080</v>
      </c>
      <c r="AJ65">
        <v>88448</v>
      </c>
      <c r="AK65">
        <v>88778</v>
      </c>
      <c r="AL65">
        <v>88792</v>
      </c>
      <c r="AM65">
        <v>89140</v>
      </c>
      <c r="AN65">
        <v>89037</v>
      </c>
      <c r="AO65">
        <v>88884</v>
      </c>
      <c r="AP65">
        <v>88969</v>
      </c>
      <c r="AQ65">
        <v>88674</v>
      </c>
      <c r="AR65">
        <v>88903</v>
      </c>
      <c r="AS65">
        <v>88779</v>
      </c>
      <c r="AT65">
        <v>87734</v>
      </c>
      <c r="AU65">
        <v>87506</v>
      </c>
      <c r="AV65">
        <v>90460</v>
      </c>
      <c r="AW65">
        <v>90912</v>
      </c>
      <c r="AX65">
        <v>91228</v>
      </c>
      <c r="AY65">
        <v>91459</v>
      </c>
      <c r="AZ65">
        <v>91383</v>
      </c>
      <c r="BA65">
        <v>91514</v>
      </c>
      <c r="BB65">
        <v>91713</v>
      </c>
      <c r="BC65">
        <v>91822</v>
      </c>
      <c r="BD65">
        <v>91876</v>
      </c>
      <c r="BE65">
        <v>92055</v>
      </c>
      <c r="BF65">
        <v>92256</v>
      </c>
      <c r="BG65">
        <v>92609</v>
      </c>
      <c r="BH65">
        <v>92672</v>
      </c>
      <c r="BI65">
        <v>92830</v>
      </c>
      <c r="BJ65">
        <v>93217</v>
      </c>
      <c r="BK65">
        <v>93271</v>
      </c>
      <c r="BL65">
        <v>93492</v>
      </c>
      <c r="BM65">
        <v>93610</v>
      </c>
      <c r="BN65">
        <v>93929</v>
      </c>
      <c r="BO65">
        <v>93972</v>
      </c>
      <c r="BP65">
        <v>94170</v>
      </c>
      <c r="BQ65">
        <v>94371</v>
      </c>
      <c r="BR65">
        <v>94507</v>
      </c>
      <c r="BS65">
        <v>94695</v>
      </c>
      <c r="BT65">
        <v>94826</v>
      </c>
      <c r="BU65">
        <v>95032</v>
      </c>
      <c r="BV65">
        <v>95155</v>
      </c>
      <c r="BW65">
        <v>95181</v>
      </c>
      <c r="BX65">
        <v>95352</v>
      </c>
      <c r="BY65">
        <v>95486</v>
      </c>
      <c r="BZ65">
        <v>95530</v>
      </c>
      <c r="CA65">
        <v>95758</v>
      </c>
      <c r="CB65">
        <v>95843</v>
      </c>
      <c r="CC65">
        <v>95969</v>
      </c>
      <c r="CD65">
        <v>96079</v>
      </c>
      <c r="CE65">
        <v>96178</v>
      </c>
      <c r="CF65">
        <v>96251</v>
      </c>
      <c r="CG65">
        <v>96248</v>
      </c>
      <c r="CH65">
        <v>96389</v>
      </c>
      <c r="CI65">
        <v>96430</v>
      </c>
      <c r="CJ65">
        <v>96495</v>
      </c>
      <c r="CK65">
        <v>96708</v>
      </c>
      <c r="CL65">
        <v>96838</v>
      </c>
      <c r="CM65">
        <v>96797</v>
      </c>
      <c r="CN65">
        <v>96874</v>
      </c>
      <c r="CO65">
        <v>97002</v>
      </c>
      <c r="CP65">
        <v>97028</v>
      </c>
      <c r="CQ65">
        <v>97137</v>
      </c>
      <c r="CR65">
        <v>97197</v>
      </c>
      <c r="CS65">
        <v>97322</v>
      </c>
      <c r="CT65">
        <v>97282</v>
      </c>
      <c r="CU65">
        <v>97401</v>
      </c>
      <c r="CV65">
        <v>97453</v>
      </c>
      <c r="CW65">
        <v>97471</v>
      </c>
    </row>
    <row r="66" spans="1:101" x14ac:dyDescent="0.25">
      <c r="A66" t="s">
        <v>64</v>
      </c>
      <c r="B66">
        <v>65399</v>
      </c>
      <c r="C66">
        <v>66598</v>
      </c>
      <c r="D66">
        <v>68725</v>
      </c>
      <c r="E66">
        <v>68360</v>
      </c>
      <c r="F66">
        <v>69312</v>
      </c>
      <c r="G66">
        <v>70525</v>
      </c>
      <c r="H66">
        <v>70805</v>
      </c>
      <c r="I66">
        <v>71986</v>
      </c>
      <c r="J66">
        <v>72949</v>
      </c>
      <c r="K66">
        <v>73969</v>
      </c>
      <c r="L66">
        <v>73645</v>
      </c>
      <c r="M66">
        <v>73285</v>
      </c>
      <c r="N66">
        <v>76355</v>
      </c>
      <c r="O66">
        <v>75513</v>
      </c>
      <c r="P66">
        <v>75714</v>
      </c>
      <c r="Q66">
        <v>76302</v>
      </c>
      <c r="R66">
        <v>76465</v>
      </c>
      <c r="S66">
        <v>76407</v>
      </c>
      <c r="T66">
        <v>77538</v>
      </c>
      <c r="U66">
        <v>79940</v>
      </c>
      <c r="V66">
        <v>80642</v>
      </c>
      <c r="W66">
        <v>80443</v>
      </c>
      <c r="X66">
        <v>82217</v>
      </c>
      <c r="Y66">
        <v>83212</v>
      </c>
      <c r="Z66">
        <v>83421</v>
      </c>
      <c r="AA66">
        <v>83703</v>
      </c>
      <c r="AB66">
        <v>84265</v>
      </c>
      <c r="AC66">
        <v>84838</v>
      </c>
      <c r="AD66">
        <v>85196</v>
      </c>
      <c r="AE66">
        <v>85657</v>
      </c>
      <c r="AF66">
        <v>86101</v>
      </c>
      <c r="AG66">
        <v>86981</v>
      </c>
      <c r="AH66">
        <v>87280</v>
      </c>
      <c r="AI66">
        <v>87629</v>
      </c>
      <c r="AJ66">
        <v>88016</v>
      </c>
      <c r="AK66">
        <v>88307</v>
      </c>
      <c r="AL66">
        <v>88334</v>
      </c>
      <c r="AM66">
        <v>88719</v>
      </c>
      <c r="AN66">
        <v>88593</v>
      </c>
      <c r="AO66">
        <v>88409</v>
      </c>
      <c r="AP66">
        <v>88539</v>
      </c>
      <c r="AQ66">
        <v>88237</v>
      </c>
      <c r="AR66">
        <v>88453</v>
      </c>
      <c r="AS66">
        <v>88317</v>
      </c>
      <c r="AT66">
        <v>87319</v>
      </c>
      <c r="AU66">
        <v>87063</v>
      </c>
      <c r="AV66">
        <v>90010</v>
      </c>
      <c r="AW66">
        <v>90469</v>
      </c>
      <c r="AX66">
        <v>90797</v>
      </c>
      <c r="AY66">
        <v>91039</v>
      </c>
      <c r="AZ66">
        <v>90977</v>
      </c>
      <c r="BA66">
        <v>91136</v>
      </c>
      <c r="BB66">
        <v>91313</v>
      </c>
      <c r="BC66">
        <v>91410</v>
      </c>
      <c r="BD66">
        <v>91434</v>
      </c>
      <c r="BE66">
        <v>91679</v>
      </c>
      <c r="BF66">
        <v>91866</v>
      </c>
      <c r="BG66">
        <v>92216</v>
      </c>
      <c r="BH66">
        <v>92268</v>
      </c>
      <c r="BI66">
        <v>92426</v>
      </c>
      <c r="BJ66">
        <v>92841</v>
      </c>
      <c r="BK66">
        <v>92928</v>
      </c>
      <c r="BL66">
        <v>93131</v>
      </c>
      <c r="BM66">
        <v>93266</v>
      </c>
      <c r="BN66">
        <v>93596</v>
      </c>
      <c r="BO66">
        <v>93647</v>
      </c>
      <c r="BP66">
        <v>93854</v>
      </c>
      <c r="BQ66">
        <v>94062</v>
      </c>
      <c r="BR66">
        <v>94206</v>
      </c>
      <c r="BS66">
        <v>94401</v>
      </c>
      <c r="BT66">
        <v>94540</v>
      </c>
      <c r="BU66">
        <v>94751</v>
      </c>
      <c r="BV66">
        <v>94882</v>
      </c>
      <c r="BW66">
        <v>94916</v>
      </c>
      <c r="BX66">
        <v>95093</v>
      </c>
      <c r="BY66">
        <v>95233</v>
      </c>
      <c r="BZ66">
        <v>95284</v>
      </c>
      <c r="CA66">
        <v>95518</v>
      </c>
      <c r="CB66">
        <v>95609</v>
      </c>
      <c r="CC66">
        <v>95740</v>
      </c>
      <c r="CD66">
        <v>95855</v>
      </c>
      <c r="CE66">
        <v>95960</v>
      </c>
      <c r="CF66">
        <v>96038</v>
      </c>
      <c r="CG66">
        <v>96041</v>
      </c>
      <c r="CH66">
        <v>96186</v>
      </c>
      <c r="CI66">
        <v>96233</v>
      </c>
      <c r="CJ66">
        <v>96303</v>
      </c>
      <c r="CK66">
        <v>96520</v>
      </c>
      <c r="CL66">
        <v>96655</v>
      </c>
      <c r="CM66">
        <v>96619</v>
      </c>
      <c r="CN66">
        <v>96700</v>
      </c>
      <c r="CO66">
        <v>96832</v>
      </c>
      <c r="CP66">
        <v>96863</v>
      </c>
      <c r="CQ66">
        <v>96976</v>
      </c>
      <c r="CR66">
        <v>97040</v>
      </c>
      <c r="CS66">
        <v>97168</v>
      </c>
      <c r="CT66">
        <v>97132</v>
      </c>
      <c r="CU66">
        <v>97255</v>
      </c>
      <c r="CV66">
        <v>97311</v>
      </c>
      <c r="CW66">
        <v>97332</v>
      </c>
    </row>
    <row r="67" spans="1:101" x14ac:dyDescent="0.25">
      <c r="A67" t="s">
        <v>63</v>
      </c>
      <c r="B67">
        <v>64892</v>
      </c>
      <c r="C67">
        <v>66042</v>
      </c>
      <c r="D67">
        <v>68243</v>
      </c>
      <c r="E67">
        <v>67845</v>
      </c>
      <c r="F67">
        <v>68795</v>
      </c>
      <c r="G67">
        <v>70015</v>
      </c>
      <c r="H67">
        <v>70300</v>
      </c>
      <c r="I67">
        <v>71434</v>
      </c>
      <c r="J67">
        <v>72485</v>
      </c>
      <c r="K67">
        <v>73446</v>
      </c>
      <c r="L67">
        <v>73150</v>
      </c>
      <c r="M67">
        <v>72755</v>
      </c>
      <c r="N67">
        <v>75815</v>
      </c>
      <c r="O67">
        <v>75001</v>
      </c>
      <c r="P67">
        <v>75189</v>
      </c>
      <c r="Q67">
        <v>75828</v>
      </c>
      <c r="R67">
        <v>75967</v>
      </c>
      <c r="S67">
        <v>75921</v>
      </c>
      <c r="T67">
        <v>77055</v>
      </c>
      <c r="U67">
        <v>79443</v>
      </c>
      <c r="V67">
        <v>80119</v>
      </c>
      <c r="W67">
        <v>79967</v>
      </c>
      <c r="X67">
        <v>81757</v>
      </c>
      <c r="Y67">
        <v>82705</v>
      </c>
      <c r="Z67">
        <v>82936</v>
      </c>
      <c r="AA67">
        <v>83219</v>
      </c>
      <c r="AB67">
        <v>83757</v>
      </c>
      <c r="AC67">
        <v>84295</v>
      </c>
      <c r="AD67">
        <v>84695</v>
      </c>
      <c r="AE67">
        <v>85187</v>
      </c>
      <c r="AF67">
        <v>85573</v>
      </c>
      <c r="AG67">
        <v>86475</v>
      </c>
      <c r="AH67">
        <v>86793</v>
      </c>
      <c r="AI67">
        <v>87149</v>
      </c>
      <c r="AJ67">
        <v>87469</v>
      </c>
      <c r="AK67">
        <v>87814</v>
      </c>
      <c r="AL67">
        <v>87815</v>
      </c>
      <c r="AM67">
        <v>88208</v>
      </c>
      <c r="AN67">
        <v>88057</v>
      </c>
      <c r="AO67">
        <v>87940</v>
      </c>
      <c r="AP67">
        <v>88053</v>
      </c>
      <c r="AQ67">
        <v>87777</v>
      </c>
      <c r="AR67">
        <v>87976</v>
      </c>
      <c r="AS67">
        <v>87856</v>
      </c>
      <c r="AT67">
        <v>86831</v>
      </c>
      <c r="AU67">
        <v>86604</v>
      </c>
      <c r="AV67">
        <v>89553</v>
      </c>
      <c r="AW67">
        <v>90014</v>
      </c>
      <c r="AX67">
        <v>90359</v>
      </c>
      <c r="AY67">
        <v>90577</v>
      </c>
      <c r="AZ67">
        <v>90537</v>
      </c>
      <c r="BA67">
        <v>90678</v>
      </c>
      <c r="BB67">
        <v>90876</v>
      </c>
      <c r="BC67">
        <v>90961</v>
      </c>
      <c r="BD67">
        <v>91010</v>
      </c>
      <c r="BE67">
        <v>91247</v>
      </c>
      <c r="BF67">
        <v>91439</v>
      </c>
      <c r="BG67">
        <v>91788</v>
      </c>
      <c r="BH67">
        <v>91861</v>
      </c>
      <c r="BI67">
        <v>92012</v>
      </c>
      <c r="BJ67">
        <v>92440</v>
      </c>
      <c r="BK67">
        <v>92531</v>
      </c>
      <c r="BL67">
        <v>92752</v>
      </c>
      <c r="BM67">
        <v>92900</v>
      </c>
      <c r="BN67">
        <v>93240</v>
      </c>
      <c r="BO67">
        <v>93301</v>
      </c>
      <c r="BP67">
        <v>93517</v>
      </c>
      <c r="BQ67">
        <v>93732</v>
      </c>
      <c r="BR67">
        <v>93884</v>
      </c>
      <c r="BS67">
        <v>94087</v>
      </c>
      <c r="BT67">
        <v>94233</v>
      </c>
      <c r="BU67">
        <v>94452</v>
      </c>
      <c r="BV67">
        <v>94590</v>
      </c>
      <c r="BW67">
        <v>94632</v>
      </c>
      <c r="BX67">
        <v>94816</v>
      </c>
      <c r="BY67">
        <v>94963</v>
      </c>
      <c r="BZ67">
        <v>95021</v>
      </c>
      <c r="CA67">
        <v>95261</v>
      </c>
      <c r="CB67">
        <v>95358</v>
      </c>
      <c r="CC67">
        <v>95496</v>
      </c>
      <c r="CD67">
        <v>95617</v>
      </c>
      <c r="CE67">
        <v>95728</v>
      </c>
      <c r="CF67">
        <v>95811</v>
      </c>
      <c r="CG67">
        <v>95820</v>
      </c>
      <c r="CH67">
        <v>95971</v>
      </c>
      <c r="CI67">
        <v>96024</v>
      </c>
      <c r="CJ67">
        <v>96099</v>
      </c>
      <c r="CK67">
        <v>96320</v>
      </c>
      <c r="CL67">
        <v>96460</v>
      </c>
      <c r="CM67">
        <v>96429</v>
      </c>
      <c r="CN67">
        <v>96515</v>
      </c>
      <c r="CO67">
        <v>96652</v>
      </c>
      <c r="CP67">
        <v>96688</v>
      </c>
      <c r="CQ67">
        <v>96804</v>
      </c>
      <c r="CR67">
        <v>96873</v>
      </c>
      <c r="CS67">
        <v>97005</v>
      </c>
      <c r="CT67">
        <v>96974</v>
      </c>
      <c r="CU67">
        <v>97100</v>
      </c>
      <c r="CV67">
        <v>97160</v>
      </c>
      <c r="CW67">
        <v>97185</v>
      </c>
    </row>
    <row r="68" spans="1:101" x14ac:dyDescent="0.25">
      <c r="A68" t="s">
        <v>62</v>
      </c>
      <c r="B68">
        <v>64317</v>
      </c>
      <c r="C68">
        <v>65538</v>
      </c>
      <c r="D68">
        <v>67661</v>
      </c>
      <c r="E68">
        <v>67316</v>
      </c>
      <c r="F68">
        <v>68220</v>
      </c>
      <c r="G68">
        <v>69490</v>
      </c>
      <c r="H68">
        <v>69759</v>
      </c>
      <c r="I68">
        <v>70856</v>
      </c>
      <c r="J68">
        <v>71938</v>
      </c>
      <c r="K68">
        <v>72836</v>
      </c>
      <c r="L68">
        <v>72594</v>
      </c>
      <c r="M68">
        <v>72236</v>
      </c>
      <c r="N68">
        <v>75280</v>
      </c>
      <c r="O68">
        <v>74428</v>
      </c>
      <c r="P68">
        <v>74627</v>
      </c>
      <c r="Q68">
        <v>75299</v>
      </c>
      <c r="R68">
        <v>75451</v>
      </c>
      <c r="S68">
        <v>75377</v>
      </c>
      <c r="T68">
        <v>76541</v>
      </c>
      <c r="U68">
        <v>78903</v>
      </c>
      <c r="V68">
        <v>79600</v>
      </c>
      <c r="W68">
        <v>79437</v>
      </c>
      <c r="X68">
        <v>81202</v>
      </c>
      <c r="Y68">
        <v>82191</v>
      </c>
      <c r="Z68">
        <v>82390</v>
      </c>
      <c r="AA68">
        <v>82700</v>
      </c>
      <c r="AB68">
        <v>83195</v>
      </c>
      <c r="AC68">
        <v>83752</v>
      </c>
      <c r="AD68">
        <v>84180</v>
      </c>
      <c r="AE68">
        <v>84579</v>
      </c>
      <c r="AF68">
        <v>85015</v>
      </c>
      <c r="AG68">
        <v>85940</v>
      </c>
      <c r="AH68">
        <v>86205</v>
      </c>
      <c r="AI68">
        <v>86629</v>
      </c>
      <c r="AJ68">
        <v>86905</v>
      </c>
      <c r="AK68">
        <v>87241</v>
      </c>
      <c r="AL68">
        <v>87290</v>
      </c>
      <c r="AM68">
        <v>87697</v>
      </c>
      <c r="AN68">
        <v>87540</v>
      </c>
      <c r="AO68">
        <v>87434</v>
      </c>
      <c r="AP68">
        <v>87524</v>
      </c>
      <c r="AQ68">
        <v>87259</v>
      </c>
      <c r="AR68">
        <v>87451</v>
      </c>
      <c r="AS68">
        <v>87285</v>
      </c>
      <c r="AT68">
        <v>86335</v>
      </c>
      <c r="AU68">
        <v>86121</v>
      </c>
      <c r="AV68">
        <v>89087</v>
      </c>
      <c r="AW68">
        <v>89527</v>
      </c>
      <c r="AX68">
        <v>89844</v>
      </c>
      <c r="AY68">
        <v>90095</v>
      </c>
      <c r="AZ68">
        <v>90058</v>
      </c>
      <c r="BA68">
        <v>90187</v>
      </c>
      <c r="BB68">
        <v>90381</v>
      </c>
      <c r="BC68">
        <v>90475</v>
      </c>
      <c r="BD68">
        <v>90546</v>
      </c>
      <c r="BE68">
        <v>90788</v>
      </c>
      <c r="BF68">
        <v>90975</v>
      </c>
      <c r="BG68">
        <v>91350</v>
      </c>
      <c r="BH68">
        <v>91396</v>
      </c>
      <c r="BI68">
        <v>91593</v>
      </c>
      <c r="BJ68">
        <v>92005</v>
      </c>
      <c r="BK68">
        <v>92117</v>
      </c>
      <c r="BL68">
        <v>92351</v>
      </c>
      <c r="BM68">
        <v>92512</v>
      </c>
      <c r="BN68">
        <v>92862</v>
      </c>
      <c r="BO68">
        <v>92932</v>
      </c>
      <c r="BP68">
        <v>93156</v>
      </c>
      <c r="BQ68">
        <v>93380</v>
      </c>
      <c r="BR68">
        <v>93542</v>
      </c>
      <c r="BS68">
        <v>93752</v>
      </c>
      <c r="BT68">
        <v>93907</v>
      </c>
      <c r="BU68">
        <v>94134</v>
      </c>
      <c r="BV68">
        <v>94280</v>
      </c>
      <c r="BW68">
        <v>94330</v>
      </c>
      <c r="BX68">
        <v>94522</v>
      </c>
      <c r="BY68">
        <v>94676</v>
      </c>
      <c r="BZ68">
        <v>94741</v>
      </c>
      <c r="CA68">
        <v>94988</v>
      </c>
      <c r="CB68">
        <v>95092</v>
      </c>
      <c r="CC68">
        <v>95237</v>
      </c>
      <c r="CD68">
        <v>95365</v>
      </c>
      <c r="CE68">
        <v>95482</v>
      </c>
      <c r="CF68">
        <v>95572</v>
      </c>
      <c r="CG68">
        <v>95586</v>
      </c>
      <c r="CH68">
        <v>95743</v>
      </c>
      <c r="CI68">
        <v>95802</v>
      </c>
      <c r="CJ68">
        <v>95882</v>
      </c>
      <c r="CK68">
        <v>96109</v>
      </c>
      <c r="CL68">
        <v>96254</v>
      </c>
      <c r="CM68">
        <v>96229</v>
      </c>
      <c r="CN68">
        <v>96319</v>
      </c>
      <c r="CO68">
        <v>96462</v>
      </c>
      <c r="CP68">
        <v>96502</v>
      </c>
      <c r="CQ68">
        <v>96623</v>
      </c>
      <c r="CR68">
        <v>96696</v>
      </c>
      <c r="CS68">
        <v>96832</v>
      </c>
      <c r="CT68">
        <v>96806</v>
      </c>
      <c r="CU68">
        <v>96937</v>
      </c>
      <c r="CV68">
        <v>97001</v>
      </c>
      <c r="CW68">
        <v>97030</v>
      </c>
    </row>
    <row r="69" spans="1:101" x14ac:dyDescent="0.25">
      <c r="A69" t="s">
        <v>61</v>
      </c>
      <c r="B69">
        <v>63720</v>
      </c>
      <c r="C69">
        <v>64970</v>
      </c>
      <c r="D69">
        <v>67061</v>
      </c>
      <c r="E69">
        <v>66749</v>
      </c>
      <c r="F69">
        <v>67658</v>
      </c>
      <c r="G69">
        <v>68927</v>
      </c>
      <c r="H69">
        <v>69131</v>
      </c>
      <c r="I69">
        <v>70263</v>
      </c>
      <c r="J69">
        <v>71314</v>
      </c>
      <c r="K69">
        <v>72231</v>
      </c>
      <c r="L69">
        <v>71969</v>
      </c>
      <c r="M69">
        <v>71624</v>
      </c>
      <c r="N69">
        <v>74679</v>
      </c>
      <c r="O69">
        <v>73845</v>
      </c>
      <c r="P69">
        <v>74038</v>
      </c>
      <c r="Q69">
        <v>74753</v>
      </c>
      <c r="R69">
        <v>74843</v>
      </c>
      <c r="S69">
        <v>74834</v>
      </c>
      <c r="T69">
        <v>75961</v>
      </c>
      <c r="U69">
        <v>78317</v>
      </c>
      <c r="V69">
        <v>79055</v>
      </c>
      <c r="W69">
        <v>78885</v>
      </c>
      <c r="X69">
        <v>80599</v>
      </c>
      <c r="Y69">
        <v>81587</v>
      </c>
      <c r="Z69">
        <v>81758</v>
      </c>
      <c r="AA69">
        <v>82091</v>
      </c>
      <c r="AB69">
        <v>82578</v>
      </c>
      <c r="AC69">
        <v>83176</v>
      </c>
      <c r="AD69">
        <v>83587</v>
      </c>
      <c r="AE69">
        <v>83970</v>
      </c>
      <c r="AF69">
        <v>84397</v>
      </c>
      <c r="AG69">
        <v>85305</v>
      </c>
      <c r="AH69">
        <v>85606</v>
      </c>
      <c r="AI69">
        <v>86047</v>
      </c>
      <c r="AJ69">
        <v>86326</v>
      </c>
      <c r="AK69">
        <v>86658</v>
      </c>
      <c r="AL69">
        <v>86674</v>
      </c>
      <c r="AM69">
        <v>87135</v>
      </c>
      <c r="AN69">
        <v>86944</v>
      </c>
      <c r="AO69">
        <v>86855</v>
      </c>
      <c r="AP69">
        <v>86983</v>
      </c>
      <c r="AQ69">
        <v>86677</v>
      </c>
      <c r="AR69">
        <v>86904</v>
      </c>
      <c r="AS69">
        <v>86740</v>
      </c>
      <c r="AT69">
        <v>85814</v>
      </c>
      <c r="AU69">
        <v>85580</v>
      </c>
      <c r="AV69">
        <v>88542</v>
      </c>
      <c r="AW69">
        <v>88984</v>
      </c>
      <c r="AX69">
        <v>89338</v>
      </c>
      <c r="AY69">
        <v>89567</v>
      </c>
      <c r="AZ69">
        <v>89552</v>
      </c>
      <c r="BA69">
        <v>89648</v>
      </c>
      <c r="BB69">
        <v>89890</v>
      </c>
      <c r="BC69">
        <v>89952</v>
      </c>
      <c r="BD69">
        <v>90019</v>
      </c>
      <c r="BE69">
        <v>90304</v>
      </c>
      <c r="BF69">
        <v>90477</v>
      </c>
      <c r="BG69">
        <v>90847</v>
      </c>
      <c r="BH69">
        <v>90925</v>
      </c>
      <c r="BI69">
        <v>91119</v>
      </c>
      <c r="BJ69">
        <v>91551</v>
      </c>
      <c r="BK69">
        <v>91680</v>
      </c>
      <c r="BL69">
        <v>91928</v>
      </c>
      <c r="BM69">
        <v>92100</v>
      </c>
      <c r="BN69">
        <v>92460</v>
      </c>
      <c r="BO69">
        <v>92540</v>
      </c>
      <c r="BP69">
        <v>92774</v>
      </c>
      <c r="BQ69">
        <v>93007</v>
      </c>
      <c r="BR69">
        <v>93178</v>
      </c>
      <c r="BS69">
        <v>93398</v>
      </c>
      <c r="BT69">
        <v>93562</v>
      </c>
      <c r="BU69">
        <v>93797</v>
      </c>
      <c r="BV69">
        <v>93952</v>
      </c>
      <c r="BW69">
        <v>94010</v>
      </c>
      <c r="BX69">
        <v>94211</v>
      </c>
      <c r="BY69">
        <v>94372</v>
      </c>
      <c r="BZ69">
        <v>94446</v>
      </c>
      <c r="CA69">
        <v>94700</v>
      </c>
      <c r="CB69">
        <v>94811</v>
      </c>
      <c r="CC69">
        <v>94963</v>
      </c>
      <c r="CD69">
        <v>95098</v>
      </c>
      <c r="CE69">
        <v>95221</v>
      </c>
      <c r="CF69">
        <v>95318</v>
      </c>
      <c r="CG69">
        <v>95339</v>
      </c>
      <c r="CH69">
        <v>95503</v>
      </c>
      <c r="CI69">
        <v>95567</v>
      </c>
      <c r="CJ69">
        <v>95654</v>
      </c>
      <c r="CK69">
        <v>95886</v>
      </c>
      <c r="CL69">
        <v>96036</v>
      </c>
      <c r="CM69">
        <v>96017</v>
      </c>
      <c r="CN69">
        <v>96113</v>
      </c>
      <c r="CO69">
        <v>96261</v>
      </c>
      <c r="CP69">
        <v>96306</v>
      </c>
      <c r="CQ69">
        <v>96432</v>
      </c>
      <c r="CR69">
        <v>96511</v>
      </c>
      <c r="CS69">
        <v>96651</v>
      </c>
      <c r="CT69">
        <v>96630</v>
      </c>
      <c r="CU69">
        <v>96765</v>
      </c>
      <c r="CV69">
        <v>96833</v>
      </c>
      <c r="CW69">
        <v>96867</v>
      </c>
    </row>
    <row r="70" spans="1:101" x14ac:dyDescent="0.25">
      <c r="A70" t="s">
        <v>60</v>
      </c>
      <c r="B70">
        <v>63083</v>
      </c>
      <c r="C70">
        <v>64337</v>
      </c>
      <c r="D70">
        <v>66381</v>
      </c>
      <c r="E70">
        <v>66122</v>
      </c>
      <c r="F70">
        <v>67025</v>
      </c>
      <c r="G70">
        <v>68252</v>
      </c>
      <c r="H70">
        <v>68457</v>
      </c>
      <c r="I70">
        <v>69549</v>
      </c>
      <c r="J70">
        <v>70574</v>
      </c>
      <c r="K70">
        <v>71553</v>
      </c>
      <c r="L70">
        <v>71352</v>
      </c>
      <c r="M70">
        <v>71053</v>
      </c>
      <c r="N70">
        <v>74064</v>
      </c>
      <c r="O70">
        <v>73205</v>
      </c>
      <c r="P70">
        <v>73422</v>
      </c>
      <c r="Q70">
        <v>74151</v>
      </c>
      <c r="R70">
        <v>74271</v>
      </c>
      <c r="S70">
        <v>74234</v>
      </c>
      <c r="T70">
        <v>75351</v>
      </c>
      <c r="U70">
        <v>77699</v>
      </c>
      <c r="V70">
        <v>78425</v>
      </c>
      <c r="W70">
        <v>78264</v>
      </c>
      <c r="X70">
        <v>80022</v>
      </c>
      <c r="Y70">
        <v>80959</v>
      </c>
      <c r="Z70">
        <v>81116</v>
      </c>
      <c r="AA70">
        <v>81464</v>
      </c>
      <c r="AB70">
        <v>81980</v>
      </c>
      <c r="AC70">
        <v>82530</v>
      </c>
      <c r="AD70">
        <v>82978</v>
      </c>
      <c r="AE70">
        <v>83337</v>
      </c>
      <c r="AF70">
        <v>83779</v>
      </c>
      <c r="AG70">
        <v>84611</v>
      </c>
      <c r="AH70">
        <v>84977</v>
      </c>
      <c r="AI70">
        <v>85389</v>
      </c>
      <c r="AJ70">
        <v>85726</v>
      </c>
      <c r="AK70">
        <v>86046</v>
      </c>
      <c r="AL70">
        <v>86038</v>
      </c>
      <c r="AM70">
        <v>86481</v>
      </c>
      <c r="AN70">
        <v>86347</v>
      </c>
      <c r="AO70">
        <v>86215</v>
      </c>
      <c r="AP70">
        <v>86398</v>
      </c>
      <c r="AQ70">
        <v>86111</v>
      </c>
      <c r="AR70">
        <v>86298</v>
      </c>
      <c r="AS70">
        <v>86205</v>
      </c>
      <c r="AT70">
        <v>85265</v>
      </c>
      <c r="AU70">
        <v>85047</v>
      </c>
      <c r="AV70">
        <v>87966</v>
      </c>
      <c r="AW70">
        <v>88424</v>
      </c>
      <c r="AX70">
        <v>88790</v>
      </c>
      <c r="AY70">
        <v>89053</v>
      </c>
      <c r="AZ70">
        <v>89026</v>
      </c>
      <c r="BA70">
        <v>89050</v>
      </c>
      <c r="BB70">
        <v>89381</v>
      </c>
      <c r="BC70">
        <v>89368</v>
      </c>
      <c r="BD70">
        <v>89448</v>
      </c>
      <c r="BE70">
        <v>89741</v>
      </c>
      <c r="BF70">
        <v>89932</v>
      </c>
      <c r="BG70">
        <v>90326</v>
      </c>
      <c r="BH70">
        <v>90407</v>
      </c>
      <c r="BI70">
        <v>90627</v>
      </c>
      <c r="BJ70">
        <v>91077</v>
      </c>
      <c r="BK70">
        <v>91222</v>
      </c>
      <c r="BL70">
        <v>91483</v>
      </c>
      <c r="BM70">
        <v>91666</v>
      </c>
      <c r="BN70">
        <v>92034</v>
      </c>
      <c r="BO70">
        <v>92126</v>
      </c>
      <c r="BP70">
        <v>92369</v>
      </c>
      <c r="BQ70">
        <v>92612</v>
      </c>
      <c r="BR70">
        <v>92794</v>
      </c>
      <c r="BS70">
        <v>93023</v>
      </c>
      <c r="BT70">
        <v>93197</v>
      </c>
      <c r="BU70">
        <v>93441</v>
      </c>
      <c r="BV70">
        <v>93606</v>
      </c>
      <c r="BW70">
        <v>93674</v>
      </c>
      <c r="BX70">
        <v>93883</v>
      </c>
      <c r="BY70">
        <v>94052</v>
      </c>
      <c r="BZ70">
        <v>94134</v>
      </c>
      <c r="CA70">
        <v>94396</v>
      </c>
      <c r="CB70">
        <v>94515</v>
      </c>
      <c r="CC70">
        <v>94674</v>
      </c>
      <c r="CD70">
        <v>94817</v>
      </c>
      <c r="CE70">
        <v>94947</v>
      </c>
      <c r="CF70">
        <v>95052</v>
      </c>
      <c r="CG70">
        <v>95080</v>
      </c>
      <c r="CH70">
        <v>95250</v>
      </c>
      <c r="CI70">
        <v>95320</v>
      </c>
      <c r="CJ70">
        <v>95414</v>
      </c>
      <c r="CK70">
        <v>95652</v>
      </c>
      <c r="CL70">
        <v>95808</v>
      </c>
      <c r="CM70">
        <v>95795</v>
      </c>
      <c r="CN70">
        <v>95897</v>
      </c>
      <c r="CO70">
        <v>96050</v>
      </c>
      <c r="CP70">
        <v>96101</v>
      </c>
      <c r="CQ70">
        <v>96232</v>
      </c>
      <c r="CR70">
        <v>96316</v>
      </c>
      <c r="CS70">
        <v>96461</v>
      </c>
      <c r="CT70">
        <v>96445</v>
      </c>
      <c r="CU70">
        <v>96585</v>
      </c>
      <c r="CV70">
        <v>96658</v>
      </c>
      <c r="CW70">
        <v>96696</v>
      </c>
    </row>
    <row r="71" spans="1:101" x14ac:dyDescent="0.25">
      <c r="A71" t="s">
        <v>59</v>
      </c>
      <c r="B71">
        <v>62392</v>
      </c>
      <c r="C71">
        <v>63627</v>
      </c>
      <c r="D71">
        <v>65625</v>
      </c>
      <c r="E71">
        <v>65403</v>
      </c>
      <c r="F71">
        <v>66273</v>
      </c>
      <c r="G71">
        <v>67519</v>
      </c>
      <c r="H71">
        <v>67685</v>
      </c>
      <c r="I71">
        <v>68825</v>
      </c>
      <c r="J71">
        <v>69873</v>
      </c>
      <c r="K71">
        <v>70800</v>
      </c>
      <c r="L71">
        <v>70638</v>
      </c>
      <c r="M71">
        <v>70376</v>
      </c>
      <c r="N71">
        <v>73354</v>
      </c>
      <c r="O71">
        <v>72528</v>
      </c>
      <c r="P71">
        <v>72766</v>
      </c>
      <c r="Q71">
        <v>73459</v>
      </c>
      <c r="R71">
        <v>73612</v>
      </c>
      <c r="S71">
        <v>73587</v>
      </c>
      <c r="T71">
        <v>74669</v>
      </c>
      <c r="U71">
        <v>77107</v>
      </c>
      <c r="V71">
        <v>77752</v>
      </c>
      <c r="W71">
        <v>77601</v>
      </c>
      <c r="X71">
        <v>79362</v>
      </c>
      <c r="Y71">
        <v>80277</v>
      </c>
      <c r="Z71">
        <v>80445</v>
      </c>
      <c r="AA71">
        <v>80799</v>
      </c>
      <c r="AB71">
        <v>81271</v>
      </c>
      <c r="AC71">
        <v>81828</v>
      </c>
      <c r="AD71">
        <v>82302</v>
      </c>
      <c r="AE71">
        <v>82619</v>
      </c>
      <c r="AF71">
        <v>83064</v>
      </c>
      <c r="AG71">
        <v>83894</v>
      </c>
      <c r="AH71">
        <v>84286</v>
      </c>
      <c r="AI71">
        <v>84691</v>
      </c>
      <c r="AJ71">
        <v>85066</v>
      </c>
      <c r="AK71">
        <v>85333</v>
      </c>
      <c r="AL71">
        <v>85389</v>
      </c>
      <c r="AM71">
        <v>85831</v>
      </c>
      <c r="AN71">
        <v>85695</v>
      </c>
      <c r="AO71">
        <v>85534</v>
      </c>
      <c r="AP71">
        <v>85758</v>
      </c>
      <c r="AQ71">
        <v>85542</v>
      </c>
      <c r="AR71">
        <v>85696</v>
      </c>
      <c r="AS71">
        <v>85598</v>
      </c>
      <c r="AT71">
        <v>84697</v>
      </c>
      <c r="AU71">
        <v>84473</v>
      </c>
      <c r="AV71">
        <v>87372</v>
      </c>
      <c r="AW71">
        <v>87825</v>
      </c>
      <c r="AX71">
        <v>88193</v>
      </c>
      <c r="AY71">
        <v>88443</v>
      </c>
      <c r="AZ71">
        <v>88425</v>
      </c>
      <c r="BA71">
        <v>88446</v>
      </c>
      <c r="BB71">
        <v>88778</v>
      </c>
      <c r="BC71">
        <v>88767</v>
      </c>
      <c r="BD71">
        <v>88874</v>
      </c>
      <c r="BE71">
        <v>89149</v>
      </c>
      <c r="BF71">
        <v>89385</v>
      </c>
      <c r="BG71">
        <v>89764</v>
      </c>
      <c r="BH71">
        <v>89876</v>
      </c>
      <c r="BI71">
        <v>90117</v>
      </c>
      <c r="BJ71">
        <v>90582</v>
      </c>
      <c r="BK71">
        <v>90741</v>
      </c>
      <c r="BL71">
        <v>91013</v>
      </c>
      <c r="BM71">
        <v>91208</v>
      </c>
      <c r="BN71">
        <v>91587</v>
      </c>
      <c r="BO71">
        <v>91690</v>
      </c>
      <c r="BP71">
        <v>91944</v>
      </c>
      <c r="BQ71">
        <v>92198</v>
      </c>
      <c r="BR71">
        <v>92391</v>
      </c>
      <c r="BS71">
        <v>92630</v>
      </c>
      <c r="BT71">
        <v>92815</v>
      </c>
      <c r="BU71">
        <v>93069</v>
      </c>
      <c r="BV71">
        <v>93244</v>
      </c>
      <c r="BW71">
        <v>93320</v>
      </c>
      <c r="BX71">
        <v>93539</v>
      </c>
      <c r="BY71">
        <v>93718</v>
      </c>
      <c r="BZ71">
        <v>93808</v>
      </c>
      <c r="CA71">
        <v>94077</v>
      </c>
      <c r="CB71">
        <v>94205</v>
      </c>
      <c r="CC71">
        <v>94372</v>
      </c>
      <c r="CD71">
        <v>94523</v>
      </c>
      <c r="CE71">
        <v>94661</v>
      </c>
      <c r="CF71">
        <v>94773</v>
      </c>
      <c r="CG71">
        <v>94809</v>
      </c>
      <c r="CH71">
        <v>94986</v>
      </c>
      <c r="CI71">
        <v>95063</v>
      </c>
      <c r="CJ71">
        <v>95164</v>
      </c>
      <c r="CK71">
        <v>95408</v>
      </c>
      <c r="CL71">
        <v>95570</v>
      </c>
      <c r="CM71">
        <v>95564</v>
      </c>
      <c r="CN71">
        <v>95672</v>
      </c>
      <c r="CO71">
        <v>95831</v>
      </c>
      <c r="CP71">
        <v>95888</v>
      </c>
      <c r="CQ71">
        <v>96024</v>
      </c>
      <c r="CR71">
        <v>96114</v>
      </c>
      <c r="CS71">
        <v>96264</v>
      </c>
      <c r="CT71">
        <v>96253</v>
      </c>
      <c r="CU71">
        <v>96399</v>
      </c>
      <c r="CV71">
        <v>96476</v>
      </c>
      <c r="CW71">
        <v>96520</v>
      </c>
    </row>
    <row r="72" spans="1:101" x14ac:dyDescent="0.25">
      <c r="A72" t="s">
        <v>58</v>
      </c>
      <c r="B72">
        <v>61633</v>
      </c>
      <c r="C72">
        <v>62824</v>
      </c>
      <c r="D72">
        <v>64836</v>
      </c>
      <c r="E72">
        <v>64607</v>
      </c>
      <c r="F72">
        <v>65508</v>
      </c>
      <c r="G72">
        <v>66672</v>
      </c>
      <c r="H72">
        <v>66866</v>
      </c>
      <c r="I72">
        <v>68051</v>
      </c>
      <c r="J72">
        <v>69054</v>
      </c>
      <c r="K72">
        <v>70063</v>
      </c>
      <c r="L72">
        <v>69921</v>
      </c>
      <c r="M72">
        <v>69583</v>
      </c>
      <c r="N72">
        <v>72626</v>
      </c>
      <c r="O72">
        <v>71806</v>
      </c>
      <c r="P72">
        <v>72012</v>
      </c>
      <c r="Q72">
        <v>72716</v>
      </c>
      <c r="R72">
        <v>72861</v>
      </c>
      <c r="S72">
        <v>72910</v>
      </c>
      <c r="T72">
        <v>73937</v>
      </c>
      <c r="U72">
        <v>76427</v>
      </c>
      <c r="V72">
        <v>77011</v>
      </c>
      <c r="W72">
        <v>76895</v>
      </c>
      <c r="X72">
        <v>78676</v>
      </c>
      <c r="Y72">
        <v>79555</v>
      </c>
      <c r="Z72">
        <v>79723</v>
      </c>
      <c r="AA72">
        <v>80051</v>
      </c>
      <c r="AB72">
        <v>80531</v>
      </c>
      <c r="AC72">
        <v>81041</v>
      </c>
      <c r="AD72">
        <v>81553</v>
      </c>
      <c r="AE72">
        <v>81861</v>
      </c>
      <c r="AF72">
        <v>82292</v>
      </c>
      <c r="AG72">
        <v>83150</v>
      </c>
      <c r="AH72">
        <v>83571</v>
      </c>
      <c r="AI72">
        <v>83945</v>
      </c>
      <c r="AJ72">
        <v>84321</v>
      </c>
      <c r="AK72">
        <v>84605</v>
      </c>
      <c r="AL72">
        <v>84645</v>
      </c>
      <c r="AM72">
        <v>85121</v>
      </c>
      <c r="AN72">
        <v>84974</v>
      </c>
      <c r="AO72">
        <v>84871</v>
      </c>
      <c r="AP72">
        <v>85087</v>
      </c>
      <c r="AQ72">
        <v>84890</v>
      </c>
      <c r="AR72">
        <v>85054</v>
      </c>
      <c r="AS72">
        <v>84970</v>
      </c>
      <c r="AT72">
        <v>84066</v>
      </c>
      <c r="AU72">
        <v>83888</v>
      </c>
      <c r="AV72">
        <v>86792</v>
      </c>
      <c r="AW72">
        <v>87199</v>
      </c>
      <c r="AX72">
        <v>87582</v>
      </c>
      <c r="AY72">
        <v>87799</v>
      </c>
      <c r="AZ72">
        <v>87821</v>
      </c>
      <c r="BA72">
        <v>87794</v>
      </c>
      <c r="BB72">
        <v>88190</v>
      </c>
      <c r="BC72">
        <v>88146</v>
      </c>
      <c r="BD72">
        <v>88274</v>
      </c>
      <c r="BE72">
        <v>88526</v>
      </c>
      <c r="BF72">
        <v>88782</v>
      </c>
      <c r="BG72">
        <v>89191</v>
      </c>
      <c r="BH72">
        <v>89328</v>
      </c>
      <c r="BI72">
        <v>89587</v>
      </c>
      <c r="BJ72">
        <v>90066</v>
      </c>
      <c r="BK72">
        <v>90238</v>
      </c>
      <c r="BL72">
        <v>90522</v>
      </c>
      <c r="BM72">
        <v>90728</v>
      </c>
      <c r="BN72">
        <v>91119</v>
      </c>
      <c r="BO72">
        <v>91234</v>
      </c>
      <c r="BP72">
        <v>91501</v>
      </c>
      <c r="BQ72">
        <v>91767</v>
      </c>
      <c r="BR72">
        <v>91971</v>
      </c>
      <c r="BS72">
        <v>92222</v>
      </c>
      <c r="BT72">
        <v>92416</v>
      </c>
      <c r="BU72">
        <v>92681</v>
      </c>
      <c r="BV72">
        <v>92866</v>
      </c>
      <c r="BW72">
        <v>92953</v>
      </c>
      <c r="BX72">
        <v>93181</v>
      </c>
      <c r="BY72">
        <v>93369</v>
      </c>
      <c r="BZ72">
        <v>93469</v>
      </c>
      <c r="CA72">
        <v>93747</v>
      </c>
      <c r="CB72">
        <v>93884</v>
      </c>
      <c r="CC72">
        <v>94059</v>
      </c>
      <c r="CD72">
        <v>94218</v>
      </c>
      <c r="CE72">
        <v>94365</v>
      </c>
      <c r="CF72">
        <v>94484</v>
      </c>
      <c r="CG72">
        <v>94528</v>
      </c>
      <c r="CH72">
        <v>94712</v>
      </c>
      <c r="CI72">
        <v>94797</v>
      </c>
      <c r="CJ72">
        <v>94905</v>
      </c>
      <c r="CK72">
        <v>95157</v>
      </c>
      <c r="CL72">
        <v>95325</v>
      </c>
      <c r="CM72">
        <v>95327</v>
      </c>
      <c r="CN72">
        <v>95440</v>
      </c>
      <c r="CO72">
        <v>95605</v>
      </c>
      <c r="CP72">
        <v>95668</v>
      </c>
      <c r="CQ72">
        <v>95811</v>
      </c>
      <c r="CR72">
        <v>95906</v>
      </c>
      <c r="CS72">
        <v>96062</v>
      </c>
      <c r="CT72">
        <v>96057</v>
      </c>
      <c r="CU72">
        <v>96208</v>
      </c>
      <c r="CV72">
        <v>96291</v>
      </c>
      <c r="CW72">
        <v>96339</v>
      </c>
    </row>
    <row r="73" spans="1:101" x14ac:dyDescent="0.25">
      <c r="A73" t="s">
        <v>57</v>
      </c>
      <c r="B73">
        <v>60756</v>
      </c>
      <c r="C73">
        <v>61969</v>
      </c>
      <c r="D73">
        <v>63962</v>
      </c>
      <c r="E73">
        <v>63779</v>
      </c>
      <c r="F73">
        <v>64659</v>
      </c>
      <c r="G73">
        <v>65767</v>
      </c>
      <c r="H73">
        <v>66004</v>
      </c>
      <c r="I73">
        <v>67205</v>
      </c>
      <c r="J73">
        <v>68214</v>
      </c>
      <c r="K73">
        <v>69291</v>
      </c>
      <c r="L73">
        <v>69119</v>
      </c>
      <c r="M73">
        <v>68763</v>
      </c>
      <c r="N73">
        <v>71777</v>
      </c>
      <c r="O73">
        <v>71063</v>
      </c>
      <c r="P73">
        <v>71219</v>
      </c>
      <c r="Q73">
        <v>71989</v>
      </c>
      <c r="R73">
        <v>72077</v>
      </c>
      <c r="S73">
        <v>72191</v>
      </c>
      <c r="T73">
        <v>73158</v>
      </c>
      <c r="U73">
        <v>75636</v>
      </c>
      <c r="V73">
        <v>76263</v>
      </c>
      <c r="W73">
        <v>76132</v>
      </c>
      <c r="X73">
        <v>77890</v>
      </c>
      <c r="Y73">
        <v>78761</v>
      </c>
      <c r="Z73">
        <v>78952</v>
      </c>
      <c r="AA73">
        <v>79301</v>
      </c>
      <c r="AB73">
        <v>79761</v>
      </c>
      <c r="AC73">
        <v>80210</v>
      </c>
      <c r="AD73">
        <v>80753</v>
      </c>
      <c r="AE73">
        <v>81028</v>
      </c>
      <c r="AF73">
        <v>81457</v>
      </c>
      <c r="AG73">
        <v>82384</v>
      </c>
      <c r="AH73">
        <v>82714</v>
      </c>
      <c r="AI73">
        <v>83189</v>
      </c>
      <c r="AJ73">
        <v>83473</v>
      </c>
      <c r="AK73">
        <v>83836</v>
      </c>
      <c r="AL73">
        <v>83924</v>
      </c>
      <c r="AM73">
        <v>84345</v>
      </c>
      <c r="AN73">
        <v>84272</v>
      </c>
      <c r="AO73">
        <v>84175</v>
      </c>
      <c r="AP73">
        <v>84370</v>
      </c>
      <c r="AQ73">
        <v>84252</v>
      </c>
      <c r="AR73">
        <v>84426</v>
      </c>
      <c r="AS73">
        <v>84244</v>
      </c>
      <c r="AT73">
        <v>83406</v>
      </c>
      <c r="AU73">
        <v>83234</v>
      </c>
      <c r="AV73">
        <v>86136</v>
      </c>
      <c r="AW73">
        <v>86456</v>
      </c>
      <c r="AX73">
        <v>86911</v>
      </c>
      <c r="AY73">
        <v>87149</v>
      </c>
      <c r="AZ73">
        <v>87152</v>
      </c>
      <c r="BA73">
        <v>87092</v>
      </c>
      <c r="BB73">
        <v>87567</v>
      </c>
      <c r="BC73">
        <v>87451</v>
      </c>
      <c r="BD73">
        <v>87637</v>
      </c>
      <c r="BE73">
        <v>87875</v>
      </c>
      <c r="BF73">
        <v>88168</v>
      </c>
      <c r="BG73">
        <v>88603</v>
      </c>
      <c r="BH73">
        <v>88760</v>
      </c>
      <c r="BI73">
        <v>89036</v>
      </c>
      <c r="BJ73">
        <v>89527</v>
      </c>
      <c r="BK73">
        <v>89713</v>
      </c>
      <c r="BL73">
        <v>90009</v>
      </c>
      <c r="BM73">
        <v>90229</v>
      </c>
      <c r="BN73">
        <v>90631</v>
      </c>
      <c r="BO73">
        <v>90760</v>
      </c>
      <c r="BP73">
        <v>91040</v>
      </c>
      <c r="BQ73">
        <v>91318</v>
      </c>
      <c r="BR73">
        <v>91534</v>
      </c>
      <c r="BS73">
        <v>91797</v>
      </c>
      <c r="BT73">
        <v>92002</v>
      </c>
      <c r="BU73">
        <v>92278</v>
      </c>
      <c r="BV73">
        <v>92475</v>
      </c>
      <c r="BW73">
        <v>92572</v>
      </c>
      <c r="BX73">
        <v>92810</v>
      </c>
      <c r="BY73">
        <v>93008</v>
      </c>
      <c r="BZ73">
        <v>93117</v>
      </c>
      <c r="CA73">
        <v>93405</v>
      </c>
      <c r="CB73">
        <v>93551</v>
      </c>
      <c r="CC73">
        <v>93735</v>
      </c>
      <c r="CD73">
        <v>93904</v>
      </c>
      <c r="CE73">
        <v>94058</v>
      </c>
      <c r="CF73">
        <v>94186</v>
      </c>
      <c r="CG73">
        <v>94239</v>
      </c>
      <c r="CH73">
        <v>94430</v>
      </c>
      <c r="CI73">
        <v>94523</v>
      </c>
      <c r="CJ73">
        <v>94640</v>
      </c>
      <c r="CK73">
        <v>94898</v>
      </c>
      <c r="CL73">
        <v>95073</v>
      </c>
      <c r="CM73">
        <v>95082</v>
      </c>
      <c r="CN73">
        <v>95202</v>
      </c>
      <c r="CO73">
        <v>95374</v>
      </c>
      <c r="CP73">
        <v>95443</v>
      </c>
      <c r="CQ73">
        <v>95592</v>
      </c>
      <c r="CR73">
        <v>95694</v>
      </c>
      <c r="CS73">
        <v>95855</v>
      </c>
      <c r="CT73">
        <v>95857</v>
      </c>
      <c r="CU73">
        <v>96014</v>
      </c>
      <c r="CV73">
        <v>96102</v>
      </c>
      <c r="CW73">
        <v>96156</v>
      </c>
    </row>
    <row r="74" spans="1:101" x14ac:dyDescent="0.25">
      <c r="A74" t="s">
        <v>56</v>
      </c>
      <c r="B74">
        <v>59852</v>
      </c>
      <c r="C74">
        <v>61107</v>
      </c>
      <c r="D74">
        <v>63000</v>
      </c>
      <c r="E74">
        <v>62792</v>
      </c>
      <c r="F74">
        <v>63738</v>
      </c>
      <c r="G74">
        <v>64859</v>
      </c>
      <c r="H74">
        <v>65121</v>
      </c>
      <c r="I74">
        <v>66265</v>
      </c>
      <c r="J74">
        <v>67263</v>
      </c>
      <c r="K74">
        <v>68476</v>
      </c>
      <c r="L74">
        <v>68250</v>
      </c>
      <c r="M74">
        <v>67909</v>
      </c>
      <c r="N74">
        <v>70969</v>
      </c>
      <c r="O74">
        <v>70223</v>
      </c>
      <c r="P74">
        <v>70435</v>
      </c>
      <c r="Q74">
        <v>71163</v>
      </c>
      <c r="R74">
        <v>71232</v>
      </c>
      <c r="S74">
        <v>71394</v>
      </c>
      <c r="T74">
        <v>72267</v>
      </c>
      <c r="U74">
        <v>74760</v>
      </c>
      <c r="V74">
        <v>75358</v>
      </c>
      <c r="W74">
        <v>75312</v>
      </c>
      <c r="X74">
        <v>77033</v>
      </c>
      <c r="Y74">
        <v>77873</v>
      </c>
      <c r="Z74">
        <v>78139</v>
      </c>
      <c r="AA74">
        <v>78360</v>
      </c>
      <c r="AB74">
        <v>78874</v>
      </c>
      <c r="AC74">
        <v>79323</v>
      </c>
      <c r="AD74">
        <v>79910</v>
      </c>
      <c r="AE74">
        <v>80119</v>
      </c>
      <c r="AF74">
        <v>80563</v>
      </c>
      <c r="AG74">
        <v>81526</v>
      </c>
      <c r="AH74">
        <v>81813</v>
      </c>
      <c r="AI74">
        <v>82357</v>
      </c>
      <c r="AJ74">
        <v>82585</v>
      </c>
      <c r="AK74">
        <v>83016</v>
      </c>
      <c r="AL74">
        <v>83106</v>
      </c>
      <c r="AM74">
        <v>83465</v>
      </c>
      <c r="AN74">
        <v>83505</v>
      </c>
      <c r="AO74">
        <v>83456</v>
      </c>
      <c r="AP74">
        <v>83643</v>
      </c>
      <c r="AQ74">
        <v>83537</v>
      </c>
      <c r="AR74">
        <v>83707</v>
      </c>
      <c r="AS74">
        <v>83556</v>
      </c>
      <c r="AT74">
        <v>82701</v>
      </c>
      <c r="AU74">
        <v>82482</v>
      </c>
      <c r="AV74">
        <v>85402</v>
      </c>
      <c r="AW74">
        <v>85713</v>
      </c>
      <c r="AX74">
        <v>86185</v>
      </c>
      <c r="AY74">
        <v>86406</v>
      </c>
      <c r="AZ74">
        <v>86439</v>
      </c>
      <c r="BA74">
        <v>86343</v>
      </c>
      <c r="BB74">
        <v>86831</v>
      </c>
      <c r="BC74">
        <v>86762</v>
      </c>
      <c r="BD74">
        <v>86937</v>
      </c>
      <c r="BE74">
        <v>87218</v>
      </c>
      <c r="BF74">
        <v>87539</v>
      </c>
      <c r="BG74">
        <v>87996</v>
      </c>
      <c r="BH74">
        <v>88171</v>
      </c>
      <c r="BI74">
        <v>88462</v>
      </c>
      <c r="BJ74">
        <v>88965</v>
      </c>
      <c r="BK74">
        <v>89165</v>
      </c>
      <c r="BL74">
        <v>89474</v>
      </c>
      <c r="BM74">
        <v>89708</v>
      </c>
      <c r="BN74">
        <v>90125</v>
      </c>
      <c r="BO74">
        <v>90268</v>
      </c>
      <c r="BP74">
        <v>90561</v>
      </c>
      <c r="BQ74">
        <v>90852</v>
      </c>
      <c r="BR74">
        <v>91081</v>
      </c>
      <c r="BS74">
        <v>91355</v>
      </c>
      <c r="BT74">
        <v>91573</v>
      </c>
      <c r="BU74">
        <v>91860</v>
      </c>
      <c r="BV74">
        <v>92068</v>
      </c>
      <c r="BW74">
        <v>92176</v>
      </c>
      <c r="BX74">
        <v>92426</v>
      </c>
      <c r="BY74">
        <v>92634</v>
      </c>
      <c r="BZ74">
        <v>92754</v>
      </c>
      <c r="CA74">
        <v>93051</v>
      </c>
      <c r="CB74">
        <v>93207</v>
      </c>
      <c r="CC74">
        <v>93401</v>
      </c>
      <c r="CD74">
        <v>93579</v>
      </c>
      <c r="CE74">
        <v>93742</v>
      </c>
      <c r="CF74">
        <v>93879</v>
      </c>
      <c r="CG74">
        <v>93941</v>
      </c>
      <c r="CH74">
        <v>94140</v>
      </c>
      <c r="CI74">
        <v>94241</v>
      </c>
      <c r="CJ74">
        <v>94366</v>
      </c>
      <c r="CK74">
        <v>94632</v>
      </c>
      <c r="CL74">
        <v>94814</v>
      </c>
      <c r="CM74">
        <v>94831</v>
      </c>
      <c r="CN74">
        <v>94959</v>
      </c>
      <c r="CO74">
        <v>95137</v>
      </c>
      <c r="CP74">
        <v>95213</v>
      </c>
      <c r="CQ74">
        <v>95370</v>
      </c>
      <c r="CR74">
        <v>95478</v>
      </c>
      <c r="CS74">
        <v>95645</v>
      </c>
      <c r="CT74">
        <v>95653</v>
      </c>
      <c r="CU74">
        <v>95816</v>
      </c>
      <c r="CV74">
        <v>95910</v>
      </c>
      <c r="CW74">
        <v>95970</v>
      </c>
    </row>
    <row r="75" spans="1:101" x14ac:dyDescent="0.25">
      <c r="A75" t="s">
        <v>55</v>
      </c>
      <c r="B75">
        <v>58848</v>
      </c>
      <c r="C75">
        <v>60106</v>
      </c>
      <c r="D75">
        <v>61931</v>
      </c>
      <c r="E75">
        <v>61788</v>
      </c>
      <c r="F75">
        <v>62694</v>
      </c>
      <c r="G75">
        <v>63859</v>
      </c>
      <c r="H75">
        <v>64132</v>
      </c>
      <c r="I75">
        <v>65277</v>
      </c>
      <c r="J75">
        <v>66258</v>
      </c>
      <c r="K75">
        <v>67489</v>
      </c>
      <c r="L75">
        <v>67349</v>
      </c>
      <c r="M75">
        <v>67039</v>
      </c>
      <c r="N75">
        <v>70001</v>
      </c>
      <c r="O75">
        <v>69300</v>
      </c>
      <c r="P75">
        <v>69523</v>
      </c>
      <c r="Q75">
        <v>70266</v>
      </c>
      <c r="R75">
        <v>70380</v>
      </c>
      <c r="S75">
        <v>70502</v>
      </c>
      <c r="T75">
        <v>71373</v>
      </c>
      <c r="U75">
        <v>73818</v>
      </c>
      <c r="V75">
        <v>74456</v>
      </c>
      <c r="W75">
        <v>74407</v>
      </c>
      <c r="X75">
        <v>76114</v>
      </c>
      <c r="Y75">
        <v>76873</v>
      </c>
      <c r="Z75">
        <v>77178</v>
      </c>
      <c r="AA75">
        <v>77448</v>
      </c>
      <c r="AB75">
        <v>77900</v>
      </c>
      <c r="AC75">
        <v>78390</v>
      </c>
      <c r="AD75">
        <v>78963</v>
      </c>
      <c r="AE75">
        <v>79119</v>
      </c>
      <c r="AF75">
        <v>79633</v>
      </c>
      <c r="AG75">
        <v>80643</v>
      </c>
      <c r="AH75">
        <v>80901</v>
      </c>
      <c r="AI75">
        <v>81470</v>
      </c>
      <c r="AJ75">
        <v>81680</v>
      </c>
      <c r="AK75">
        <v>82076</v>
      </c>
      <c r="AL75">
        <v>82268</v>
      </c>
      <c r="AM75">
        <v>82610</v>
      </c>
      <c r="AN75">
        <v>82711</v>
      </c>
      <c r="AO75">
        <v>82643</v>
      </c>
      <c r="AP75">
        <v>82877</v>
      </c>
      <c r="AQ75">
        <v>82780</v>
      </c>
      <c r="AR75">
        <v>82934</v>
      </c>
      <c r="AS75">
        <v>82747</v>
      </c>
      <c r="AT75">
        <v>81895</v>
      </c>
      <c r="AU75">
        <v>81725</v>
      </c>
      <c r="AV75">
        <v>84677</v>
      </c>
      <c r="AW75">
        <v>84942</v>
      </c>
      <c r="AX75">
        <v>85403</v>
      </c>
      <c r="AY75">
        <v>85619</v>
      </c>
      <c r="AZ75">
        <v>85672</v>
      </c>
      <c r="BA75">
        <v>85601</v>
      </c>
      <c r="BB75">
        <v>86069</v>
      </c>
      <c r="BC75">
        <v>86008</v>
      </c>
      <c r="BD75">
        <v>86231</v>
      </c>
      <c r="BE75">
        <v>86545</v>
      </c>
      <c r="BF75">
        <v>86892</v>
      </c>
      <c r="BG75">
        <v>87365</v>
      </c>
      <c r="BH75">
        <v>87557</v>
      </c>
      <c r="BI75">
        <v>87862</v>
      </c>
      <c r="BJ75">
        <v>88378</v>
      </c>
      <c r="BK75">
        <v>88594</v>
      </c>
      <c r="BL75">
        <v>88917</v>
      </c>
      <c r="BM75">
        <v>89167</v>
      </c>
      <c r="BN75">
        <v>89598</v>
      </c>
      <c r="BO75">
        <v>89757</v>
      </c>
      <c r="BP75">
        <v>90064</v>
      </c>
      <c r="BQ75">
        <v>90368</v>
      </c>
      <c r="BR75">
        <v>90610</v>
      </c>
      <c r="BS75">
        <v>90898</v>
      </c>
      <c r="BT75">
        <v>91127</v>
      </c>
      <c r="BU75">
        <v>91426</v>
      </c>
      <c r="BV75">
        <v>91646</v>
      </c>
      <c r="BW75">
        <v>91767</v>
      </c>
      <c r="BX75">
        <v>92027</v>
      </c>
      <c r="BY75">
        <v>92246</v>
      </c>
      <c r="BZ75">
        <v>92378</v>
      </c>
      <c r="CA75">
        <v>92685</v>
      </c>
      <c r="CB75">
        <v>92852</v>
      </c>
      <c r="CC75">
        <v>93055</v>
      </c>
      <c r="CD75">
        <v>93243</v>
      </c>
      <c r="CE75">
        <v>93416</v>
      </c>
      <c r="CF75">
        <v>93563</v>
      </c>
      <c r="CG75">
        <v>93634</v>
      </c>
      <c r="CH75">
        <v>93842</v>
      </c>
      <c r="CI75">
        <v>93952</v>
      </c>
      <c r="CJ75">
        <v>94085</v>
      </c>
      <c r="CK75">
        <v>94359</v>
      </c>
      <c r="CL75">
        <v>94549</v>
      </c>
      <c r="CM75">
        <v>94574</v>
      </c>
      <c r="CN75">
        <v>94710</v>
      </c>
      <c r="CO75">
        <v>94895</v>
      </c>
      <c r="CP75">
        <v>94979</v>
      </c>
      <c r="CQ75">
        <v>95143</v>
      </c>
      <c r="CR75">
        <v>95257</v>
      </c>
      <c r="CS75">
        <v>95431</v>
      </c>
      <c r="CT75">
        <v>95446</v>
      </c>
      <c r="CU75">
        <v>95616</v>
      </c>
      <c r="CV75">
        <v>95715</v>
      </c>
      <c r="CW75">
        <v>95782</v>
      </c>
    </row>
    <row r="76" spans="1:101" x14ac:dyDescent="0.25">
      <c r="A76" t="s">
        <v>54</v>
      </c>
      <c r="B76">
        <v>57768</v>
      </c>
      <c r="C76">
        <v>58999</v>
      </c>
      <c r="D76">
        <v>60774</v>
      </c>
      <c r="E76">
        <v>60723</v>
      </c>
      <c r="F76">
        <v>61582</v>
      </c>
      <c r="G76">
        <v>62759</v>
      </c>
      <c r="H76">
        <v>62992</v>
      </c>
      <c r="I76">
        <v>64163</v>
      </c>
      <c r="J76">
        <v>65205</v>
      </c>
      <c r="K76">
        <v>66465</v>
      </c>
      <c r="L76">
        <v>66301</v>
      </c>
      <c r="M76">
        <v>66102</v>
      </c>
      <c r="N76">
        <v>68982</v>
      </c>
      <c r="O76">
        <v>68248</v>
      </c>
      <c r="P76">
        <v>68576</v>
      </c>
      <c r="Q76">
        <v>69310</v>
      </c>
      <c r="R76">
        <v>69401</v>
      </c>
      <c r="S76">
        <v>69526</v>
      </c>
      <c r="T76">
        <v>70409</v>
      </c>
      <c r="U76">
        <v>72861</v>
      </c>
      <c r="V76">
        <v>73469</v>
      </c>
      <c r="W76">
        <v>73412</v>
      </c>
      <c r="X76">
        <v>75152</v>
      </c>
      <c r="Y76">
        <v>75845</v>
      </c>
      <c r="Z76">
        <v>76146</v>
      </c>
      <c r="AA76">
        <v>76416</v>
      </c>
      <c r="AB76">
        <v>76887</v>
      </c>
      <c r="AC76">
        <v>77284</v>
      </c>
      <c r="AD76">
        <v>77837</v>
      </c>
      <c r="AE76">
        <v>78083</v>
      </c>
      <c r="AF76">
        <v>78552</v>
      </c>
      <c r="AG76">
        <v>79596</v>
      </c>
      <c r="AH76">
        <v>79883</v>
      </c>
      <c r="AI76">
        <v>80475</v>
      </c>
      <c r="AJ76">
        <v>80683</v>
      </c>
      <c r="AK76">
        <v>81083</v>
      </c>
      <c r="AL76">
        <v>81380</v>
      </c>
      <c r="AM76">
        <v>81703</v>
      </c>
      <c r="AN76">
        <v>81817</v>
      </c>
      <c r="AO76">
        <v>81786</v>
      </c>
      <c r="AP76">
        <v>82006</v>
      </c>
      <c r="AQ76">
        <v>81991</v>
      </c>
      <c r="AR76">
        <v>82160</v>
      </c>
      <c r="AS76">
        <v>81933</v>
      </c>
      <c r="AT76">
        <v>81051</v>
      </c>
      <c r="AU76">
        <v>80883</v>
      </c>
      <c r="AV76">
        <v>83861</v>
      </c>
      <c r="AW76">
        <v>84075</v>
      </c>
      <c r="AX76">
        <v>84526</v>
      </c>
      <c r="AY76">
        <v>84842</v>
      </c>
      <c r="AZ76">
        <v>84878</v>
      </c>
      <c r="BA76">
        <v>84730</v>
      </c>
      <c r="BB76">
        <v>85251</v>
      </c>
      <c r="BC76">
        <v>85245</v>
      </c>
      <c r="BD76">
        <v>85503</v>
      </c>
      <c r="BE76">
        <v>85844</v>
      </c>
      <c r="BF76">
        <v>86210</v>
      </c>
      <c r="BG76">
        <v>86699</v>
      </c>
      <c r="BH76">
        <v>86908</v>
      </c>
      <c r="BI76">
        <v>87229</v>
      </c>
      <c r="BJ76">
        <v>87758</v>
      </c>
      <c r="BK76">
        <v>87991</v>
      </c>
      <c r="BL76">
        <v>88331</v>
      </c>
      <c r="BM76">
        <v>88597</v>
      </c>
      <c r="BN76">
        <v>89044</v>
      </c>
      <c r="BO76">
        <v>89218</v>
      </c>
      <c r="BP76">
        <v>89540</v>
      </c>
      <c r="BQ76">
        <v>89858</v>
      </c>
      <c r="BR76">
        <v>90113</v>
      </c>
      <c r="BS76">
        <v>90414</v>
      </c>
      <c r="BT76">
        <v>90657</v>
      </c>
      <c r="BU76">
        <v>90968</v>
      </c>
      <c r="BV76">
        <v>91201</v>
      </c>
      <c r="BW76">
        <v>91335</v>
      </c>
      <c r="BX76">
        <v>91607</v>
      </c>
      <c r="BY76">
        <v>91838</v>
      </c>
      <c r="BZ76">
        <v>91981</v>
      </c>
      <c r="CA76">
        <v>92299</v>
      </c>
      <c r="CB76">
        <v>92477</v>
      </c>
      <c r="CC76">
        <v>92690</v>
      </c>
      <c r="CD76">
        <v>92888</v>
      </c>
      <c r="CE76">
        <v>93071</v>
      </c>
      <c r="CF76">
        <v>93229</v>
      </c>
      <c r="CG76">
        <v>93310</v>
      </c>
      <c r="CH76">
        <v>93527</v>
      </c>
      <c r="CI76">
        <v>93646</v>
      </c>
      <c r="CJ76">
        <v>93788</v>
      </c>
      <c r="CK76">
        <v>94070</v>
      </c>
      <c r="CL76">
        <v>94269</v>
      </c>
      <c r="CM76">
        <v>94302</v>
      </c>
      <c r="CN76">
        <v>94447</v>
      </c>
      <c r="CO76">
        <v>94640</v>
      </c>
      <c r="CP76">
        <v>94731</v>
      </c>
      <c r="CQ76">
        <v>94903</v>
      </c>
      <c r="CR76">
        <v>95025</v>
      </c>
      <c r="CS76">
        <v>95205</v>
      </c>
      <c r="CT76">
        <v>95228</v>
      </c>
      <c r="CU76">
        <v>95403</v>
      </c>
      <c r="CV76">
        <v>95510</v>
      </c>
      <c r="CW76">
        <v>95583</v>
      </c>
    </row>
    <row r="77" spans="1:101" x14ac:dyDescent="0.25">
      <c r="A77" t="s">
        <v>53</v>
      </c>
      <c r="B77">
        <v>56521</v>
      </c>
      <c r="C77">
        <v>57803</v>
      </c>
      <c r="D77">
        <v>59532</v>
      </c>
      <c r="E77">
        <v>59476</v>
      </c>
      <c r="F77">
        <v>60470</v>
      </c>
      <c r="G77">
        <v>61595</v>
      </c>
      <c r="H77">
        <v>61869</v>
      </c>
      <c r="I77">
        <v>62981</v>
      </c>
      <c r="J77">
        <v>64083</v>
      </c>
      <c r="K77">
        <v>65352</v>
      </c>
      <c r="L77">
        <v>65226</v>
      </c>
      <c r="M77">
        <v>65060</v>
      </c>
      <c r="N77">
        <v>67902</v>
      </c>
      <c r="O77">
        <v>67211</v>
      </c>
      <c r="P77">
        <v>67532</v>
      </c>
      <c r="Q77">
        <v>68283</v>
      </c>
      <c r="R77">
        <v>68381</v>
      </c>
      <c r="S77">
        <v>68522</v>
      </c>
      <c r="T77">
        <v>69336</v>
      </c>
      <c r="U77">
        <v>71809</v>
      </c>
      <c r="V77">
        <v>72404</v>
      </c>
      <c r="W77">
        <v>72314</v>
      </c>
      <c r="X77">
        <v>74032</v>
      </c>
      <c r="Y77">
        <v>74792</v>
      </c>
      <c r="Z77">
        <v>75012</v>
      </c>
      <c r="AA77">
        <v>75308</v>
      </c>
      <c r="AB77">
        <v>75722</v>
      </c>
      <c r="AC77">
        <v>76104</v>
      </c>
      <c r="AD77">
        <v>76776</v>
      </c>
      <c r="AE77">
        <v>77005</v>
      </c>
      <c r="AF77">
        <v>77419</v>
      </c>
      <c r="AG77">
        <v>78463</v>
      </c>
      <c r="AH77">
        <v>78768</v>
      </c>
      <c r="AI77">
        <v>79426</v>
      </c>
      <c r="AJ77">
        <v>79633</v>
      </c>
      <c r="AK77">
        <v>80060</v>
      </c>
      <c r="AL77">
        <v>80426</v>
      </c>
      <c r="AM77">
        <v>80747</v>
      </c>
      <c r="AN77">
        <v>80841</v>
      </c>
      <c r="AO77">
        <v>80879</v>
      </c>
      <c r="AP77">
        <v>81108</v>
      </c>
      <c r="AQ77">
        <v>81065</v>
      </c>
      <c r="AR77">
        <v>81273</v>
      </c>
      <c r="AS77">
        <v>81044</v>
      </c>
      <c r="AT77">
        <v>80153</v>
      </c>
      <c r="AU77">
        <v>80001</v>
      </c>
      <c r="AV77">
        <v>82963</v>
      </c>
      <c r="AW77">
        <v>83156</v>
      </c>
      <c r="AX77">
        <v>83633</v>
      </c>
      <c r="AY77">
        <v>84004</v>
      </c>
      <c r="AZ77">
        <v>84019</v>
      </c>
      <c r="BA77">
        <v>83842</v>
      </c>
      <c r="BB77">
        <v>84417</v>
      </c>
      <c r="BC77">
        <v>84449</v>
      </c>
      <c r="BD77">
        <v>84736</v>
      </c>
      <c r="BE77">
        <v>85097</v>
      </c>
      <c r="BF77">
        <v>85482</v>
      </c>
      <c r="BG77">
        <v>85987</v>
      </c>
      <c r="BH77">
        <v>86214</v>
      </c>
      <c r="BI77">
        <v>86552</v>
      </c>
      <c r="BJ77">
        <v>87097</v>
      </c>
      <c r="BK77">
        <v>87348</v>
      </c>
      <c r="BL77">
        <v>87705</v>
      </c>
      <c r="BM77">
        <v>87988</v>
      </c>
      <c r="BN77">
        <v>88450</v>
      </c>
      <c r="BO77">
        <v>88640</v>
      </c>
      <c r="BP77">
        <v>88976</v>
      </c>
      <c r="BQ77">
        <v>89310</v>
      </c>
      <c r="BR77">
        <v>89580</v>
      </c>
      <c r="BS77">
        <v>89894</v>
      </c>
      <c r="BT77">
        <v>90151</v>
      </c>
      <c r="BU77">
        <v>90475</v>
      </c>
      <c r="BV77">
        <v>90721</v>
      </c>
      <c r="BW77">
        <v>90869</v>
      </c>
      <c r="BX77">
        <v>91153</v>
      </c>
      <c r="BY77">
        <v>91396</v>
      </c>
      <c r="BZ77">
        <v>91553</v>
      </c>
      <c r="CA77">
        <v>91881</v>
      </c>
      <c r="CB77">
        <v>92071</v>
      </c>
      <c r="CC77">
        <v>92295</v>
      </c>
      <c r="CD77">
        <v>92504</v>
      </c>
      <c r="CE77">
        <v>92698</v>
      </c>
      <c r="CF77">
        <v>92866</v>
      </c>
      <c r="CG77">
        <v>92957</v>
      </c>
      <c r="CH77">
        <v>93184</v>
      </c>
      <c r="CI77">
        <v>93312</v>
      </c>
      <c r="CJ77">
        <v>93464</v>
      </c>
      <c r="CK77">
        <v>93755</v>
      </c>
      <c r="CL77">
        <v>93964</v>
      </c>
      <c r="CM77">
        <v>94006</v>
      </c>
      <c r="CN77">
        <v>94159</v>
      </c>
      <c r="CO77">
        <v>94360</v>
      </c>
      <c r="CP77">
        <v>94459</v>
      </c>
      <c r="CQ77">
        <v>94639</v>
      </c>
      <c r="CR77">
        <v>94769</v>
      </c>
      <c r="CS77">
        <v>94956</v>
      </c>
      <c r="CT77">
        <v>94987</v>
      </c>
      <c r="CU77">
        <v>95170</v>
      </c>
      <c r="CV77">
        <v>95282</v>
      </c>
      <c r="CW77">
        <v>95362</v>
      </c>
    </row>
    <row r="78" spans="1:101" x14ac:dyDescent="0.25">
      <c r="A78" t="s">
        <v>52</v>
      </c>
      <c r="B78">
        <v>55209</v>
      </c>
      <c r="C78">
        <v>56463</v>
      </c>
      <c r="D78">
        <v>58298</v>
      </c>
      <c r="E78">
        <v>58174</v>
      </c>
      <c r="F78">
        <v>59245</v>
      </c>
      <c r="G78">
        <v>60337</v>
      </c>
      <c r="H78">
        <v>60632</v>
      </c>
      <c r="I78">
        <v>61763</v>
      </c>
      <c r="J78">
        <v>62888</v>
      </c>
      <c r="K78">
        <v>64175</v>
      </c>
      <c r="L78">
        <v>64050</v>
      </c>
      <c r="M78">
        <v>63942</v>
      </c>
      <c r="N78">
        <v>66776</v>
      </c>
      <c r="O78">
        <v>66110</v>
      </c>
      <c r="P78">
        <v>66428</v>
      </c>
      <c r="Q78">
        <v>67117</v>
      </c>
      <c r="R78">
        <v>67265</v>
      </c>
      <c r="S78">
        <v>67405</v>
      </c>
      <c r="T78">
        <v>68204</v>
      </c>
      <c r="U78">
        <v>70653</v>
      </c>
      <c r="V78">
        <v>71284</v>
      </c>
      <c r="W78">
        <v>71137</v>
      </c>
      <c r="X78">
        <v>72856</v>
      </c>
      <c r="Y78">
        <v>73568</v>
      </c>
      <c r="Z78">
        <v>73844</v>
      </c>
      <c r="AA78">
        <v>74105</v>
      </c>
      <c r="AB78">
        <v>74504</v>
      </c>
      <c r="AC78">
        <v>74861</v>
      </c>
      <c r="AD78">
        <v>75619</v>
      </c>
      <c r="AE78">
        <v>75773</v>
      </c>
      <c r="AF78">
        <v>76220</v>
      </c>
      <c r="AG78">
        <v>77267</v>
      </c>
      <c r="AH78">
        <v>77547</v>
      </c>
      <c r="AI78">
        <v>78294</v>
      </c>
      <c r="AJ78">
        <v>78519</v>
      </c>
      <c r="AK78">
        <v>79041</v>
      </c>
      <c r="AL78">
        <v>79468</v>
      </c>
      <c r="AM78">
        <v>79714</v>
      </c>
      <c r="AN78">
        <v>79866</v>
      </c>
      <c r="AO78">
        <v>79925</v>
      </c>
      <c r="AP78">
        <v>80138</v>
      </c>
      <c r="AQ78">
        <v>80050</v>
      </c>
      <c r="AR78">
        <v>80326</v>
      </c>
      <c r="AS78">
        <v>80053</v>
      </c>
      <c r="AT78">
        <v>79210</v>
      </c>
      <c r="AU78">
        <v>79032</v>
      </c>
      <c r="AV78">
        <v>81991</v>
      </c>
      <c r="AW78">
        <v>82216</v>
      </c>
      <c r="AX78">
        <v>82651</v>
      </c>
      <c r="AY78">
        <v>82980</v>
      </c>
      <c r="AZ78">
        <v>83048</v>
      </c>
      <c r="BA78">
        <v>82933</v>
      </c>
      <c r="BB78">
        <v>83542</v>
      </c>
      <c r="BC78">
        <v>83607</v>
      </c>
      <c r="BD78">
        <v>83915</v>
      </c>
      <c r="BE78">
        <v>84296</v>
      </c>
      <c r="BF78">
        <v>84700</v>
      </c>
      <c r="BG78">
        <v>85223</v>
      </c>
      <c r="BH78">
        <v>85469</v>
      </c>
      <c r="BI78">
        <v>85826</v>
      </c>
      <c r="BJ78">
        <v>86388</v>
      </c>
      <c r="BK78">
        <v>86657</v>
      </c>
      <c r="BL78">
        <v>87032</v>
      </c>
      <c r="BM78">
        <v>87332</v>
      </c>
      <c r="BN78">
        <v>87810</v>
      </c>
      <c r="BO78">
        <v>88017</v>
      </c>
      <c r="BP78">
        <v>88370</v>
      </c>
      <c r="BQ78">
        <v>88717</v>
      </c>
      <c r="BR78">
        <v>89003</v>
      </c>
      <c r="BS78">
        <v>89332</v>
      </c>
      <c r="BT78">
        <v>89604</v>
      </c>
      <c r="BU78">
        <v>89942</v>
      </c>
      <c r="BV78">
        <v>90201</v>
      </c>
      <c r="BW78">
        <v>90364</v>
      </c>
      <c r="BX78">
        <v>90661</v>
      </c>
      <c r="BY78">
        <v>90917</v>
      </c>
      <c r="BZ78">
        <v>91087</v>
      </c>
      <c r="CA78">
        <v>91426</v>
      </c>
      <c r="CB78">
        <v>91629</v>
      </c>
      <c r="CC78">
        <v>91865</v>
      </c>
      <c r="CD78">
        <v>92085</v>
      </c>
      <c r="CE78">
        <v>92290</v>
      </c>
      <c r="CF78">
        <v>92470</v>
      </c>
      <c r="CG78">
        <v>92572</v>
      </c>
      <c r="CH78">
        <v>92810</v>
      </c>
      <c r="CI78">
        <v>92947</v>
      </c>
      <c r="CJ78">
        <v>93110</v>
      </c>
      <c r="CK78">
        <v>93410</v>
      </c>
      <c r="CL78">
        <v>93628</v>
      </c>
      <c r="CM78">
        <v>93680</v>
      </c>
      <c r="CN78">
        <v>93841</v>
      </c>
      <c r="CO78">
        <v>94051</v>
      </c>
      <c r="CP78">
        <v>94160</v>
      </c>
      <c r="CQ78">
        <v>94349</v>
      </c>
      <c r="CR78">
        <v>94487</v>
      </c>
      <c r="CS78">
        <v>94682</v>
      </c>
      <c r="CT78">
        <v>94720</v>
      </c>
      <c r="CU78">
        <v>94910</v>
      </c>
      <c r="CV78">
        <v>95030</v>
      </c>
      <c r="CW78">
        <v>95117</v>
      </c>
    </row>
    <row r="79" spans="1:101" x14ac:dyDescent="0.25">
      <c r="A79" t="s">
        <v>51</v>
      </c>
      <c r="B79">
        <v>53870</v>
      </c>
      <c r="C79">
        <v>55059</v>
      </c>
      <c r="D79">
        <v>56918</v>
      </c>
      <c r="E79">
        <v>56826</v>
      </c>
      <c r="F79">
        <v>57903</v>
      </c>
      <c r="G79">
        <v>59002</v>
      </c>
      <c r="H79">
        <v>59337</v>
      </c>
      <c r="I79">
        <v>60461</v>
      </c>
      <c r="J79">
        <v>61538</v>
      </c>
      <c r="K79">
        <v>62922</v>
      </c>
      <c r="L79">
        <v>62832</v>
      </c>
      <c r="M79">
        <v>62699</v>
      </c>
      <c r="N79">
        <v>65520</v>
      </c>
      <c r="O79">
        <v>64840</v>
      </c>
      <c r="P79">
        <v>65147</v>
      </c>
      <c r="Q79">
        <v>65952</v>
      </c>
      <c r="R79">
        <v>66042</v>
      </c>
      <c r="S79">
        <v>66172</v>
      </c>
      <c r="T79">
        <v>66944</v>
      </c>
      <c r="U79">
        <v>69411</v>
      </c>
      <c r="V79">
        <v>69930</v>
      </c>
      <c r="W79">
        <v>69845</v>
      </c>
      <c r="X79">
        <v>71506</v>
      </c>
      <c r="Y79">
        <v>72277</v>
      </c>
      <c r="Z79">
        <v>72587</v>
      </c>
      <c r="AA79">
        <v>72749</v>
      </c>
      <c r="AB79">
        <v>73208</v>
      </c>
      <c r="AC79">
        <v>73563</v>
      </c>
      <c r="AD79">
        <v>74277</v>
      </c>
      <c r="AE79">
        <v>74503</v>
      </c>
      <c r="AF79">
        <v>74940</v>
      </c>
      <c r="AG79">
        <v>75956</v>
      </c>
      <c r="AH79">
        <v>76216</v>
      </c>
      <c r="AI79">
        <v>77038</v>
      </c>
      <c r="AJ79">
        <v>77324</v>
      </c>
      <c r="AK79">
        <v>77877</v>
      </c>
      <c r="AL79">
        <v>78439</v>
      </c>
      <c r="AM79">
        <v>78649</v>
      </c>
      <c r="AN79">
        <v>78790</v>
      </c>
      <c r="AO79">
        <v>78912</v>
      </c>
      <c r="AP79">
        <v>79096</v>
      </c>
      <c r="AQ79">
        <v>78956</v>
      </c>
      <c r="AR79">
        <v>79322</v>
      </c>
      <c r="AS79">
        <v>79016</v>
      </c>
      <c r="AT79">
        <v>78124</v>
      </c>
      <c r="AU79">
        <v>77982</v>
      </c>
      <c r="AV79">
        <v>80940</v>
      </c>
      <c r="AW79">
        <v>81163</v>
      </c>
      <c r="AX79">
        <v>81620</v>
      </c>
      <c r="AY79">
        <v>81921</v>
      </c>
      <c r="AZ79">
        <v>82050</v>
      </c>
      <c r="BA79">
        <v>81976</v>
      </c>
      <c r="BB79">
        <v>82611</v>
      </c>
      <c r="BC79">
        <v>82702</v>
      </c>
      <c r="BD79">
        <v>83033</v>
      </c>
      <c r="BE79">
        <v>83435</v>
      </c>
      <c r="BF79">
        <v>83860</v>
      </c>
      <c r="BG79">
        <v>84401</v>
      </c>
      <c r="BH79">
        <v>84668</v>
      </c>
      <c r="BI79">
        <v>85045</v>
      </c>
      <c r="BJ79">
        <v>85624</v>
      </c>
      <c r="BK79">
        <v>85913</v>
      </c>
      <c r="BL79">
        <v>86307</v>
      </c>
      <c r="BM79">
        <v>86625</v>
      </c>
      <c r="BN79">
        <v>87119</v>
      </c>
      <c r="BO79">
        <v>87344</v>
      </c>
      <c r="BP79">
        <v>87713</v>
      </c>
      <c r="BQ79">
        <v>88077</v>
      </c>
      <c r="BR79">
        <v>88378</v>
      </c>
      <c r="BS79">
        <v>88723</v>
      </c>
      <c r="BT79">
        <v>89009</v>
      </c>
      <c r="BU79">
        <v>89363</v>
      </c>
      <c r="BV79">
        <v>89636</v>
      </c>
      <c r="BW79">
        <v>89814</v>
      </c>
      <c r="BX79">
        <v>90125</v>
      </c>
      <c r="BY79">
        <v>90395</v>
      </c>
      <c r="BZ79">
        <v>90578</v>
      </c>
      <c r="CA79">
        <v>90930</v>
      </c>
      <c r="CB79">
        <v>91146</v>
      </c>
      <c r="CC79">
        <v>91395</v>
      </c>
      <c r="CD79">
        <v>91626</v>
      </c>
      <c r="CE79">
        <v>91843</v>
      </c>
      <c r="CF79">
        <v>92035</v>
      </c>
      <c r="CG79">
        <v>92149</v>
      </c>
      <c r="CH79">
        <v>92398</v>
      </c>
      <c r="CI79">
        <v>92547</v>
      </c>
      <c r="CJ79">
        <v>92720</v>
      </c>
      <c r="CK79">
        <v>93029</v>
      </c>
      <c r="CL79">
        <v>93257</v>
      </c>
      <c r="CM79">
        <v>93320</v>
      </c>
      <c r="CN79">
        <v>93491</v>
      </c>
      <c r="CO79">
        <v>93710</v>
      </c>
      <c r="CP79">
        <v>93828</v>
      </c>
      <c r="CQ79">
        <v>94026</v>
      </c>
      <c r="CR79">
        <v>94173</v>
      </c>
      <c r="CS79">
        <v>94376</v>
      </c>
      <c r="CT79">
        <v>94422</v>
      </c>
      <c r="CU79">
        <v>94620</v>
      </c>
      <c r="CV79">
        <v>94748</v>
      </c>
      <c r="CW79">
        <v>94843</v>
      </c>
    </row>
    <row r="80" spans="1:101" x14ac:dyDescent="0.25">
      <c r="A80" t="s">
        <v>50</v>
      </c>
      <c r="B80">
        <v>52409</v>
      </c>
      <c r="C80">
        <v>53619</v>
      </c>
      <c r="D80">
        <v>55467</v>
      </c>
      <c r="E80">
        <v>55368</v>
      </c>
      <c r="F80">
        <v>56418</v>
      </c>
      <c r="G80">
        <v>57648</v>
      </c>
      <c r="H80">
        <v>57925</v>
      </c>
      <c r="I80">
        <v>59099</v>
      </c>
      <c r="J80">
        <v>60134</v>
      </c>
      <c r="K80">
        <v>61575</v>
      </c>
      <c r="L80">
        <v>61472</v>
      </c>
      <c r="M80">
        <v>61465</v>
      </c>
      <c r="N80">
        <v>64148</v>
      </c>
      <c r="O80">
        <v>63457</v>
      </c>
      <c r="P80">
        <v>63743</v>
      </c>
      <c r="Q80">
        <v>64639</v>
      </c>
      <c r="R80">
        <v>64737</v>
      </c>
      <c r="S80">
        <v>64798</v>
      </c>
      <c r="T80">
        <v>65600</v>
      </c>
      <c r="U80">
        <v>68038</v>
      </c>
      <c r="V80">
        <v>68533</v>
      </c>
      <c r="W80">
        <v>68497</v>
      </c>
      <c r="X80">
        <v>70122</v>
      </c>
      <c r="Y80">
        <v>70873</v>
      </c>
      <c r="Z80">
        <v>71201</v>
      </c>
      <c r="AA80">
        <v>71326</v>
      </c>
      <c r="AB80">
        <v>71796</v>
      </c>
      <c r="AC80">
        <v>72075</v>
      </c>
      <c r="AD80">
        <v>72838</v>
      </c>
      <c r="AE80">
        <v>73075</v>
      </c>
      <c r="AF80">
        <v>73578</v>
      </c>
      <c r="AG80">
        <v>74608</v>
      </c>
      <c r="AH80">
        <v>74879</v>
      </c>
      <c r="AI80">
        <v>75746</v>
      </c>
      <c r="AJ80">
        <v>76101</v>
      </c>
      <c r="AK80">
        <v>76663</v>
      </c>
      <c r="AL80">
        <v>77213</v>
      </c>
      <c r="AM80">
        <v>77526</v>
      </c>
      <c r="AN80">
        <v>77687</v>
      </c>
      <c r="AO80">
        <v>77799</v>
      </c>
      <c r="AP80">
        <v>77888</v>
      </c>
      <c r="AQ80">
        <v>77880</v>
      </c>
      <c r="AR80">
        <v>78153</v>
      </c>
      <c r="AS80">
        <v>77869</v>
      </c>
      <c r="AT80">
        <v>76994</v>
      </c>
      <c r="AU80">
        <v>76868</v>
      </c>
      <c r="AV80">
        <v>79805</v>
      </c>
      <c r="AW80">
        <v>80051</v>
      </c>
      <c r="AX80">
        <v>80458</v>
      </c>
      <c r="AY80">
        <v>80823</v>
      </c>
      <c r="AZ80">
        <v>80991</v>
      </c>
      <c r="BA80">
        <v>80954</v>
      </c>
      <c r="BB80">
        <v>81610</v>
      </c>
      <c r="BC80">
        <v>81729</v>
      </c>
      <c r="BD80">
        <v>82084</v>
      </c>
      <c r="BE80">
        <v>82508</v>
      </c>
      <c r="BF80">
        <v>82955</v>
      </c>
      <c r="BG80">
        <v>83516</v>
      </c>
      <c r="BH80">
        <v>83806</v>
      </c>
      <c r="BI80">
        <v>84202</v>
      </c>
      <c r="BJ80">
        <v>84800</v>
      </c>
      <c r="BK80">
        <v>85109</v>
      </c>
      <c r="BL80">
        <v>85521</v>
      </c>
      <c r="BM80">
        <v>85858</v>
      </c>
      <c r="BN80">
        <v>86370</v>
      </c>
      <c r="BO80">
        <v>86614</v>
      </c>
      <c r="BP80">
        <v>87000</v>
      </c>
      <c r="BQ80">
        <v>87381</v>
      </c>
      <c r="BR80">
        <v>87699</v>
      </c>
      <c r="BS80">
        <v>88060</v>
      </c>
      <c r="BT80">
        <v>88362</v>
      </c>
      <c r="BU80">
        <v>88731</v>
      </c>
      <c r="BV80">
        <v>89021</v>
      </c>
      <c r="BW80">
        <v>89215</v>
      </c>
      <c r="BX80">
        <v>89539</v>
      </c>
      <c r="BY80">
        <v>89824</v>
      </c>
      <c r="BZ80">
        <v>90022</v>
      </c>
      <c r="CA80">
        <v>90387</v>
      </c>
      <c r="CB80">
        <v>90616</v>
      </c>
      <c r="CC80">
        <v>90879</v>
      </c>
      <c r="CD80">
        <v>91122</v>
      </c>
      <c r="CE80">
        <v>91352</v>
      </c>
      <c r="CF80">
        <v>91557</v>
      </c>
      <c r="CG80">
        <v>91682</v>
      </c>
      <c r="CH80">
        <v>91943</v>
      </c>
      <c r="CI80">
        <v>92104</v>
      </c>
      <c r="CJ80">
        <v>92288</v>
      </c>
      <c r="CK80">
        <v>92609</v>
      </c>
      <c r="CL80">
        <v>92847</v>
      </c>
      <c r="CM80">
        <v>92921</v>
      </c>
      <c r="CN80">
        <v>93102</v>
      </c>
      <c r="CO80">
        <v>93330</v>
      </c>
      <c r="CP80">
        <v>93459</v>
      </c>
      <c r="CQ80">
        <v>93666</v>
      </c>
      <c r="CR80">
        <v>93823</v>
      </c>
      <c r="CS80">
        <v>94035</v>
      </c>
      <c r="CT80">
        <v>94090</v>
      </c>
      <c r="CU80">
        <v>94296</v>
      </c>
      <c r="CV80">
        <v>94433</v>
      </c>
      <c r="CW80" t="s">
        <v>218</v>
      </c>
    </row>
    <row r="81" spans="1:101" x14ac:dyDescent="0.25">
      <c r="A81" t="s">
        <v>49</v>
      </c>
      <c r="B81">
        <v>50805</v>
      </c>
      <c r="C81">
        <v>52030</v>
      </c>
      <c r="D81">
        <v>53836</v>
      </c>
      <c r="E81">
        <v>53814</v>
      </c>
      <c r="F81">
        <v>54876</v>
      </c>
      <c r="G81">
        <v>56105</v>
      </c>
      <c r="H81">
        <v>56448</v>
      </c>
      <c r="I81">
        <v>57563</v>
      </c>
      <c r="J81">
        <v>58643</v>
      </c>
      <c r="K81">
        <v>60066</v>
      </c>
      <c r="L81">
        <v>59995</v>
      </c>
      <c r="M81">
        <v>60040</v>
      </c>
      <c r="N81">
        <v>62564</v>
      </c>
      <c r="O81">
        <v>61979</v>
      </c>
      <c r="P81">
        <v>62387</v>
      </c>
      <c r="Q81">
        <v>63222</v>
      </c>
      <c r="R81">
        <v>63254</v>
      </c>
      <c r="S81">
        <v>63360</v>
      </c>
      <c r="T81">
        <v>64121</v>
      </c>
      <c r="U81">
        <v>66588</v>
      </c>
      <c r="V81">
        <v>66911</v>
      </c>
      <c r="W81">
        <v>67012</v>
      </c>
      <c r="X81">
        <v>68667</v>
      </c>
      <c r="Y81">
        <v>69336</v>
      </c>
      <c r="Z81">
        <v>69731</v>
      </c>
      <c r="AA81">
        <v>69762</v>
      </c>
      <c r="AB81">
        <v>70270</v>
      </c>
      <c r="AC81">
        <v>70521</v>
      </c>
      <c r="AD81">
        <v>71245</v>
      </c>
      <c r="AE81">
        <v>71491</v>
      </c>
      <c r="AF81">
        <v>72068</v>
      </c>
      <c r="AG81">
        <v>73165</v>
      </c>
      <c r="AH81">
        <v>73507</v>
      </c>
      <c r="AI81">
        <v>74396</v>
      </c>
      <c r="AJ81">
        <v>74721</v>
      </c>
      <c r="AK81">
        <v>75364</v>
      </c>
      <c r="AL81">
        <v>75979</v>
      </c>
      <c r="AM81">
        <v>76255</v>
      </c>
      <c r="AN81">
        <v>76462</v>
      </c>
      <c r="AO81">
        <v>76630</v>
      </c>
      <c r="AP81">
        <v>76707</v>
      </c>
      <c r="AQ81">
        <v>76682</v>
      </c>
      <c r="AR81">
        <v>76998</v>
      </c>
      <c r="AS81">
        <v>76666</v>
      </c>
      <c r="AT81">
        <v>75797</v>
      </c>
      <c r="AU81">
        <v>75615</v>
      </c>
      <c r="AV81">
        <v>78596</v>
      </c>
      <c r="AW81">
        <v>78776</v>
      </c>
      <c r="AX81">
        <v>79251</v>
      </c>
      <c r="AY81">
        <v>79655</v>
      </c>
      <c r="AZ81">
        <v>79857</v>
      </c>
      <c r="BA81">
        <v>79851</v>
      </c>
      <c r="BB81">
        <v>80529</v>
      </c>
      <c r="BC81">
        <v>80675</v>
      </c>
      <c r="BD81">
        <v>81056</v>
      </c>
      <c r="BE81">
        <v>81503</v>
      </c>
      <c r="BF81">
        <v>81973</v>
      </c>
      <c r="BG81">
        <v>82554</v>
      </c>
      <c r="BH81">
        <v>82867</v>
      </c>
      <c r="BI81">
        <v>83285</v>
      </c>
      <c r="BJ81">
        <v>83902</v>
      </c>
      <c r="BK81">
        <v>84233</v>
      </c>
      <c r="BL81">
        <v>84664</v>
      </c>
      <c r="BM81">
        <v>85022</v>
      </c>
      <c r="BN81">
        <v>85551</v>
      </c>
      <c r="BO81">
        <v>85815</v>
      </c>
      <c r="BP81">
        <v>86220</v>
      </c>
      <c r="BQ81">
        <v>86618</v>
      </c>
      <c r="BR81">
        <v>86955</v>
      </c>
      <c r="BS81">
        <v>87333</v>
      </c>
      <c r="BT81">
        <v>87652</v>
      </c>
      <c r="BU81">
        <v>88038</v>
      </c>
      <c r="BV81">
        <v>88343</v>
      </c>
      <c r="BW81">
        <v>88554</v>
      </c>
      <c r="BX81">
        <v>88895</v>
      </c>
      <c r="BY81">
        <v>89194</v>
      </c>
      <c r="BZ81">
        <v>89408</v>
      </c>
      <c r="CA81">
        <v>89787</v>
      </c>
      <c r="CB81">
        <v>90031</v>
      </c>
      <c r="CC81">
        <v>90307</v>
      </c>
      <c r="CD81">
        <v>90565</v>
      </c>
      <c r="CE81">
        <v>90808</v>
      </c>
      <c r="CF81">
        <v>91026</v>
      </c>
      <c r="CG81">
        <v>91165</v>
      </c>
      <c r="CH81">
        <v>91438</v>
      </c>
      <c r="CI81">
        <v>91613</v>
      </c>
      <c r="CJ81">
        <v>91809</v>
      </c>
      <c r="CK81">
        <v>92140</v>
      </c>
      <c r="CL81">
        <v>92390</v>
      </c>
      <c r="CM81">
        <v>92476</v>
      </c>
      <c r="CN81">
        <v>92668</v>
      </c>
      <c r="CO81">
        <v>92907</v>
      </c>
      <c r="CP81">
        <v>93045</v>
      </c>
      <c r="CQ81">
        <v>93263</v>
      </c>
      <c r="CR81">
        <v>93431</v>
      </c>
      <c r="CS81">
        <v>93652</v>
      </c>
      <c r="CT81">
        <v>93717</v>
      </c>
      <c r="CU81">
        <v>93932</v>
      </c>
      <c r="CV81" t="s">
        <v>218</v>
      </c>
      <c r="CW81" t="s">
        <v>218</v>
      </c>
    </row>
    <row r="82" spans="1:101" x14ac:dyDescent="0.25">
      <c r="A82" t="s">
        <v>48</v>
      </c>
      <c r="B82">
        <v>49102</v>
      </c>
      <c r="C82">
        <v>50310</v>
      </c>
      <c r="D82">
        <v>52111</v>
      </c>
      <c r="E82">
        <v>52244</v>
      </c>
      <c r="F82">
        <v>53179</v>
      </c>
      <c r="G82">
        <v>54480</v>
      </c>
      <c r="H82">
        <v>54885</v>
      </c>
      <c r="I82">
        <v>55979</v>
      </c>
      <c r="J82">
        <v>57058</v>
      </c>
      <c r="K82">
        <v>58505</v>
      </c>
      <c r="L82">
        <v>58474</v>
      </c>
      <c r="M82">
        <v>58523</v>
      </c>
      <c r="N82">
        <v>60962</v>
      </c>
      <c r="O82">
        <v>60398</v>
      </c>
      <c r="P82">
        <v>60781</v>
      </c>
      <c r="Q82">
        <v>61644</v>
      </c>
      <c r="R82">
        <v>61704</v>
      </c>
      <c r="S82">
        <v>61797</v>
      </c>
      <c r="T82">
        <v>62564</v>
      </c>
      <c r="U82">
        <v>64926</v>
      </c>
      <c r="V82">
        <v>65243</v>
      </c>
      <c r="W82">
        <v>65433</v>
      </c>
      <c r="X82">
        <v>66953</v>
      </c>
      <c r="Y82">
        <v>67713</v>
      </c>
      <c r="Z82">
        <v>68091</v>
      </c>
      <c r="AA82">
        <v>68075</v>
      </c>
      <c r="AB82">
        <v>68646</v>
      </c>
      <c r="AC82">
        <v>68885</v>
      </c>
      <c r="AD82">
        <v>69555</v>
      </c>
      <c r="AE82">
        <v>69838</v>
      </c>
      <c r="AF82">
        <v>70522</v>
      </c>
      <c r="AG82">
        <v>71594</v>
      </c>
      <c r="AH82">
        <v>72012</v>
      </c>
      <c r="AI82">
        <v>72921</v>
      </c>
      <c r="AJ82">
        <v>73329</v>
      </c>
      <c r="AK82">
        <v>74017</v>
      </c>
      <c r="AL82">
        <v>74537</v>
      </c>
      <c r="AM82">
        <v>74844</v>
      </c>
      <c r="AN82">
        <v>75172</v>
      </c>
      <c r="AO82">
        <v>75250</v>
      </c>
      <c r="AP82">
        <v>75409</v>
      </c>
      <c r="AQ82">
        <v>75369</v>
      </c>
      <c r="AR82">
        <v>75652</v>
      </c>
      <c r="AS82">
        <v>75353</v>
      </c>
      <c r="AT82">
        <v>74438</v>
      </c>
      <c r="AU82">
        <v>74278</v>
      </c>
      <c r="AV82">
        <v>77211</v>
      </c>
      <c r="AW82">
        <v>77458</v>
      </c>
      <c r="AX82">
        <v>77967</v>
      </c>
      <c r="AY82">
        <v>78401</v>
      </c>
      <c r="AZ82">
        <v>78631</v>
      </c>
      <c r="BA82">
        <v>78655</v>
      </c>
      <c r="BB82">
        <v>79353</v>
      </c>
      <c r="BC82">
        <v>79529</v>
      </c>
      <c r="BD82">
        <v>79935</v>
      </c>
      <c r="BE82">
        <v>80406</v>
      </c>
      <c r="BF82">
        <v>80900</v>
      </c>
      <c r="BG82">
        <v>81503</v>
      </c>
      <c r="BH82">
        <v>81840</v>
      </c>
      <c r="BI82">
        <v>82281</v>
      </c>
      <c r="BJ82">
        <v>82918</v>
      </c>
      <c r="BK82">
        <v>83272</v>
      </c>
      <c r="BL82">
        <v>83725</v>
      </c>
      <c r="BM82">
        <v>84103</v>
      </c>
      <c r="BN82">
        <v>84651</v>
      </c>
      <c r="BO82">
        <v>84936</v>
      </c>
      <c r="BP82">
        <v>85361</v>
      </c>
      <c r="BQ82">
        <v>85778</v>
      </c>
      <c r="BR82">
        <v>86134</v>
      </c>
      <c r="BS82">
        <v>86530</v>
      </c>
      <c r="BT82">
        <v>86868</v>
      </c>
      <c r="BU82">
        <v>87272</v>
      </c>
      <c r="BV82">
        <v>87595</v>
      </c>
      <c r="BW82">
        <v>87824</v>
      </c>
      <c r="BX82">
        <v>88181</v>
      </c>
      <c r="BY82">
        <v>88497</v>
      </c>
      <c r="BZ82">
        <v>88728</v>
      </c>
      <c r="CA82">
        <v>89121</v>
      </c>
      <c r="CB82">
        <v>89382</v>
      </c>
      <c r="CC82">
        <v>89673</v>
      </c>
      <c r="CD82">
        <v>89945</v>
      </c>
      <c r="CE82">
        <v>90204</v>
      </c>
      <c r="CF82">
        <v>90437</v>
      </c>
      <c r="CG82">
        <v>90590</v>
      </c>
      <c r="CH82">
        <v>90876</v>
      </c>
      <c r="CI82">
        <v>91065</v>
      </c>
      <c r="CJ82">
        <v>91273</v>
      </c>
      <c r="CK82">
        <v>91618</v>
      </c>
      <c r="CL82">
        <v>91880</v>
      </c>
      <c r="CM82">
        <v>91978</v>
      </c>
      <c r="CN82">
        <v>92183</v>
      </c>
      <c r="CO82">
        <v>92433</v>
      </c>
      <c r="CP82">
        <v>92584</v>
      </c>
      <c r="CQ82">
        <v>92813</v>
      </c>
      <c r="CR82">
        <v>92991</v>
      </c>
      <c r="CS82">
        <v>93223</v>
      </c>
      <c r="CT82">
        <v>93300</v>
      </c>
      <c r="CU82" t="s">
        <v>218</v>
      </c>
      <c r="CV82" t="s">
        <v>218</v>
      </c>
      <c r="CW82" t="s">
        <v>218</v>
      </c>
    </row>
    <row r="83" spans="1:101" x14ac:dyDescent="0.25">
      <c r="A83" t="s">
        <v>47</v>
      </c>
      <c r="B83">
        <v>47234</v>
      </c>
      <c r="C83">
        <v>48466</v>
      </c>
      <c r="D83">
        <v>50306</v>
      </c>
      <c r="E83">
        <v>50497</v>
      </c>
      <c r="F83">
        <v>51492</v>
      </c>
      <c r="G83">
        <v>52833</v>
      </c>
      <c r="H83">
        <v>53161</v>
      </c>
      <c r="I83">
        <v>54280</v>
      </c>
      <c r="J83">
        <v>55419</v>
      </c>
      <c r="K83">
        <v>56783</v>
      </c>
      <c r="L83">
        <v>56718</v>
      </c>
      <c r="M83">
        <v>56815</v>
      </c>
      <c r="N83">
        <v>59086</v>
      </c>
      <c r="O83">
        <v>58757</v>
      </c>
      <c r="P83">
        <v>59116</v>
      </c>
      <c r="Q83">
        <v>59949</v>
      </c>
      <c r="R83">
        <v>60028</v>
      </c>
      <c r="S83">
        <v>60128</v>
      </c>
      <c r="T83">
        <v>60839</v>
      </c>
      <c r="U83">
        <v>63132</v>
      </c>
      <c r="V83">
        <v>63467</v>
      </c>
      <c r="W83">
        <v>63679</v>
      </c>
      <c r="X83">
        <v>65133</v>
      </c>
      <c r="Y83">
        <v>65887</v>
      </c>
      <c r="Z83">
        <v>66340</v>
      </c>
      <c r="AA83">
        <v>66276</v>
      </c>
      <c r="AB83">
        <v>66873</v>
      </c>
      <c r="AC83">
        <v>67144</v>
      </c>
      <c r="AD83">
        <v>67776</v>
      </c>
      <c r="AE83">
        <v>68170</v>
      </c>
      <c r="AF83">
        <v>68790</v>
      </c>
      <c r="AG83">
        <v>69918</v>
      </c>
      <c r="AH83">
        <v>70435</v>
      </c>
      <c r="AI83">
        <v>71336</v>
      </c>
      <c r="AJ83">
        <v>71909</v>
      </c>
      <c r="AK83">
        <v>72461</v>
      </c>
      <c r="AL83">
        <v>73057</v>
      </c>
      <c r="AM83">
        <v>73342</v>
      </c>
      <c r="AN83">
        <v>73737</v>
      </c>
      <c r="AO83">
        <v>73832</v>
      </c>
      <c r="AP83">
        <v>73985</v>
      </c>
      <c r="AQ83">
        <v>73951</v>
      </c>
      <c r="AR83">
        <v>74228</v>
      </c>
      <c r="AS83">
        <v>73948</v>
      </c>
      <c r="AT83">
        <v>73046</v>
      </c>
      <c r="AU83">
        <v>72799</v>
      </c>
      <c r="AV83">
        <v>75768</v>
      </c>
      <c r="AW83">
        <v>76050</v>
      </c>
      <c r="AX83">
        <v>76585</v>
      </c>
      <c r="AY83">
        <v>77041</v>
      </c>
      <c r="AZ83">
        <v>77298</v>
      </c>
      <c r="BA83">
        <v>77354</v>
      </c>
      <c r="BB83">
        <v>78073</v>
      </c>
      <c r="BC83">
        <v>78278</v>
      </c>
      <c r="BD83">
        <v>78711</v>
      </c>
      <c r="BE83">
        <v>79208</v>
      </c>
      <c r="BF83">
        <v>79727</v>
      </c>
      <c r="BG83">
        <v>80354</v>
      </c>
      <c r="BH83">
        <v>80717</v>
      </c>
      <c r="BI83">
        <v>81182</v>
      </c>
      <c r="BJ83">
        <v>81840</v>
      </c>
      <c r="BK83">
        <v>82217</v>
      </c>
      <c r="BL83">
        <v>82692</v>
      </c>
      <c r="BM83">
        <v>83093</v>
      </c>
      <c r="BN83">
        <v>83662</v>
      </c>
      <c r="BO83">
        <v>83969</v>
      </c>
      <c r="BP83">
        <v>84414</v>
      </c>
      <c r="BQ83">
        <v>84852</v>
      </c>
      <c r="BR83">
        <v>85229</v>
      </c>
      <c r="BS83">
        <v>85644</v>
      </c>
      <c r="BT83">
        <v>86002</v>
      </c>
      <c r="BU83">
        <v>86424</v>
      </c>
      <c r="BV83">
        <v>86766</v>
      </c>
      <c r="BW83">
        <v>87015</v>
      </c>
      <c r="BX83">
        <v>87390</v>
      </c>
      <c r="BY83">
        <v>87723</v>
      </c>
      <c r="BZ83">
        <v>87973</v>
      </c>
      <c r="CA83">
        <v>88382</v>
      </c>
      <c r="CB83">
        <v>88661</v>
      </c>
      <c r="CC83">
        <v>88968</v>
      </c>
      <c r="CD83">
        <v>89256</v>
      </c>
      <c r="CE83">
        <v>89531</v>
      </c>
      <c r="CF83">
        <v>89779</v>
      </c>
      <c r="CG83">
        <v>89949</v>
      </c>
      <c r="CH83">
        <v>90249</v>
      </c>
      <c r="CI83">
        <v>90453</v>
      </c>
      <c r="CJ83">
        <v>90676</v>
      </c>
      <c r="CK83">
        <v>91034</v>
      </c>
      <c r="CL83">
        <v>91310</v>
      </c>
      <c r="CM83">
        <v>91422</v>
      </c>
      <c r="CN83">
        <v>91640</v>
      </c>
      <c r="CO83">
        <v>91902</v>
      </c>
      <c r="CP83">
        <v>92066</v>
      </c>
      <c r="CQ83">
        <v>92307</v>
      </c>
      <c r="CR83">
        <v>92497</v>
      </c>
      <c r="CS83">
        <v>92741</v>
      </c>
      <c r="CT83" t="s">
        <v>218</v>
      </c>
      <c r="CU83" t="s">
        <v>218</v>
      </c>
      <c r="CV83" t="s">
        <v>218</v>
      </c>
      <c r="CW83" t="s">
        <v>218</v>
      </c>
    </row>
    <row r="84" spans="1:101" x14ac:dyDescent="0.25">
      <c r="A84" t="s">
        <v>46</v>
      </c>
      <c r="B84">
        <v>45315</v>
      </c>
      <c r="C84">
        <v>46615</v>
      </c>
      <c r="D84">
        <v>48443</v>
      </c>
      <c r="E84">
        <v>48657</v>
      </c>
      <c r="F84">
        <v>49635</v>
      </c>
      <c r="G84">
        <v>50872</v>
      </c>
      <c r="H84">
        <v>51328</v>
      </c>
      <c r="I84">
        <v>52436</v>
      </c>
      <c r="J84">
        <v>53488</v>
      </c>
      <c r="K84">
        <v>54884</v>
      </c>
      <c r="L84">
        <v>54819</v>
      </c>
      <c r="M84">
        <v>55076</v>
      </c>
      <c r="N84">
        <v>57308</v>
      </c>
      <c r="O84">
        <v>56879</v>
      </c>
      <c r="P84">
        <v>57296</v>
      </c>
      <c r="Q84">
        <v>58123</v>
      </c>
      <c r="R84">
        <v>58167</v>
      </c>
      <c r="S84">
        <v>58222</v>
      </c>
      <c r="T84">
        <v>58913</v>
      </c>
      <c r="U84">
        <v>61136</v>
      </c>
      <c r="V84">
        <v>61467</v>
      </c>
      <c r="W84">
        <v>61760</v>
      </c>
      <c r="X84">
        <v>63254</v>
      </c>
      <c r="Y84">
        <v>63912</v>
      </c>
      <c r="Z84">
        <v>64358</v>
      </c>
      <c r="AA84">
        <v>64385</v>
      </c>
      <c r="AB84">
        <v>64914</v>
      </c>
      <c r="AC84">
        <v>65271</v>
      </c>
      <c r="AD84">
        <v>65970</v>
      </c>
      <c r="AE84">
        <v>66439</v>
      </c>
      <c r="AF84">
        <v>66996</v>
      </c>
      <c r="AG84">
        <v>68222</v>
      </c>
      <c r="AH84">
        <v>68809</v>
      </c>
      <c r="AI84">
        <v>69655</v>
      </c>
      <c r="AJ84">
        <v>70243</v>
      </c>
      <c r="AK84">
        <v>70768</v>
      </c>
      <c r="AL84">
        <v>71382</v>
      </c>
      <c r="AM84">
        <v>71734</v>
      </c>
      <c r="AN84">
        <v>72182</v>
      </c>
      <c r="AO84">
        <v>72267</v>
      </c>
      <c r="AP84">
        <v>72370</v>
      </c>
      <c r="AQ84">
        <v>72337</v>
      </c>
      <c r="AR84">
        <v>72593</v>
      </c>
      <c r="AS84">
        <v>72333</v>
      </c>
      <c r="AT84">
        <v>71420</v>
      </c>
      <c r="AU84">
        <v>71264</v>
      </c>
      <c r="AV84">
        <v>74218</v>
      </c>
      <c r="AW84">
        <v>74528</v>
      </c>
      <c r="AX84">
        <v>75082</v>
      </c>
      <c r="AY84">
        <v>75559</v>
      </c>
      <c r="AZ84">
        <v>75844</v>
      </c>
      <c r="BA84">
        <v>75933</v>
      </c>
      <c r="BB84">
        <v>76674</v>
      </c>
      <c r="BC84">
        <v>76912</v>
      </c>
      <c r="BD84">
        <v>77374</v>
      </c>
      <c r="BE84">
        <v>77898</v>
      </c>
      <c r="BF84">
        <v>78445</v>
      </c>
      <c r="BG84">
        <v>79095</v>
      </c>
      <c r="BH84">
        <v>79486</v>
      </c>
      <c r="BI84">
        <v>79976</v>
      </c>
      <c r="BJ84">
        <v>80655</v>
      </c>
      <c r="BK84">
        <v>81057</v>
      </c>
      <c r="BL84">
        <v>81555</v>
      </c>
      <c r="BM84">
        <v>81980</v>
      </c>
      <c r="BN84">
        <v>82571</v>
      </c>
      <c r="BO84">
        <v>82902</v>
      </c>
      <c r="BP84">
        <v>83369</v>
      </c>
      <c r="BQ84">
        <v>83828</v>
      </c>
      <c r="BR84">
        <v>84227</v>
      </c>
      <c r="BS84">
        <v>84664</v>
      </c>
      <c r="BT84">
        <v>85042</v>
      </c>
      <c r="BU84">
        <v>85485</v>
      </c>
      <c r="BV84">
        <v>85847</v>
      </c>
      <c r="BW84">
        <v>86117</v>
      </c>
      <c r="BX84">
        <v>86511</v>
      </c>
      <c r="BY84">
        <v>86864</v>
      </c>
      <c r="BZ84">
        <v>87133</v>
      </c>
      <c r="CA84">
        <v>87560</v>
      </c>
      <c r="CB84">
        <v>87856</v>
      </c>
      <c r="CC84">
        <v>88182</v>
      </c>
      <c r="CD84">
        <v>88488</v>
      </c>
      <c r="CE84">
        <v>88780</v>
      </c>
      <c r="CF84">
        <v>89045</v>
      </c>
      <c r="CG84">
        <v>89232</v>
      </c>
      <c r="CH84">
        <v>89548</v>
      </c>
      <c r="CI84">
        <v>89768</v>
      </c>
      <c r="CJ84">
        <v>90007</v>
      </c>
      <c r="CK84">
        <v>90380</v>
      </c>
      <c r="CL84">
        <v>90670</v>
      </c>
      <c r="CM84">
        <v>90797</v>
      </c>
      <c r="CN84">
        <v>91030</v>
      </c>
      <c r="CO84">
        <v>91306</v>
      </c>
      <c r="CP84">
        <v>91485</v>
      </c>
      <c r="CQ84">
        <v>91738</v>
      </c>
      <c r="CR84">
        <v>91942</v>
      </c>
      <c r="CS84" t="s">
        <v>218</v>
      </c>
      <c r="CT84" t="s">
        <v>218</v>
      </c>
      <c r="CU84" t="s">
        <v>218</v>
      </c>
      <c r="CV84" t="s">
        <v>218</v>
      </c>
      <c r="CW84" t="s">
        <v>218</v>
      </c>
    </row>
    <row r="85" spans="1:101" x14ac:dyDescent="0.25">
      <c r="A85" t="s">
        <v>45</v>
      </c>
      <c r="B85">
        <v>43310</v>
      </c>
      <c r="C85">
        <v>44580</v>
      </c>
      <c r="D85">
        <v>46439</v>
      </c>
      <c r="E85">
        <v>46635</v>
      </c>
      <c r="F85">
        <v>47666</v>
      </c>
      <c r="G85">
        <v>48855</v>
      </c>
      <c r="H85">
        <v>49434</v>
      </c>
      <c r="I85">
        <v>50536</v>
      </c>
      <c r="J85">
        <v>51479</v>
      </c>
      <c r="K85">
        <v>52830</v>
      </c>
      <c r="L85">
        <v>52863</v>
      </c>
      <c r="M85">
        <v>53140</v>
      </c>
      <c r="N85">
        <v>55281</v>
      </c>
      <c r="O85">
        <v>54850</v>
      </c>
      <c r="P85">
        <v>55326</v>
      </c>
      <c r="Q85">
        <v>56080</v>
      </c>
      <c r="R85">
        <v>56138</v>
      </c>
      <c r="S85">
        <v>56234</v>
      </c>
      <c r="T85">
        <v>56884</v>
      </c>
      <c r="U85">
        <v>59080</v>
      </c>
      <c r="V85">
        <v>59491</v>
      </c>
      <c r="W85">
        <v>59729</v>
      </c>
      <c r="X85">
        <v>61054</v>
      </c>
      <c r="Y85">
        <v>61850</v>
      </c>
      <c r="Z85">
        <v>62182</v>
      </c>
      <c r="AA85">
        <v>62230</v>
      </c>
      <c r="AB85">
        <v>62811</v>
      </c>
      <c r="AC85">
        <v>63299</v>
      </c>
      <c r="AD85">
        <v>63943</v>
      </c>
      <c r="AE85">
        <v>64464</v>
      </c>
      <c r="AF85">
        <v>65157</v>
      </c>
      <c r="AG85">
        <v>66393</v>
      </c>
      <c r="AH85">
        <v>66999</v>
      </c>
      <c r="AI85">
        <v>67788</v>
      </c>
      <c r="AJ85">
        <v>68423</v>
      </c>
      <c r="AK85">
        <v>69016</v>
      </c>
      <c r="AL85">
        <v>69652</v>
      </c>
      <c r="AM85">
        <v>70017</v>
      </c>
      <c r="AN85">
        <v>70433</v>
      </c>
      <c r="AO85">
        <v>70543</v>
      </c>
      <c r="AP85">
        <v>70593</v>
      </c>
      <c r="AQ85">
        <v>70597</v>
      </c>
      <c r="AR85">
        <v>70902</v>
      </c>
      <c r="AS85">
        <v>70521</v>
      </c>
      <c r="AT85">
        <v>69727</v>
      </c>
      <c r="AU85">
        <v>69615</v>
      </c>
      <c r="AV85">
        <v>72537</v>
      </c>
      <c r="AW85">
        <v>72869</v>
      </c>
      <c r="AX85">
        <v>73440</v>
      </c>
      <c r="AY85">
        <v>73939</v>
      </c>
      <c r="AZ85">
        <v>74254</v>
      </c>
      <c r="BA85">
        <v>74377</v>
      </c>
      <c r="BB85">
        <v>75143</v>
      </c>
      <c r="BC85">
        <v>75417</v>
      </c>
      <c r="BD85">
        <v>75910</v>
      </c>
      <c r="BE85">
        <v>76463</v>
      </c>
      <c r="BF85">
        <v>77037</v>
      </c>
      <c r="BG85">
        <v>77713</v>
      </c>
      <c r="BH85">
        <v>78132</v>
      </c>
      <c r="BI85">
        <v>78648</v>
      </c>
      <c r="BJ85">
        <v>79349</v>
      </c>
      <c r="BK85">
        <v>79778</v>
      </c>
      <c r="BL85">
        <v>80301</v>
      </c>
      <c r="BM85">
        <v>80751</v>
      </c>
      <c r="BN85">
        <v>81364</v>
      </c>
      <c r="BO85">
        <v>81721</v>
      </c>
      <c r="BP85">
        <v>82212</v>
      </c>
      <c r="BQ85">
        <v>82695</v>
      </c>
      <c r="BR85">
        <v>83117</v>
      </c>
      <c r="BS85">
        <v>83576</v>
      </c>
      <c r="BT85">
        <v>83977</v>
      </c>
      <c r="BU85">
        <v>84441</v>
      </c>
      <c r="BV85">
        <v>84825</v>
      </c>
      <c r="BW85">
        <v>85117</v>
      </c>
      <c r="BX85">
        <v>85531</v>
      </c>
      <c r="BY85">
        <v>85906</v>
      </c>
      <c r="BZ85">
        <v>86196</v>
      </c>
      <c r="CA85">
        <v>86642</v>
      </c>
      <c r="CB85">
        <v>86959</v>
      </c>
      <c r="CC85">
        <v>87303</v>
      </c>
      <c r="CD85">
        <v>87628</v>
      </c>
      <c r="CE85">
        <v>87939</v>
      </c>
      <c r="CF85">
        <v>88222</v>
      </c>
      <c r="CG85">
        <v>88428</v>
      </c>
      <c r="CH85">
        <v>88761</v>
      </c>
      <c r="CI85">
        <v>89000</v>
      </c>
      <c r="CJ85">
        <v>89256</v>
      </c>
      <c r="CK85">
        <v>89644</v>
      </c>
      <c r="CL85">
        <v>89951</v>
      </c>
      <c r="CM85">
        <v>90094</v>
      </c>
      <c r="CN85">
        <v>90343</v>
      </c>
      <c r="CO85">
        <v>90635</v>
      </c>
      <c r="CP85">
        <v>90829</v>
      </c>
      <c r="CQ85">
        <v>91097</v>
      </c>
      <c r="CR85" t="s">
        <v>218</v>
      </c>
      <c r="CS85" t="s">
        <v>218</v>
      </c>
      <c r="CT85" t="s">
        <v>218</v>
      </c>
      <c r="CU85" t="s">
        <v>218</v>
      </c>
      <c r="CV85" t="s">
        <v>218</v>
      </c>
      <c r="CW85" t="s">
        <v>218</v>
      </c>
    </row>
    <row r="86" spans="1:101" x14ac:dyDescent="0.25">
      <c r="A86" t="s">
        <v>44</v>
      </c>
      <c r="B86">
        <v>41268</v>
      </c>
      <c r="C86">
        <v>42519</v>
      </c>
      <c r="D86">
        <v>44242</v>
      </c>
      <c r="E86">
        <v>44625</v>
      </c>
      <c r="F86">
        <v>45554</v>
      </c>
      <c r="G86">
        <v>46874</v>
      </c>
      <c r="H86">
        <v>47293</v>
      </c>
      <c r="I86">
        <v>48423</v>
      </c>
      <c r="J86">
        <v>49284</v>
      </c>
      <c r="K86">
        <v>50811</v>
      </c>
      <c r="L86">
        <v>50721</v>
      </c>
      <c r="M86">
        <v>50895</v>
      </c>
      <c r="N86">
        <v>53050</v>
      </c>
      <c r="O86">
        <v>52640</v>
      </c>
      <c r="P86">
        <v>53246</v>
      </c>
      <c r="Q86">
        <v>53803</v>
      </c>
      <c r="R86">
        <v>53922</v>
      </c>
      <c r="S86">
        <v>54052</v>
      </c>
      <c r="T86">
        <v>54679</v>
      </c>
      <c r="U86">
        <v>56858</v>
      </c>
      <c r="V86">
        <v>57189</v>
      </c>
      <c r="W86">
        <v>57495</v>
      </c>
      <c r="X86">
        <v>58817</v>
      </c>
      <c r="Y86">
        <v>59408</v>
      </c>
      <c r="Z86">
        <v>59865</v>
      </c>
      <c r="AA86">
        <v>59888</v>
      </c>
      <c r="AB86">
        <v>60661</v>
      </c>
      <c r="AC86">
        <v>61089</v>
      </c>
      <c r="AD86">
        <v>61817</v>
      </c>
      <c r="AE86">
        <v>62405</v>
      </c>
      <c r="AF86">
        <v>63074</v>
      </c>
      <c r="AG86">
        <v>64430</v>
      </c>
      <c r="AH86">
        <v>65072</v>
      </c>
      <c r="AI86">
        <v>65879</v>
      </c>
      <c r="AJ86">
        <v>66470</v>
      </c>
      <c r="AK86">
        <v>67136</v>
      </c>
      <c r="AL86">
        <v>67794</v>
      </c>
      <c r="AM86">
        <v>68053</v>
      </c>
      <c r="AN86">
        <v>68496</v>
      </c>
      <c r="AO86">
        <v>68676</v>
      </c>
      <c r="AP86">
        <v>68633</v>
      </c>
      <c r="AQ86">
        <v>68739</v>
      </c>
      <c r="AR86">
        <v>68895</v>
      </c>
      <c r="AS86">
        <v>68640</v>
      </c>
      <c r="AT86">
        <v>67915</v>
      </c>
      <c r="AU86">
        <v>67841</v>
      </c>
      <c r="AV86">
        <v>70717</v>
      </c>
      <c r="AW86">
        <v>71070</v>
      </c>
      <c r="AX86">
        <v>71659</v>
      </c>
      <c r="AY86">
        <v>72183</v>
      </c>
      <c r="AZ86">
        <v>72529</v>
      </c>
      <c r="BA86">
        <v>72691</v>
      </c>
      <c r="BB86">
        <v>73482</v>
      </c>
      <c r="BC86">
        <v>73792</v>
      </c>
      <c r="BD86">
        <v>74316</v>
      </c>
      <c r="BE86">
        <v>74899</v>
      </c>
      <c r="BF86">
        <v>75500</v>
      </c>
      <c r="BG86">
        <v>76201</v>
      </c>
      <c r="BH86">
        <v>76648</v>
      </c>
      <c r="BI86">
        <v>77192</v>
      </c>
      <c r="BJ86">
        <v>77916</v>
      </c>
      <c r="BK86">
        <v>78372</v>
      </c>
      <c r="BL86">
        <v>78921</v>
      </c>
      <c r="BM86">
        <v>79397</v>
      </c>
      <c r="BN86">
        <v>80033</v>
      </c>
      <c r="BO86">
        <v>80417</v>
      </c>
      <c r="BP86">
        <v>80932</v>
      </c>
      <c r="BQ86">
        <v>81439</v>
      </c>
      <c r="BR86">
        <v>81886</v>
      </c>
      <c r="BS86">
        <v>82368</v>
      </c>
      <c r="BT86">
        <v>82793</v>
      </c>
      <c r="BU86">
        <v>83279</v>
      </c>
      <c r="BV86">
        <v>83687</v>
      </c>
      <c r="BW86">
        <v>84003</v>
      </c>
      <c r="BX86">
        <v>84438</v>
      </c>
      <c r="BY86">
        <v>84834</v>
      </c>
      <c r="BZ86">
        <v>85148</v>
      </c>
      <c r="CA86">
        <v>85613</v>
      </c>
      <c r="CB86">
        <v>85952</v>
      </c>
      <c r="CC86">
        <v>86316</v>
      </c>
      <c r="CD86">
        <v>86662</v>
      </c>
      <c r="CE86">
        <v>86993</v>
      </c>
      <c r="CF86">
        <v>87297</v>
      </c>
      <c r="CG86">
        <v>87522</v>
      </c>
      <c r="CH86">
        <v>87875</v>
      </c>
      <c r="CI86">
        <v>88132</v>
      </c>
      <c r="CJ86">
        <v>88407</v>
      </c>
      <c r="CK86">
        <v>88812</v>
      </c>
      <c r="CL86">
        <v>89137</v>
      </c>
      <c r="CM86">
        <v>89299</v>
      </c>
      <c r="CN86">
        <v>89564</v>
      </c>
      <c r="CO86">
        <v>89873</v>
      </c>
      <c r="CP86">
        <v>90083</v>
      </c>
      <c r="CQ86" t="s">
        <v>218</v>
      </c>
      <c r="CR86" t="s">
        <v>218</v>
      </c>
      <c r="CS86" t="s">
        <v>218</v>
      </c>
      <c r="CT86" t="s">
        <v>218</v>
      </c>
      <c r="CU86" t="s">
        <v>218</v>
      </c>
      <c r="CV86" t="s">
        <v>218</v>
      </c>
      <c r="CW86" t="s">
        <v>218</v>
      </c>
    </row>
    <row r="87" spans="1:101" x14ac:dyDescent="0.25">
      <c r="A87" t="s">
        <v>43</v>
      </c>
      <c r="B87">
        <v>39145</v>
      </c>
      <c r="C87">
        <v>40376</v>
      </c>
      <c r="D87">
        <v>42005</v>
      </c>
      <c r="E87">
        <v>42432</v>
      </c>
      <c r="F87">
        <v>43333</v>
      </c>
      <c r="G87">
        <v>44576</v>
      </c>
      <c r="H87">
        <v>45028</v>
      </c>
      <c r="I87">
        <v>46199</v>
      </c>
      <c r="J87">
        <v>47036</v>
      </c>
      <c r="K87">
        <v>48489</v>
      </c>
      <c r="L87">
        <v>48450</v>
      </c>
      <c r="M87">
        <v>48627</v>
      </c>
      <c r="N87">
        <v>50620</v>
      </c>
      <c r="O87">
        <v>50420</v>
      </c>
      <c r="P87">
        <v>50891</v>
      </c>
      <c r="Q87">
        <v>51406</v>
      </c>
      <c r="R87">
        <v>51576</v>
      </c>
      <c r="S87">
        <v>51800</v>
      </c>
      <c r="T87">
        <v>52294</v>
      </c>
      <c r="U87">
        <v>54560</v>
      </c>
      <c r="V87">
        <v>54721</v>
      </c>
      <c r="W87">
        <v>55032</v>
      </c>
      <c r="X87">
        <v>56334</v>
      </c>
      <c r="Y87">
        <v>56865</v>
      </c>
      <c r="Z87">
        <v>57428</v>
      </c>
      <c r="AA87">
        <v>57531</v>
      </c>
      <c r="AB87">
        <v>58348</v>
      </c>
      <c r="AC87">
        <v>58813</v>
      </c>
      <c r="AD87">
        <v>59655</v>
      </c>
      <c r="AE87">
        <v>60288</v>
      </c>
      <c r="AF87">
        <v>61011</v>
      </c>
      <c r="AG87">
        <v>62281</v>
      </c>
      <c r="AH87">
        <v>63047</v>
      </c>
      <c r="AI87">
        <v>63738</v>
      </c>
      <c r="AJ87">
        <v>64407</v>
      </c>
      <c r="AK87">
        <v>65087</v>
      </c>
      <c r="AL87">
        <v>65718</v>
      </c>
      <c r="AM87">
        <v>65989</v>
      </c>
      <c r="AN87">
        <v>66450</v>
      </c>
      <c r="AO87">
        <v>66621</v>
      </c>
      <c r="AP87">
        <v>66589</v>
      </c>
      <c r="AQ87">
        <v>66551</v>
      </c>
      <c r="AR87">
        <v>66832</v>
      </c>
      <c r="AS87">
        <v>66640</v>
      </c>
      <c r="AT87">
        <v>65975</v>
      </c>
      <c r="AU87">
        <v>65932</v>
      </c>
      <c r="AV87">
        <v>68757</v>
      </c>
      <c r="AW87">
        <v>69134</v>
      </c>
      <c r="AX87">
        <v>69743</v>
      </c>
      <c r="AY87">
        <v>70292</v>
      </c>
      <c r="AZ87">
        <v>70670</v>
      </c>
      <c r="BA87">
        <v>70870</v>
      </c>
      <c r="BB87">
        <v>71684</v>
      </c>
      <c r="BC87">
        <v>72030</v>
      </c>
      <c r="BD87">
        <v>72583</v>
      </c>
      <c r="BE87">
        <v>73194</v>
      </c>
      <c r="BF87">
        <v>73822</v>
      </c>
      <c r="BG87">
        <v>74546</v>
      </c>
      <c r="BH87">
        <v>75023</v>
      </c>
      <c r="BI87">
        <v>75594</v>
      </c>
      <c r="BJ87">
        <v>76341</v>
      </c>
      <c r="BK87">
        <v>76825</v>
      </c>
      <c r="BL87">
        <v>77400</v>
      </c>
      <c r="BM87">
        <v>77903</v>
      </c>
      <c r="BN87">
        <v>78562</v>
      </c>
      <c r="BO87">
        <v>78973</v>
      </c>
      <c r="BP87">
        <v>79513</v>
      </c>
      <c r="BQ87">
        <v>80045</v>
      </c>
      <c r="BR87">
        <v>80517</v>
      </c>
      <c r="BS87">
        <v>81023</v>
      </c>
      <c r="BT87">
        <v>81472</v>
      </c>
      <c r="BU87">
        <v>81982</v>
      </c>
      <c r="BV87">
        <v>82414</v>
      </c>
      <c r="BW87">
        <v>82755</v>
      </c>
      <c r="BX87">
        <v>83213</v>
      </c>
      <c r="BY87">
        <v>83632</v>
      </c>
      <c r="BZ87">
        <v>83969</v>
      </c>
      <c r="CA87">
        <v>84456</v>
      </c>
      <c r="CB87">
        <v>84817</v>
      </c>
      <c r="CC87">
        <v>85203</v>
      </c>
      <c r="CD87">
        <v>85570</v>
      </c>
      <c r="CE87">
        <v>85923</v>
      </c>
      <c r="CF87">
        <v>86247</v>
      </c>
      <c r="CG87">
        <v>86495</v>
      </c>
      <c r="CH87">
        <v>86868</v>
      </c>
      <c r="CI87">
        <v>87145</v>
      </c>
      <c r="CJ87">
        <v>87440</v>
      </c>
      <c r="CK87">
        <v>87864</v>
      </c>
      <c r="CL87">
        <v>88207</v>
      </c>
      <c r="CM87">
        <v>88389</v>
      </c>
      <c r="CN87">
        <v>88673</v>
      </c>
      <c r="CO87">
        <v>88999</v>
      </c>
      <c r="CP87" t="s">
        <v>218</v>
      </c>
      <c r="CQ87" t="s">
        <v>218</v>
      </c>
      <c r="CR87" t="s">
        <v>218</v>
      </c>
      <c r="CS87" t="s">
        <v>218</v>
      </c>
      <c r="CT87" t="s">
        <v>218</v>
      </c>
      <c r="CU87" t="s">
        <v>218</v>
      </c>
      <c r="CV87" t="s">
        <v>218</v>
      </c>
      <c r="CW87" t="s">
        <v>218</v>
      </c>
    </row>
    <row r="88" spans="1:101" x14ac:dyDescent="0.25">
      <c r="A88" t="s">
        <v>42</v>
      </c>
      <c r="B88">
        <v>36948</v>
      </c>
      <c r="C88">
        <v>38086</v>
      </c>
      <c r="D88">
        <v>39668</v>
      </c>
      <c r="E88">
        <v>40133</v>
      </c>
      <c r="F88">
        <v>40930</v>
      </c>
      <c r="G88">
        <v>42166</v>
      </c>
      <c r="H88">
        <v>42636</v>
      </c>
      <c r="I88">
        <v>43845</v>
      </c>
      <c r="J88">
        <v>44658</v>
      </c>
      <c r="K88">
        <v>45928</v>
      </c>
      <c r="L88">
        <v>45971</v>
      </c>
      <c r="M88">
        <v>46189</v>
      </c>
      <c r="N88">
        <v>48136</v>
      </c>
      <c r="O88">
        <v>47875</v>
      </c>
      <c r="P88">
        <v>48346</v>
      </c>
      <c r="Q88">
        <v>48904</v>
      </c>
      <c r="R88">
        <v>48945</v>
      </c>
      <c r="S88">
        <v>49281</v>
      </c>
      <c r="T88">
        <v>49853</v>
      </c>
      <c r="U88">
        <v>51963</v>
      </c>
      <c r="V88">
        <v>52031</v>
      </c>
      <c r="W88">
        <v>52393</v>
      </c>
      <c r="X88">
        <v>53703</v>
      </c>
      <c r="Y88">
        <v>54226</v>
      </c>
      <c r="Z88">
        <v>54838</v>
      </c>
      <c r="AA88">
        <v>55021</v>
      </c>
      <c r="AB88">
        <v>55955</v>
      </c>
      <c r="AC88">
        <v>56453</v>
      </c>
      <c r="AD88">
        <v>57178</v>
      </c>
      <c r="AE88">
        <v>57960</v>
      </c>
      <c r="AF88">
        <v>58725</v>
      </c>
      <c r="AG88">
        <v>59988</v>
      </c>
      <c r="AH88">
        <v>60704</v>
      </c>
      <c r="AI88">
        <v>61330</v>
      </c>
      <c r="AJ88">
        <v>62266</v>
      </c>
      <c r="AK88">
        <v>62696</v>
      </c>
      <c r="AL88">
        <v>63400</v>
      </c>
      <c r="AM88">
        <v>63717</v>
      </c>
      <c r="AN88">
        <v>64182</v>
      </c>
      <c r="AO88">
        <v>64377</v>
      </c>
      <c r="AP88">
        <v>64199</v>
      </c>
      <c r="AQ88">
        <v>64301</v>
      </c>
      <c r="AR88">
        <v>64635</v>
      </c>
      <c r="AS88">
        <v>64494</v>
      </c>
      <c r="AT88">
        <v>63881</v>
      </c>
      <c r="AU88">
        <v>63870</v>
      </c>
      <c r="AV88">
        <v>66641</v>
      </c>
      <c r="AW88">
        <v>67042</v>
      </c>
      <c r="AX88">
        <v>67671</v>
      </c>
      <c r="AY88">
        <v>68244</v>
      </c>
      <c r="AZ88">
        <v>68654</v>
      </c>
      <c r="BA88">
        <v>68892</v>
      </c>
      <c r="BB88">
        <v>69727</v>
      </c>
      <c r="BC88">
        <v>70106</v>
      </c>
      <c r="BD88">
        <v>70688</v>
      </c>
      <c r="BE88">
        <v>71326</v>
      </c>
      <c r="BF88">
        <v>71981</v>
      </c>
      <c r="BG88">
        <v>72729</v>
      </c>
      <c r="BH88">
        <v>73235</v>
      </c>
      <c r="BI88">
        <v>73832</v>
      </c>
      <c r="BJ88">
        <v>74603</v>
      </c>
      <c r="BK88">
        <v>75115</v>
      </c>
      <c r="BL88">
        <v>75715</v>
      </c>
      <c r="BM88">
        <v>76245</v>
      </c>
      <c r="BN88">
        <v>76928</v>
      </c>
      <c r="BO88">
        <v>77367</v>
      </c>
      <c r="BP88">
        <v>77932</v>
      </c>
      <c r="BQ88">
        <v>78488</v>
      </c>
      <c r="BR88">
        <v>78986</v>
      </c>
      <c r="BS88">
        <v>79518</v>
      </c>
      <c r="BT88">
        <v>79992</v>
      </c>
      <c r="BU88">
        <v>80526</v>
      </c>
      <c r="BV88">
        <v>80982</v>
      </c>
      <c r="BW88">
        <v>81349</v>
      </c>
      <c r="BX88">
        <v>81832</v>
      </c>
      <c r="BY88">
        <v>82275</v>
      </c>
      <c r="BZ88">
        <v>82637</v>
      </c>
      <c r="CA88">
        <v>83146</v>
      </c>
      <c r="CB88">
        <v>83530</v>
      </c>
      <c r="CC88">
        <v>83939</v>
      </c>
      <c r="CD88">
        <v>84329</v>
      </c>
      <c r="CE88">
        <v>84705</v>
      </c>
      <c r="CF88">
        <v>85052</v>
      </c>
      <c r="CG88">
        <v>85323</v>
      </c>
      <c r="CH88">
        <v>85717</v>
      </c>
      <c r="CI88">
        <v>86016</v>
      </c>
      <c r="CJ88">
        <v>86332</v>
      </c>
      <c r="CK88">
        <v>86776</v>
      </c>
      <c r="CL88">
        <v>87139</v>
      </c>
      <c r="CM88">
        <v>87342</v>
      </c>
      <c r="CN88">
        <v>87647</v>
      </c>
      <c r="CO88" t="s">
        <v>218</v>
      </c>
      <c r="CP88" t="s">
        <v>218</v>
      </c>
      <c r="CQ88" t="s">
        <v>218</v>
      </c>
      <c r="CR88" t="s">
        <v>218</v>
      </c>
      <c r="CS88" t="s">
        <v>218</v>
      </c>
      <c r="CT88" t="s">
        <v>218</v>
      </c>
      <c r="CU88" t="s">
        <v>218</v>
      </c>
      <c r="CV88" t="s">
        <v>218</v>
      </c>
      <c r="CW88" t="s">
        <v>218</v>
      </c>
    </row>
    <row r="89" spans="1:101" x14ac:dyDescent="0.25">
      <c r="A89" t="s">
        <v>41</v>
      </c>
      <c r="B89">
        <v>34580</v>
      </c>
      <c r="C89">
        <v>35810</v>
      </c>
      <c r="D89">
        <v>37294</v>
      </c>
      <c r="E89">
        <v>37708</v>
      </c>
      <c r="F89">
        <v>38441</v>
      </c>
      <c r="G89">
        <v>39633</v>
      </c>
      <c r="H89">
        <v>40189</v>
      </c>
      <c r="I89">
        <v>41328</v>
      </c>
      <c r="J89">
        <v>42066</v>
      </c>
      <c r="K89">
        <v>43259</v>
      </c>
      <c r="L89">
        <v>43328</v>
      </c>
      <c r="M89">
        <v>43515</v>
      </c>
      <c r="N89">
        <v>45355</v>
      </c>
      <c r="O89">
        <v>45266</v>
      </c>
      <c r="P89">
        <v>45675</v>
      </c>
      <c r="Q89">
        <v>46200</v>
      </c>
      <c r="R89">
        <v>46212</v>
      </c>
      <c r="S89">
        <v>46553</v>
      </c>
      <c r="T89">
        <v>47127</v>
      </c>
      <c r="U89">
        <v>49174</v>
      </c>
      <c r="V89">
        <v>49285</v>
      </c>
      <c r="W89">
        <v>49460</v>
      </c>
      <c r="X89">
        <v>50941</v>
      </c>
      <c r="Y89">
        <v>51558</v>
      </c>
      <c r="Z89">
        <v>52257</v>
      </c>
      <c r="AA89">
        <v>52370</v>
      </c>
      <c r="AB89">
        <v>53431</v>
      </c>
      <c r="AC89">
        <v>53843</v>
      </c>
      <c r="AD89">
        <v>54679</v>
      </c>
      <c r="AE89">
        <v>55389</v>
      </c>
      <c r="AF89">
        <v>56196</v>
      </c>
      <c r="AG89">
        <v>57385</v>
      </c>
      <c r="AH89">
        <v>58094</v>
      </c>
      <c r="AI89">
        <v>58978</v>
      </c>
      <c r="AJ89">
        <v>59668</v>
      </c>
      <c r="AK89">
        <v>60266</v>
      </c>
      <c r="AL89">
        <v>60898</v>
      </c>
      <c r="AM89">
        <v>61249</v>
      </c>
      <c r="AN89">
        <v>61729</v>
      </c>
      <c r="AO89">
        <v>61742</v>
      </c>
      <c r="AP89">
        <v>61737</v>
      </c>
      <c r="AQ89">
        <v>61905</v>
      </c>
      <c r="AR89">
        <v>62279</v>
      </c>
      <c r="AS89">
        <v>62175</v>
      </c>
      <c r="AT89">
        <v>61615</v>
      </c>
      <c r="AU89">
        <v>61637</v>
      </c>
      <c r="AV89">
        <v>64346</v>
      </c>
      <c r="AW89">
        <v>64771</v>
      </c>
      <c r="AX89">
        <v>65419</v>
      </c>
      <c r="AY89">
        <v>66015</v>
      </c>
      <c r="AZ89">
        <v>66455</v>
      </c>
      <c r="BA89">
        <v>66729</v>
      </c>
      <c r="BB89">
        <v>67583</v>
      </c>
      <c r="BC89">
        <v>67997</v>
      </c>
      <c r="BD89">
        <v>68606</v>
      </c>
      <c r="BE89">
        <v>69271</v>
      </c>
      <c r="BF89">
        <v>69952</v>
      </c>
      <c r="BG89">
        <v>70724</v>
      </c>
      <c r="BH89">
        <v>71259</v>
      </c>
      <c r="BI89">
        <v>71882</v>
      </c>
      <c r="BJ89">
        <v>72674</v>
      </c>
      <c r="BK89">
        <v>73214</v>
      </c>
      <c r="BL89">
        <v>73840</v>
      </c>
      <c r="BM89">
        <v>74397</v>
      </c>
      <c r="BN89">
        <v>75104</v>
      </c>
      <c r="BO89">
        <v>75571</v>
      </c>
      <c r="BP89">
        <v>76162</v>
      </c>
      <c r="BQ89">
        <v>76743</v>
      </c>
      <c r="BR89">
        <v>77268</v>
      </c>
      <c r="BS89">
        <v>77824</v>
      </c>
      <c r="BT89">
        <v>78324</v>
      </c>
      <c r="BU89">
        <v>78882</v>
      </c>
      <c r="BV89">
        <v>79365</v>
      </c>
      <c r="BW89">
        <v>79759</v>
      </c>
      <c r="BX89">
        <v>80266</v>
      </c>
      <c r="BY89">
        <v>80735</v>
      </c>
      <c r="BZ89">
        <v>81123</v>
      </c>
      <c r="CA89">
        <v>81655</v>
      </c>
      <c r="CB89">
        <v>82064</v>
      </c>
      <c r="CC89">
        <v>82497</v>
      </c>
      <c r="CD89">
        <v>82912</v>
      </c>
      <c r="CE89">
        <v>83311</v>
      </c>
      <c r="CF89">
        <v>83682</v>
      </c>
      <c r="CG89">
        <v>83978</v>
      </c>
      <c r="CH89">
        <v>84394</v>
      </c>
      <c r="CI89">
        <v>84717</v>
      </c>
      <c r="CJ89">
        <v>85057</v>
      </c>
      <c r="CK89">
        <v>85521</v>
      </c>
      <c r="CL89">
        <v>85906</v>
      </c>
      <c r="CM89">
        <v>86133</v>
      </c>
      <c r="CN89" t="s">
        <v>218</v>
      </c>
      <c r="CO89" t="s">
        <v>218</v>
      </c>
      <c r="CP89" t="s">
        <v>218</v>
      </c>
      <c r="CQ89" t="s">
        <v>218</v>
      </c>
      <c r="CR89" t="s">
        <v>218</v>
      </c>
      <c r="CS89" t="s">
        <v>218</v>
      </c>
      <c r="CT89" t="s">
        <v>218</v>
      </c>
      <c r="CU89" t="s">
        <v>218</v>
      </c>
      <c r="CV89" t="s">
        <v>218</v>
      </c>
      <c r="CW89" t="s">
        <v>218</v>
      </c>
    </row>
    <row r="90" spans="1:101" x14ac:dyDescent="0.25">
      <c r="A90" t="s">
        <v>40</v>
      </c>
      <c r="B90">
        <v>32147</v>
      </c>
      <c r="C90">
        <v>33375</v>
      </c>
      <c r="D90">
        <v>34767</v>
      </c>
      <c r="E90">
        <v>35038</v>
      </c>
      <c r="F90">
        <v>35777</v>
      </c>
      <c r="G90">
        <v>37000</v>
      </c>
      <c r="H90">
        <v>37493</v>
      </c>
      <c r="I90">
        <v>38600</v>
      </c>
      <c r="J90">
        <v>39346</v>
      </c>
      <c r="K90">
        <v>40489</v>
      </c>
      <c r="L90">
        <v>40528</v>
      </c>
      <c r="M90">
        <v>40514</v>
      </c>
      <c r="N90">
        <v>42455</v>
      </c>
      <c r="O90">
        <v>42423</v>
      </c>
      <c r="P90">
        <v>42839</v>
      </c>
      <c r="Q90">
        <v>43346</v>
      </c>
      <c r="R90">
        <v>43340</v>
      </c>
      <c r="S90">
        <v>43535</v>
      </c>
      <c r="T90">
        <v>44136</v>
      </c>
      <c r="U90">
        <v>46136</v>
      </c>
      <c r="V90">
        <v>46244</v>
      </c>
      <c r="W90">
        <v>46526</v>
      </c>
      <c r="X90">
        <v>48037</v>
      </c>
      <c r="Y90">
        <v>48689</v>
      </c>
      <c r="Z90">
        <v>49379</v>
      </c>
      <c r="AA90">
        <v>49682</v>
      </c>
      <c r="AB90">
        <v>50560</v>
      </c>
      <c r="AC90">
        <v>51040</v>
      </c>
      <c r="AD90">
        <v>51942</v>
      </c>
      <c r="AE90">
        <v>52658</v>
      </c>
      <c r="AF90">
        <v>53459</v>
      </c>
      <c r="AG90">
        <v>54728</v>
      </c>
      <c r="AH90">
        <v>55470</v>
      </c>
      <c r="AI90">
        <v>56202</v>
      </c>
      <c r="AJ90">
        <v>56843</v>
      </c>
      <c r="AK90">
        <v>57523</v>
      </c>
      <c r="AL90">
        <v>58182</v>
      </c>
      <c r="AM90">
        <v>58522</v>
      </c>
      <c r="AN90">
        <v>58848</v>
      </c>
      <c r="AO90">
        <v>59045</v>
      </c>
      <c r="AP90">
        <v>59119</v>
      </c>
      <c r="AQ90">
        <v>59335</v>
      </c>
      <c r="AR90">
        <v>59728</v>
      </c>
      <c r="AS90">
        <v>59662</v>
      </c>
      <c r="AT90">
        <v>59157</v>
      </c>
      <c r="AU90">
        <v>59211</v>
      </c>
      <c r="AV90">
        <v>61850</v>
      </c>
      <c r="AW90">
        <v>62296</v>
      </c>
      <c r="AX90">
        <v>62960</v>
      </c>
      <c r="AY90">
        <v>63576</v>
      </c>
      <c r="AZ90">
        <v>64044</v>
      </c>
      <c r="BA90">
        <v>64356</v>
      </c>
      <c r="BB90">
        <v>65227</v>
      </c>
      <c r="BC90">
        <v>65675</v>
      </c>
      <c r="BD90">
        <v>66313</v>
      </c>
      <c r="BE90">
        <v>67003</v>
      </c>
      <c r="BF90">
        <v>67709</v>
      </c>
      <c r="BG90">
        <v>68502</v>
      </c>
      <c r="BH90">
        <v>69066</v>
      </c>
      <c r="BI90">
        <v>69714</v>
      </c>
      <c r="BJ90">
        <v>70526</v>
      </c>
      <c r="BK90">
        <v>71094</v>
      </c>
      <c r="BL90">
        <v>71744</v>
      </c>
      <c r="BM90">
        <v>72329</v>
      </c>
      <c r="BN90">
        <v>73058</v>
      </c>
      <c r="BO90">
        <v>73554</v>
      </c>
      <c r="BP90">
        <v>74170</v>
      </c>
      <c r="BQ90">
        <v>74777</v>
      </c>
      <c r="BR90">
        <v>75328</v>
      </c>
      <c r="BS90">
        <v>75910</v>
      </c>
      <c r="BT90">
        <v>76437</v>
      </c>
      <c r="BU90">
        <v>77020</v>
      </c>
      <c r="BV90">
        <v>77529</v>
      </c>
      <c r="BW90">
        <v>77952</v>
      </c>
      <c r="BX90">
        <v>78484</v>
      </c>
      <c r="BY90">
        <v>78979</v>
      </c>
      <c r="BZ90">
        <v>79394</v>
      </c>
      <c r="CA90">
        <v>79950</v>
      </c>
      <c r="CB90">
        <v>80385</v>
      </c>
      <c r="CC90">
        <v>80844</v>
      </c>
      <c r="CD90">
        <v>81284</v>
      </c>
      <c r="CE90">
        <v>81708</v>
      </c>
      <c r="CF90">
        <v>82106</v>
      </c>
      <c r="CG90">
        <v>82428</v>
      </c>
      <c r="CH90">
        <v>82867</v>
      </c>
      <c r="CI90">
        <v>83216</v>
      </c>
      <c r="CJ90">
        <v>83580</v>
      </c>
      <c r="CK90">
        <v>84066</v>
      </c>
      <c r="CL90">
        <v>84474</v>
      </c>
      <c r="CM90" t="s">
        <v>218</v>
      </c>
      <c r="CN90" t="s">
        <v>218</v>
      </c>
      <c r="CO90" t="s">
        <v>218</v>
      </c>
      <c r="CP90" t="s">
        <v>218</v>
      </c>
      <c r="CQ90" t="s">
        <v>218</v>
      </c>
      <c r="CR90" t="s">
        <v>218</v>
      </c>
      <c r="CS90" t="s">
        <v>218</v>
      </c>
      <c r="CT90" t="s">
        <v>218</v>
      </c>
      <c r="CU90" t="s">
        <v>218</v>
      </c>
      <c r="CV90" t="s">
        <v>218</v>
      </c>
      <c r="CW90" t="s">
        <v>218</v>
      </c>
    </row>
    <row r="91" spans="1:101" x14ac:dyDescent="0.25">
      <c r="A91" t="s">
        <v>39</v>
      </c>
      <c r="B91">
        <v>29734</v>
      </c>
      <c r="C91">
        <v>30856</v>
      </c>
      <c r="D91">
        <v>32061</v>
      </c>
      <c r="E91">
        <v>32270</v>
      </c>
      <c r="F91">
        <v>33291</v>
      </c>
      <c r="G91">
        <v>34187</v>
      </c>
      <c r="H91">
        <v>34782</v>
      </c>
      <c r="I91">
        <v>35776</v>
      </c>
      <c r="J91">
        <v>36519</v>
      </c>
      <c r="K91">
        <v>37612</v>
      </c>
      <c r="L91">
        <v>37589</v>
      </c>
      <c r="M91">
        <v>37611</v>
      </c>
      <c r="N91">
        <v>39388</v>
      </c>
      <c r="O91">
        <v>39305</v>
      </c>
      <c r="P91">
        <v>39847</v>
      </c>
      <c r="Q91">
        <v>40306</v>
      </c>
      <c r="R91">
        <v>40286</v>
      </c>
      <c r="S91">
        <v>40478</v>
      </c>
      <c r="T91">
        <v>41031</v>
      </c>
      <c r="U91">
        <v>42983</v>
      </c>
      <c r="V91">
        <v>43183</v>
      </c>
      <c r="W91">
        <v>43349</v>
      </c>
      <c r="X91">
        <v>44955</v>
      </c>
      <c r="Y91">
        <v>45758</v>
      </c>
      <c r="Z91">
        <v>46389</v>
      </c>
      <c r="AA91">
        <v>46749</v>
      </c>
      <c r="AB91">
        <v>47664</v>
      </c>
      <c r="AC91">
        <v>48125</v>
      </c>
      <c r="AD91">
        <v>48981</v>
      </c>
      <c r="AE91">
        <v>49771</v>
      </c>
      <c r="AF91">
        <v>50588</v>
      </c>
      <c r="AG91">
        <v>51738</v>
      </c>
      <c r="AH91">
        <v>52441</v>
      </c>
      <c r="AI91">
        <v>53304</v>
      </c>
      <c r="AJ91">
        <v>53822</v>
      </c>
      <c r="AK91">
        <v>54464</v>
      </c>
      <c r="AL91">
        <v>55250</v>
      </c>
      <c r="AM91">
        <v>55385</v>
      </c>
      <c r="AN91">
        <v>55898</v>
      </c>
      <c r="AO91">
        <v>56172</v>
      </c>
      <c r="AP91">
        <v>56302</v>
      </c>
      <c r="AQ91">
        <v>56544</v>
      </c>
      <c r="AR91">
        <v>56953</v>
      </c>
      <c r="AS91">
        <v>56924</v>
      </c>
      <c r="AT91">
        <v>56476</v>
      </c>
      <c r="AU91">
        <v>56563</v>
      </c>
      <c r="AV91">
        <v>59122</v>
      </c>
      <c r="AW91">
        <v>59590</v>
      </c>
      <c r="AX91">
        <v>60268</v>
      </c>
      <c r="AY91">
        <v>60904</v>
      </c>
      <c r="AZ91">
        <v>61401</v>
      </c>
      <c r="BA91">
        <v>61750</v>
      </c>
      <c r="BB91">
        <v>62637</v>
      </c>
      <c r="BC91">
        <v>63119</v>
      </c>
      <c r="BD91">
        <v>63783</v>
      </c>
      <c r="BE91">
        <v>64497</v>
      </c>
      <c r="BF91">
        <v>65225</v>
      </c>
      <c r="BG91">
        <v>66037</v>
      </c>
      <c r="BH91">
        <v>66628</v>
      </c>
      <c r="BI91">
        <v>67301</v>
      </c>
      <c r="BJ91">
        <v>68131</v>
      </c>
      <c r="BK91">
        <v>68726</v>
      </c>
      <c r="BL91">
        <v>69401</v>
      </c>
      <c r="BM91">
        <v>70011</v>
      </c>
      <c r="BN91">
        <v>70762</v>
      </c>
      <c r="BO91">
        <v>71287</v>
      </c>
      <c r="BP91">
        <v>71929</v>
      </c>
      <c r="BQ91">
        <v>72560</v>
      </c>
      <c r="BR91">
        <v>73139</v>
      </c>
      <c r="BS91">
        <v>73746</v>
      </c>
      <c r="BT91">
        <v>74299</v>
      </c>
      <c r="BU91">
        <v>74907</v>
      </c>
      <c r="BV91">
        <v>75444</v>
      </c>
      <c r="BW91">
        <v>75895</v>
      </c>
      <c r="BX91">
        <v>76454</v>
      </c>
      <c r="BY91">
        <v>76975</v>
      </c>
      <c r="BZ91">
        <v>77418</v>
      </c>
      <c r="CA91">
        <v>77999</v>
      </c>
      <c r="CB91">
        <v>78462</v>
      </c>
      <c r="CC91">
        <v>78946</v>
      </c>
      <c r="CD91">
        <v>79413</v>
      </c>
      <c r="CE91">
        <v>79863</v>
      </c>
      <c r="CF91">
        <v>80288</v>
      </c>
      <c r="CG91">
        <v>80638</v>
      </c>
      <c r="CH91">
        <v>81103</v>
      </c>
      <c r="CI91">
        <v>81479</v>
      </c>
      <c r="CJ91">
        <v>81868</v>
      </c>
      <c r="CK91">
        <v>82378</v>
      </c>
      <c r="CL91" t="s">
        <v>218</v>
      </c>
      <c r="CM91" t="s">
        <v>218</v>
      </c>
      <c r="CN91" t="s">
        <v>218</v>
      </c>
      <c r="CO91" t="s">
        <v>218</v>
      </c>
      <c r="CP91" t="s">
        <v>218</v>
      </c>
      <c r="CQ91" t="s">
        <v>218</v>
      </c>
      <c r="CR91" t="s">
        <v>218</v>
      </c>
      <c r="CS91" t="s">
        <v>218</v>
      </c>
      <c r="CT91" t="s">
        <v>218</v>
      </c>
      <c r="CU91" t="s">
        <v>218</v>
      </c>
      <c r="CV91" t="s">
        <v>218</v>
      </c>
      <c r="CW91" t="s">
        <v>218</v>
      </c>
    </row>
    <row r="92" spans="1:101" x14ac:dyDescent="0.25">
      <c r="A92" t="s">
        <v>38</v>
      </c>
      <c r="B92">
        <v>27160</v>
      </c>
      <c r="C92">
        <v>28166</v>
      </c>
      <c r="D92">
        <v>29255</v>
      </c>
      <c r="E92">
        <v>29664</v>
      </c>
      <c r="F92">
        <v>30597</v>
      </c>
      <c r="G92">
        <v>31331</v>
      </c>
      <c r="H92">
        <v>31861</v>
      </c>
      <c r="I92">
        <v>32882</v>
      </c>
      <c r="J92">
        <v>33638</v>
      </c>
      <c r="K92">
        <v>34445</v>
      </c>
      <c r="L92">
        <v>34677</v>
      </c>
      <c r="M92">
        <v>34566</v>
      </c>
      <c r="N92">
        <v>36216</v>
      </c>
      <c r="O92">
        <v>36190</v>
      </c>
      <c r="P92">
        <v>36679</v>
      </c>
      <c r="Q92">
        <v>37148</v>
      </c>
      <c r="R92">
        <v>36898</v>
      </c>
      <c r="S92">
        <v>37270</v>
      </c>
      <c r="T92">
        <v>37669</v>
      </c>
      <c r="U92">
        <v>39699</v>
      </c>
      <c r="V92">
        <v>39956</v>
      </c>
      <c r="W92">
        <v>40281</v>
      </c>
      <c r="X92">
        <v>41709</v>
      </c>
      <c r="Y92">
        <v>42656</v>
      </c>
      <c r="Z92">
        <v>43243</v>
      </c>
      <c r="AA92">
        <v>43751</v>
      </c>
      <c r="AB92">
        <v>44641</v>
      </c>
      <c r="AC92">
        <v>45063</v>
      </c>
      <c r="AD92">
        <v>45836</v>
      </c>
      <c r="AE92">
        <v>46708</v>
      </c>
      <c r="AF92">
        <v>47552</v>
      </c>
      <c r="AG92">
        <v>48594</v>
      </c>
      <c r="AH92">
        <v>49278</v>
      </c>
      <c r="AI92">
        <v>50143</v>
      </c>
      <c r="AJ92">
        <v>50662</v>
      </c>
      <c r="AK92">
        <v>51293</v>
      </c>
      <c r="AL92">
        <v>51838</v>
      </c>
      <c r="AM92">
        <v>52178</v>
      </c>
      <c r="AN92">
        <v>52757</v>
      </c>
      <c r="AO92">
        <v>53079</v>
      </c>
      <c r="AP92">
        <v>53240</v>
      </c>
      <c r="AQ92">
        <v>53505</v>
      </c>
      <c r="AR92">
        <v>53928</v>
      </c>
      <c r="AS92">
        <v>53937</v>
      </c>
      <c r="AT92">
        <v>53550</v>
      </c>
      <c r="AU92">
        <v>53672</v>
      </c>
      <c r="AV92">
        <v>56143</v>
      </c>
      <c r="AW92">
        <v>56634</v>
      </c>
      <c r="AX92">
        <v>57326</v>
      </c>
      <c r="AY92">
        <v>57983</v>
      </c>
      <c r="AZ92">
        <v>58509</v>
      </c>
      <c r="BA92">
        <v>58895</v>
      </c>
      <c r="BB92">
        <v>59795</v>
      </c>
      <c r="BC92">
        <v>60309</v>
      </c>
      <c r="BD92">
        <v>60996</v>
      </c>
      <c r="BE92">
        <v>61730</v>
      </c>
      <c r="BF92">
        <v>62478</v>
      </c>
      <c r="BG92">
        <v>63306</v>
      </c>
      <c r="BH92">
        <v>63922</v>
      </c>
      <c r="BI92">
        <v>64618</v>
      </c>
      <c r="BJ92">
        <v>65464</v>
      </c>
      <c r="BK92">
        <v>66085</v>
      </c>
      <c r="BL92">
        <v>66782</v>
      </c>
      <c r="BM92">
        <v>67418</v>
      </c>
      <c r="BN92">
        <v>68189</v>
      </c>
      <c r="BO92">
        <v>68742</v>
      </c>
      <c r="BP92">
        <v>69408</v>
      </c>
      <c r="BQ92">
        <v>70064</v>
      </c>
      <c r="BR92">
        <v>70668</v>
      </c>
      <c r="BS92">
        <v>71301</v>
      </c>
      <c r="BT92">
        <v>71880</v>
      </c>
      <c r="BU92">
        <v>72513</v>
      </c>
      <c r="BV92">
        <v>73076</v>
      </c>
      <c r="BW92">
        <v>73558</v>
      </c>
      <c r="BX92">
        <v>74142</v>
      </c>
      <c r="BY92">
        <v>74690</v>
      </c>
      <c r="BZ92">
        <v>75161</v>
      </c>
      <c r="CA92">
        <v>75767</v>
      </c>
      <c r="CB92">
        <v>76258</v>
      </c>
      <c r="CC92">
        <v>76770</v>
      </c>
      <c r="CD92">
        <v>77263</v>
      </c>
      <c r="CE92">
        <v>77741</v>
      </c>
      <c r="CF92">
        <v>78193</v>
      </c>
      <c r="CG92">
        <v>78573</v>
      </c>
      <c r="CH92">
        <v>79064</v>
      </c>
      <c r="CI92">
        <v>79468</v>
      </c>
      <c r="CJ92">
        <v>79886</v>
      </c>
      <c r="CK92" t="s">
        <v>218</v>
      </c>
      <c r="CL92" t="s">
        <v>218</v>
      </c>
      <c r="CM92" t="s">
        <v>218</v>
      </c>
      <c r="CN92" t="s">
        <v>218</v>
      </c>
      <c r="CO92" t="s">
        <v>218</v>
      </c>
      <c r="CP92" t="s">
        <v>218</v>
      </c>
      <c r="CQ92" t="s">
        <v>218</v>
      </c>
      <c r="CR92" t="s">
        <v>218</v>
      </c>
      <c r="CS92" t="s">
        <v>218</v>
      </c>
      <c r="CT92" t="s">
        <v>218</v>
      </c>
      <c r="CU92" t="s">
        <v>218</v>
      </c>
      <c r="CV92" t="s">
        <v>218</v>
      </c>
      <c r="CW92" t="s">
        <v>218</v>
      </c>
    </row>
    <row r="93" spans="1:101" x14ac:dyDescent="0.25">
      <c r="A93" t="s">
        <v>37</v>
      </c>
      <c r="B93">
        <v>24525</v>
      </c>
      <c r="C93">
        <v>25456</v>
      </c>
      <c r="D93">
        <v>26652</v>
      </c>
      <c r="E93">
        <v>26910</v>
      </c>
      <c r="F93">
        <v>27745</v>
      </c>
      <c r="G93">
        <v>28394</v>
      </c>
      <c r="H93">
        <v>28922</v>
      </c>
      <c r="I93">
        <v>29918</v>
      </c>
      <c r="J93">
        <v>30354</v>
      </c>
      <c r="K93">
        <v>31196</v>
      </c>
      <c r="L93">
        <v>31541</v>
      </c>
      <c r="M93">
        <v>31468</v>
      </c>
      <c r="N93">
        <v>32981</v>
      </c>
      <c r="O93">
        <v>32974</v>
      </c>
      <c r="P93">
        <v>33362</v>
      </c>
      <c r="Q93">
        <v>33759</v>
      </c>
      <c r="R93">
        <v>33590</v>
      </c>
      <c r="S93">
        <v>33909</v>
      </c>
      <c r="T93">
        <v>34362</v>
      </c>
      <c r="U93">
        <v>36431</v>
      </c>
      <c r="V93">
        <v>36687</v>
      </c>
      <c r="W93">
        <v>36998</v>
      </c>
      <c r="X93">
        <v>38474</v>
      </c>
      <c r="Y93">
        <v>39432</v>
      </c>
      <c r="Z93">
        <v>40120</v>
      </c>
      <c r="AA93">
        <v>40622</v>
      </c>
      <c r="AB93">
        <v>41497</v>
      </c>
      <c r="AC93">
        <v>41853</v>
      </c>
      <c r="AD93">
        <v>42644</v>
      </c>
      <c r="AE93">
        <v>43605</v>
      </c>
      <c r="AF93">
        <v>44210</v>
      </c>
      <c r="AG93">
        <v>45186</v>
      </c>
      <c r="AH93">
        <v>45786</v>
      </c>
      <c r="AI93">
        <v>46657</v>
      </c>
      <c r="AJ93">
        <v>47326</v>
      </c>
      <c r="AK93">
        <v>47630</v>
      </c>
      <c r="AL93">
        <v>48370</v>
      </c>
      <c r="AM93">
        <v>48786</v>
      </c>
      <c r="AN93">
        <v>49396</v>
      </c>
      <c r="AO93">
        <v>49737</v>
      </c>
      <c r="AP93">
        <v>49926</v>
      </c>
      <c r="AQ93">
        <v>50213</v>
      </c>
      <c r="AR93">
        <v>50649</v>
      </c>
      <c r="AS93">
        <v>50696</v>
      </c>
      <c r="AT93">
        <v>50374</v>
      </c>
      <c r="AU93">
        <v>50532</v>
      </c>
      <c r="AV93">
        <v>52907</v>
      </c>
      <c r="AW93">
        <v>53419</v>
      </c>
      <c r="AX93">
        <v>54125</v>
      </c>
      <c r="AY93">
        <v>54800</v>
      </c>
      <c r="AZ93">
        <v>55353</v>
      </c>
      <c r="BA93">
        <v>55775</v>
      </c>
      <c r="BB93">
        <v>56684</v>
      </c>
      <c r="BC93">
        <v>57226</v>
      </c>
      <c r="BD93">
        <v>57932</v>
      </c>
      <c r="BE93">
        <v>58683</v>
      </c>
      <c r="BF93">
        <v>59446</v>
      </c>
      <c r="BG93">
        <v>60286</v>
      </c>
      <c r="BH93">
        <v>60926</v>
      </c>
      <c r="BI93">
        <v>61641</v>
      </c>
      <c r="BJ93">
        <v>62500</v>
      </c>
      <c r="BK93">
        <v>63144</v>
      </c>
      <c r="BL93">
        <v>63862</v>
      </c>
      <c r="BM93">
        <v>64521</v>
      </c>
      <c r="BN93">
        <v>65310</v>
      </c>
      <c r="BO93">
        <v>65890</v>
      </c>
      <c r="BP93">
        <v>66577</v>
      </c>
      <c r="BQ93">
        <v>67255</v>
      </c>
      <c r="BR93">
        <v>67885</v>
      </c>
      <c r="BS93">
        <v>68541</v>
      </c>
      <c r="BT93">
        <v>69146</v>
      </c>
      <c r="BU93">
        <v>69802</v>
      </c>
      <c r="BV93">
        <v>70392</v>
      </c>
      <c r="BW93">
        <v>70902</v>
      </c>
      <c r="BX93">
        <v>71512</v>
      </c>
      <c r="BY93">
        <v>72086</v>
      </c>
      <c r="BZ93">
        <v>72586</v>
      </c>
      <c r="CA93">
        <v>73217</v>
      </c>
      <c r="CB93">
        <v>73735</v>
      </c>
      <c r="CC93">
        <v>74274</v>
      </c>
      <c r="CD93">
        <v>74795</v>
      </c>
      <c r="CE93">
        <v>75301</v>
      </c>
      <c r="CF93">
        <v>75781</v>
      </c>
      <c r="CG93">
        <v>76192</v>
      </c>
      <c r="CH93">
        <v>76709</v>
      </c>
      <c r="CI93">
        <v>77142</v>
      </c>
      <c r="CJ93" t="s">
        <v>218</v>
      </c>
      <c r="CK93" t="s">
        <v>218</v>
      </c>
      <c r="CL93" t="s">
        <v>218</v>
      </c>
      <c r="CM93" t="s">
        <v>218</v>
      </c>
      <c r="CN93" t="s">
        <v>218</v>
      </c>
      <c r="CO93" t="s">
        <v>218</v>
      </c>
      <c r="CP93" t="s">
        <v>218</v>
      </c>
      <c r="CQ93" t="s">
        <v>218</v>
      </c>
      <c r="CR93" t="s">
        <v>218</v>
      </c>
      <c r="CS93" t="s">
        <v>218</v>
      </c>
      <c r="CT93" t="s">
        <v>218</v>
      </c>
      <c r="CU93" t="s">
        <v>218</v>
      </c>
      <c r="CV93" t="s">
        <v>218</v>
      </c>
      <c r="CW93" t="s">
        <v>218</v>
      </c>
    </row>
    <row r="94" spans="1:101" x14ac:dyDescent="0.25">
      <c r="A94" t="s">
        <v>36</v>
      </c>
      <c r="B94">
        <v>21867</v>
      </c>
      <c r="C94">
        <v>22877</v>
      </c>
      <c r="D94">
        <v>23901</v>
      </c>
      <c r="E94">
        <v>24103</v>
      </c>
      <c r="F94">
        <v>24863</v>
      </c>
      <c r="G94">
        <v>25554</v>
      </c>
      <c r="H94">
        <v>25987</v>
      </c>
      <c r="I94">
        <v>26751</v>
      </c>
      <c r="J94">
        <v>27245</v>
      </c>
      <c r="K94">
        <v>27981</v>
      </c>
      <c r="L94">
        <v>28309</v>
      </c>
      <c r="M94">
        <v>28368</v>
      </c>
      <c r="N94">
        <v>29686</v>
      </c>
      <c r="O94">
        <v>29638</v>
      </c>
      <c r="P94">
        <v>29963</v>
      </c>
      <c r="Q94">
        <v>30390</v>
      </c>
      <c r="R94">
        <v>30293</v>
      </c>
      <c r="S94">
        <v>30521</v>
      </c>
      <c r="T94">
        <v>30993</v>
      </c>
      <c r="U94">
        <v>33045</v>
      </c>
      <c r="V94">
        <v>33303</v>
      </c>
      <c r="W94">
        <v>33750</v>
      </c>
      <c r="X94">
        <v>35093</v>
      </c>
      <c r="Y94">
        <v>36079</v>
      </c>
      <c r="Z94">
        <v>36830</v>
      </c>
      <c r="AA94">
        <v>37243</v>
      </c>
      <c r="AB94">
        <v>38016</v>
      </c>
      <c r="AC94">
        <v>38382</v>
      </c>
      <c r="AD94">
        <v>39260</v>
      </c>
      <c r="AE94">
        <v>40005</v>
      </c>
      <c r="AF94">
        <v>40690</v>
      </c>
      <c r="AG94">
        <v>41627</v>
      </c>
      <c r="AH94">
        <v>42050</v>
      </c>
      <c r="AI94">
        <v>43071</v>
      </c>
      <c r="AJ94">
        <v>43423</v>
      </c>
      <c r="AK94">
        <v>43947</v>
      </c>
      <c r="AL94">
        <v>44733</v>
      </c>
      <c r="AM94">
        <v>45190</v>
      </c>
      <c r="AN94">
        <v>45796</v>
      </c>
      <c r="AO94">
        <v>46152</v>
      </c>
      <c r="AP94">
        <v>46367</v>
      </c>
      <c r="AQ94">
        <v>46673</v>
      </c>
      <c r="AR94">
        <v>47120</v>
      </c>
      <c r="AS94">
        <v>47208</v>
      </c>
      <c r="AT94">
        <v>46953</v>
      </c>
      <c r="AU94">
        <v>47147</v>
      </c>
      <c r="AV94">
        <v>49415</v>
      </c>
      <c r="AW94">
        <v>49947</v>
      </c>
      <c r="AX94">
        <v>50664</v>
      </c>
      <c r="AY94">
        <v>51354</v>
      </c>
      <c r="AZ94">
        <v>51930</v>
      </c>
      <c r="BA94">
        <v>52383</v>
      </c>
      <c r="BB94">
        <v>53294</v>
      </c>
      <c r="BC94">
        <v>53859</v>
      </c>
      <c r="BD94">
        <v>54579</v>
      </c>
      <c r="BE94">
        <v>55341</v>
      </c>
      <c r="BF94">
        <v>56116</v>
      </c>
      <c r="BG94">
        <v>56964</v>
      </c>
      <c r="BH94">
        <v>57622</v>
      </c>
      <c r="BI94">
        <v>58353</v>
      </c>
      <c r="BJ94">
        <v>59221</v>
      </c>
      <c r="BK94">
        <v>59886</v>
      </c>
      <c r="BL94">
        <v>60620</v>
      </c>
      <c r="BM94">
        <v>61299</v>
      </c>
      <c r="BN94">
        <v>62102</v>
      </c>
      <c r="BO94">
        <v>62705</v>
      </c>
      <c r="BP94">
        <v>63412</v>
      </c>
      <c r="BQ94">
        <v>64110</v>
      </c>
      <c r="BR94">
        <v>64762</v>
      </c>
      <c r="BS94">
        <v>65439</v>
      </c>
      <c r="BT94">
        <v>66067</v>
      </c>
      <c r="BU94">
        <v>66745</v>
      </c>
      <c r="BV94">
        <v>67360</v>
      </c>
      <c r="BW94">
        <v>67898</v>
      </c>
      <c r="BX94">
        <v>68531</v>
      </c>
      <c r="BY94">
        <v>69130</v>
      </c>
      <c r="BZ94">
        <v>69658</v>
      </c>
      <c r="CA94">
        <v>70312</v>
      </c>
      <c r="CB94">
        <v>70856</v>
      </c>
      <c r="CC94">
        <v>71422</v>
      </c>
      <c r="CD94">
        <v>71970</v>
      </c>
      <c r="CE94">
        <v>72503</v>
      </c>
      <c r="CF94">
        <v>73011</v>
      </c>
      <c r="CG94">
        <v>73453</v>
      </c>
      <c r="CH94">
        <v>73996</v>
      </c>
      <c r="CI94" t="s">
        <v>218</v>
      </c>
      <c r="CJ94" t="s">
        <v>218</v>
      </c>
      <c r="CK94" t="s">
        <v>218</v>
      </c>
      <c r="CL94" t="s">
        <v>218</v>
      </c>
      <c r="CM94" t="s">
        <v>218</v>
      </c>
      <c r="CN94" t="s">
        <v>218</v>
      </c>
      <c r="CO94" t="s">
        <v>218</v>
      </c>
      <c r="CP94" t="s">
        <v>218</v>
      </c>
      <c r="CQ94" t="s">
        <v>218</v>
      </c>
      <c r="CR94" t="s">
        <v>218</v>
      </c>
      <c r="CS94" t="s">
        <v>218</v>
      </c>
      <c r="CT94" t="s">
        <v>218</v>
      </c>
      <c r="CU94" t="s">
        <v>218</v>
      </c>
      <c r="CV94" t="s">
        <v>218</v>
      </c>
      <c r="CW94" t="s">
        <v>218</v>
      </c>
    </row>
    <row r="95" spans="1:101" x14ac:dyDescent="0.25">
      <c r="A95" t="s">
        <v>35</v>
      </c>
      <c r="B95">
        <v>19383</v>
      </c>
      <c r="C95">
        <v>20339</v>
      </c>
      <c r="D95">
        <v>21073</v>
      </c>
      <c r="E95">
        <v>21232</v>
      </c>
      <c r="F95">
        <v>21918</v>
      </c>
      <c r="G95">
        <v>22697</v>
      </c>
      <c r="H95">
        <v>22828</v>
      </c>
      <c r="I95">
        <v>23730</v>
      </c>
      <c r="J95">
        <v>24098</v>
      </c>
      <c r="K95">
        <v>24826</v>
      </c>
      <c r="L95">
        <v>25129</v>
      </c>
      <c r="M95">
        <v>25058</v>
      </c>
      <c r="N95">
        <v>26216</v>
      </c>
      <c r="O95">
        <v>26257</v>
      </c>
      <c r="P95">
        <v>26560</v>
      </c>
      <c r="Q95">
        <v>26985</v>
      </c>
      <c r="R95">
        <v>26736</v>
      </c>
      <c r="S95">
        <v>27304</v>
      </c>
      <c r="T95">
        <v>27793</v>
      </c>
      <c r="U95">
        <v>29624</v>
      </c>
      <c r="V95">
        <v>29937</v>
      </c>
      <c r="W95">
        <v>30396</v>
      </c>
      <c r="X95">
        <v>31756</v>
      </c>
      <c r="Y95">
        <v>32601</v>
      </c>
      <c r="Z95">
        <v>33393</v>
      </c>
      <c r="AA95">
        <v>33665</v>
      </c>
      <c r="AB95">
        <v>34426</v>
      </c>
      <c r="AC95">
        <v>34941</v>
      </c>
      <c r="AD95">
        <v>35562</v>
      </c>
      <c r="AE95">
        <v>36266</v>
      </c>
      <c r="AF95">
        <v>36946</v>
      </c>
      <c r="AG95">
        <v>37726</v>
      </c>
      <c r="AH95">
        <v>38368</v>
      </c>
      <c r="AI95">
        <v>38968</v>
      </c>
      <c r="AJ95">
        <v>39549</v>
      </c>
      <c r="AK95">
        <v>40133</v>
      </c>
      <c r="AL95">
        <v>40925</v>
      </c>
      <c r="AM95">
        <v>41384</v>
      </c>
      <c r="AN95">
        <v>41981</v>
      </c>
      <c r="AO95">
        <v>42347</v>
      </c>
      <c r="AP95">
        <v>42585</v>
      </c>
      <c r="AQ95">
        <v>42908</v>
      </c>
      <c r="AR95">
        <v>43364</v>
      </c>
      <c r="AS95">
        <v>43492</v>
      </c>
      <c r="AT95">
        <v>43305</v>
      </c>
      <c r="AU95">
        <v>43535</v>
      </c>
      <c r="AV95">
        <v>45684</v>
      </c>
      <c r="AW95">
        <v>46233</v>
      </c>
      <c r="AX95">
        <v>46955</v>
      </c>
      <c r="AY95">
        <v>47653</v>
      </c>
      <c r="AZ95">
        <v>48246</v>
      </c>
      <c r="BA95">
        <v>48725</v>
      </c>
      <c r="BB95">
        <v>49629</v>
      </c>
      <c r="BC95">
        <v>50212</v>
      </c>
      <c r="BD95">
        <v>50939</v>
      </c>
      <c r="BE95">
        <v>51707</v>
      </c>
      <c r="BF95">
        <v>52486</v>
      </c>
      <c r="BG95">
        <v>53336</v>
      </c>
      <c r="BH95">
        <v>54008</v>
      </c>
      <c r="BI95">
        <v>54750</v>
      </c>
      <c r="BJ95">
        <v>55620</v>
      </c>
      <c r="BK95">
        <v>56300</v>
      </c>
      <c r="BL95">
        <v>57045</v>
      </c>
      <c r="BM95">
        <v>57739</v>
      </c>
      <c r="BN95">
        <v>58551</v>
      </c>
      <c r="BO95">
        <v>59174</v>
      </c>
      <c r="BP95">
        <v>59896</v>
      </c>
      <c r="BQ95">
        <v>60609</v>
      </c>
      <c r="BR95">
        <v>61279</v>
      </c>
      <c r="BS95">
        <v>61975</v>
      </c>
      <c r="BT95">
        <v>62623</v>
      </c>
      <c r="BU95">
        <v>63318</v>
      </c>
      <c r="BV95">
        <v>63955</v>
      </c>
      <c r="BW95">
        <v>64518</v>
      </c>
      <c r="BX95">
        <v>65172</v>
      </c>
      <c r="BY95">
        <v>65793</v>
      </c>
      <c r="BZ95">
        <v>66347</v>
      </c>
      <c r="CA95">
        <v>67021</v>
      </c>
      <c r="CB95">
        <v>67591</v>
      </c>
      <c r="CC95">
        <v>68181</v>
      </c>
      <c r="CD95">
        <v>68754</v>
      </c>
      <c r="CE95">
        <v>69312</v>
      </c>
      <c r="CF95">
        <v>69848</v>
      </c>
      <c r="CG95">
        <v>70318</v>
      </c>
      <c r="CH95" t="s">
        <v>218</v>
      </c>
      <c r="CI95" t="s">
        <v>218</v>
      </c>
      <c r="CJ95" t="s">
        <v>218</v>
      </c>
      <c r="CK95" t="s">
        <v>218</v>
      </c>
      <c r="CL95" t="s">
        <v>218</v>
      </c>
      <c r="CM95" t="s">
        <v>218</v>
      </c>
      <c r="CN95" t="s">
        <v>218</v>
      </c>
      <c r="CO95" t="s">
        <v>218</v>
      </c>
      <c r="CP95" t="s">
        <v>218</v>
      </c>
      <c r="CQ95" t="s">
        <v>218</v>
      </c>
      <c r="CR95" t="s">
        <v>218</v>
      </c>
      <c r="CS95" t="s">
        <v>218</v>
      </c>
      <c r="CT95" t="s">
        <v>218</v>
      </c>
      <c r="CU95" t="s">
        <v>218</v>
      </c>
      <c r="CV95" t="s">
        <v>218</v>
      </c>
      <c r="CW95" t="s">
        <v>218</v>
      </c>
    </row>
    <row r="96" spans="1:101" x14ac:dyDescent="0.25">
      <c r="A96" t="s">
        <v>34</v>
      </c>
      <c r="B96">
        <v>16925</v>
      </c>
      <c r="C96">
        <v>17667</v>
      </c>
      <c r="D96">
        <v>18342</v>
      </c>
      <c r="E96">
        <v>18488</v>
      </c>
      <c r="F96">
        <v>19106</v>
      </c>
      <c r="G96">
        <v>19573</v>
      </c>
      <c r="H96">
        <v>19903</v>
      </c>
      <c r="I96">
        <v>20600</v>
      </c>
      <c r="J96">
        <v>20987</v>
      </c>
      <c r="K96">
        <v>21628</v>
      </c>
      <c r="L96">
        <v>21961</v>
      </c>
      <c r="M96">
        <v>21817</v>
      </c>
      <c r="N96">
        <v>22785</v>
      </c>
      <c r="O96">
        <v>22948</v>
      </c>
      <c r="P96">
        <v>23118</v>
      </c>
      <c r="Q96">
        <v>23595</v>
      </c>
      <c r="R96">
        <v>23587</v>
      </c>
      <c r="S96">
        <v>24062</v>
      </c>
      <c r="T96">
        <v>24522</v>
      </c>
      <c r="U96">
        <v>26376</v>
      </c>
      <c r="V96">
        <v>26512</v>
      </c>
      <c r="W96">
        <v>27154</v>
      </c>
      <c r="X96">
        <v>28368</v>
      </c>
      <c r="Y96">
        <v>29153</v>
      </c>
      <c r="Z96">
        <v>29823</v>
      </c>
      <c r="AA96">
        <v>30013</v>
      </c>
      <c r="AB96">
        <v>31027</v>
      </c>
      <c r="AC96">
        <v>31176</v>
      </c>
      <c r="AD96">
        <v>31794</v>
      </c>
      <c r="AE96">
        <v>32308</v>
      </c>
      <c r="AF96">
        <v>33066</v>
      </c>
      <c r="AG96">
        <v>33913</v>
      </c>
      <c r="AH96">
        <v>34164</v>
      </c>
      <c r="AI96">
        <v>34962</v>
      </c>
      <c r="AJ96">
        <v>35593</v>
      </c>
      <c r="AK96">
        <v>36194</v>
      </c>
      <c r="AL96">
        <v>36949</v>
      </c>
      <c r="AM96">
        <v>37404</v>
      </c>
      <c r="AN96">
        <v>37982</v>
      </c>
      <c r="AO96">
        <v>38354</v>
      </c>
      <c r="AP96">
        <v>38612</v>
      </c>
      <c r="AQ96">
        <v>38950</v>
      </c>
      <c r="AR96">
        <v>39410</v>
      </c>
      <c r="AS96">
        <v>39575</v>
      </c>
      <c r="AT96">
        <v>39455</v>
      </c>
      <c r="AU96">
        <v>39717</v>
      </c>
      <c r="AV96">
        <v>41734</v>
      </c>
      <c r="AW96">
        <v>42294</v>
      </c>
      <c r="AX96">
        <v>43012</v>
      </c>
      <c r="AY96">
        <v>43710</v>
      </c>
      <c r="AZ96">
        <v>44313</v>
      </c>
      <c r="BA96">
        <v>44809</v>
      </c>
      <c r="BB96">
        <v>45698</v>
      </c>
      <c r="BC96">
        <v>46290</v>
      </c>
      <c r="BD96">
        <v>47017</v>
      </c>
      <c r="BE96">
        <v>47782</v>
      </c>
      <c r="BF96">
        <v>48559</v>
      </c>
      <c r="BG96">
        <v>49402</v>
      </c>
      <c r="BH96">
        <v>50082</v>
      </c>
      <c r="BI96">
        <v>50826</v>
      </c>
      <c r="BJ96">
        <v>51692</v>
      </c>
      <c r="BK96">
        <v>52379</v>
      </c>
      <c r="BL96">
        <v>53130</v>
      </c>
      <c r="BM96">
        <v>53833</v>
      </c>
      <c r="BN96">
        <v>54646</v>
      </c>
      <c r="BO96">
        <v>55284</v>
      </c>
      <c r="BP96">
        <v>56015</v>
      </c>
      <c r="BQ96">
        <v>56738</v>
      </c>
      <c r="BR96">
        <v>57421</v>
      </c>
      <c r="BS96">
        <v>58128</v>
      </c>
      <c r="BT96">
        <v>58792</v>
      </c>
      <c r="BU96">
        <v>59500</v>
      </c>
      <c r="BV96">
        <v>60153</v>
      </c>
      <c r="BW96">
        <v>60737</v>
      </c>
      <c r="BX96">
        <v>61407</v>
      </c>
      <c r="BY96">
        <v>62047</v>
      </c>
      <c r="BZ96">
        <v>62623</v>
      </c>
      <c r="CA96">
        <v>63313</v>
      </c>
      <c r="CB96">
        <v>63904</v>
      </c>
      <c r="CC96">
        <v>64515</v>
      </c>
      <c r="CD96">
        <v>65111</v>
      </c>
      <c r="CE96">
        <v>65692</v>
      </c>
      <c r="CF96">
        <v>66251</v>
      </c>
      <c r="CG96" t="s">
        <v>218</v>
      </c>
      <c r="CH96" t="s">
        <v>218</v>
      </c>
      <c r="CI96" t="s">
        <v>218</v>
      </c>
      <c r="CJ96" t="s">
        <v>218</v>
      </c>
      <c r="CK96" t="s">
        <v>218</v>
      </c>
      <c r="CL96" t="s">
        <v>218</v>
      </c>
      <c r="CM96" t="s">
        <v>218</v>
      </c>
      <c r="CN96" t="s">
        <v>218</v>
      </c>
      <c r="CO96" t="s">
        <v>218</v>
      </c>
      <c r="CP96" t="s">
        <v>218</v>
      </c>
      <c r="CQ96" t="s">
        <v>218</v>
      </c>
      <c r="CR96" t="s">
        <v>218</v>
      </c>
      <c r="CS96" t="s">
        <v>218</v>
      </c>
      <c r="CT96" t="s">
        <v>218</v>
      </c>
      <c r="CU96" t="s">
        <v>218</v>
      </c>
      <c r="CV96" t="s">
        <v>218</v>
      </c>
      <c r="CW96" t="s">
        <v>218</v>
      </c>
    </row>
    <row r="97" spans="1:101" x14ac:dyDescent="0.25">
      <c r="A97" t="s">
        <v>33</v>
      </c>
      <c r="B97">
        <v>14499</v>
      </c>
      <c r="C97">
        <v>15075</v>
      </c>
      <c r="D97">
        <v>15674</v>
      </c>
      <c r="E97">
        <v>15850</v>
      </c>
      <c r="F97">
        <v>16254</v>
      </c>
      <c r="G97">
        <v>16720</v>
      </c>
      <c r="H97">
        <v>17123</v>
      </c>
      <c r="I97">
        <v>17591</v>
      </c>
      <c r="J97">
        <v>17965</v>
      </c>
      <c r="K97">
        <v>18504</v>
      </c>
      <c r="L97">
        <v>18771</v>
      </c>
      <c r="M97">
        <v>18726</v>
      </c>
      <c r="N97">
        <v>19533</v>
      </c>
      <c r="O97">
        <v>19701</v>
      </c>
      <c r="P97">
        <v>19742</v>
      </c>
      <c r="Q97">
        <v>20408</v>
      </c>
      <c r="R97">
        <v>20378</v>
      </c>
      <c r="S97">
        <v>20876</v>
      </c>
      <c r="T97">
        <v>21498</v>
      </c>
      <c r="U97">
        <v>23032</v>
      </c>
      <c r="V97">
        <v>23203</v>
      </c>
      <c r="W97">
        <v>23862</v>
      </c>
      <c r="X97">
        <v>25027</v>
      </c>
      <c r="Y97">
        <v>25740</v>
      </c>
      <c r="Z97">
        <v>26324</v>
      </c>
      <c r="AA97">
        <v>26490</v>
      </c>
      <c r="AB97">
        <v>27186</v>
      </c>
      <c r="AC97">
        <v>27420</v>
      </c>
      <c r="AD97">
        <v>27951</v>
      </c>
      <c r="AE97">
        <v>28257</v>
      </c>
      <c r="AF97">
        <v>29239</v>
      </c>
      <c r="AG97">
        <v>29654</v>
      </c>
      <c r="AH97">
        <v>30137</v>
      </c>
      <c r="AI97">
        <v>30945</v>
      </c>
      <c r="AJ97">
        <v>31576</v>
      </c>
      <c r="AK97">
        <v>32146</v>
      </c>
      <c r="AL97">
        <v>32855</v>
      </c>
      <c r="AM97">
        <v>33297</v>
      </c>
      <c r="AN97">
        <v>33851</v>
      </c>
      <c r="AO97">
        <v>34223</v>
      </c>
      <c r="AP97">
        <v>34496</v>
      </c>
      <c r="AQ97">
        <v>34843</v>
      </c>
      <c r="AR97">
        <v>35302</v>
      </c>
      <c r="AS97">
        <v>35499</v>
      </c>
      <c r="AT97">
        <v>35442</v>
      </c>
      <c r="AU97">
        <v>35730</v>
      </c>
      <c r="AV97">
        <v>37601</v>
      </c>
      <c r="AW97">
        <v>38162</v>
      </c>
      <c r="AX97">
        <v>38868</v>
      </c>
      <c r="AY97">
        <v>39555</v>
      </c>
      <c r="AZ97">
        <v>40156</v>
      </c>
      <c r="BA97">
        <v>40661</v>
      </c>
      <c r="BB97">
        <v>41523</v>
      </c>
      <c r="BC97">
        <v>42117</v>
      </c>
      <c r="BD97">
        <v>42834</v>
      </c>
      <c r="BE97">
        <v>43587</v>
      </c>
      <c r="BF97">
        <v>44353</v>
      </c>
      <c r="BG97">
        <v>45179</v>
      </c>
      <c r="BH97">
        <v>45858</v>
      </c>
      <c r="BI97">
        <v>46596</v>
      </c>
      <c r="BJ97">
        <v>47446</v>
      </c>
      <c r="BK97">
        <v>48135</v>
      </c>
      <c r="BL97">
        <v>48881</v>
      </c>
      <c r="BM97">
        <v>49585</v>
      </c>
      <c r="BN97">
        <v>50391</v>
      </c>
      <c r="BO97">
        <v>51036</v>
      </c>
      <c r="BP97">
        <v>51768</v>
      </c>
      <c r="BQ97">
        <v>52493</v>
      </c>
      <c r="BR97">
        <v>53181</v>
      </c>
      <c r="BS97">
        <v>53893</v>
      </c>
      <c r="BT97">
        <v>54565</v>
      </c>
      <c r="BU97">
        <v>55279</v>
      </c>
      <c r="BV97">
        <v>55942</v>
      </c>
      <c r="BW97">
        <v>56542</v>
      </c>
      <c r="BX97">
        <v>57221</v>
      </c>
      <c r="BY97">
        <v>57873</v>
      </c>
      <c r="BZ97">
        <v>58467</v>
      </c>
      <c r="CA97">
        <v>59166</v>
      </c>
      <c r="CB97">
        <v>59775</v>
      </c>
      <c r="CC97">
        <v>60401</v>
      </c>
      <c r="CD97">
        <v>61014</v>
      </c>
      <c r="CE97">
        <v>61613</v>
      </c>
      <c r="CF97" t="s">
        <v>218</v>
      </c>
      <c r="CG97" t="s">
        <v>218</v>
      </c>
      <c r="CH97" t="s">
        <v>218</v>
      </c>
      <c r="CI97" t="s">
        <v>218</v>
      </c>
      <c r="CJ97" t="s">
        <v>218</v>
      </c>
      <c r="CK97" t="s">
        <v>218</v>
      </c>
      <c r="CL97" t="s">
        <v>218</v>
      </c>
      <c r="CM97" t="s">
        <v>218</v>
      </c>
      <c r="CN97" t="s">
        <v>218</v>
      </c>
      <c r="CO97" t="s">
        <v>218</v>
      </c>
      <c r="CP97" t="s">
        <v>218</v>
      </c>
      <c r="CQ97" t="s">
        <v>218</v>
      </c>
      <c r="CR97" t="s">
        <v>218</v>
      </c>
      <c r="CS97" t="s">
        <v>218</v>
      </c>
      <c r="CT97" t="s">
        <v>218</v>
      </c>
      <c r="CU97" t="s">
        <v>218</v>
      </c>
      <c r="CV97" t="s">
        <v>218</v>
      </c>
      <c r="CW97" t="s">
        <v>218</v>
      </c>
    </row>
    <row r="98" spans="1:101" x14ac:dyDescent="0.25">
      <c r="A98" t="s">
        <v>32</v>
      </c>
      <c r="B98">
        <v>12183</v>
      </c>
      <c r="C98">
        <v>12738</v>
      </c>
      <c r="D98">
        <v>13277</v>
      </c>
      <c r="E98">
        <v>13202</v>
      </c>
      <c r="F98">
        <v>13635</v>
      </c>
      <c r="G98">
        <v>13981</v>
      </c>
      <c r="H98">
        <v>14370</v>
      </c>
      <c r="I98">
        <v>14853</v>
      </c>
      <c r="J98">
        <v>15085</v>
      </c>
      <c r="K98">
        <v>15553</v>
      </c>
      <c r="L98">
        <v>15753</v>
      </c>
      <c r="M98">
        <v>15718</v>
      </c>
      <c r="N98">
        <v>16436</v>
      </c>
      <c r="O98">
        <v>16513</v>
      </c>
      <c r="P98">
        <v>16769</v>
      </c>
      <c r="Q98">
        <v>17353</v>
      </c>
      <c r="R98">
        <v>17322</v>
      </c>
      <c r="S98">
        <v>17862</v>
      </c>
      <c r="T98">
        <v>18448</v>
      </c>
      <c r="U98">
        <v>19787</v>
      </c>
      <c r="V98">
        <v>19946</v>
      </c>
      <c r="W98">
        <v>20688</v>
      </c>
      <c r="X98">
        <v>21567</v>
      </c>
      <c r="Y98">
        <v>22204</v>
      </c>
      <c r="Z98">
        <v>22880</v>
      </c>
      <c r="AA98">
        <v>22931</v>
      </c>
      <c r="AB98">
        <v>23383</v>
      </c>
      <c r="AC98">
        <v>23578</v>
      </c>
      <c r="AD98">
        <v>24191</v>
      </c>
      <c r="AE98">
        <v>24392</v>
      </c>
      <c r="AF98">
        <v>25076</v>
      </c>
      <c r="AG98">
        <v>25664</v>
      </c>
      <c r="AH98">
        <v>26178</v>
      </c>
      <c r="AI98">
        <v>26946</v>
      </c>
      <c r="AJ98">
        <v>27530</v>
      </c>
      <c r="AK98">
        <v>28062</v>
      </c>
      <c r="AL98">
        <v>28716</v>
      </c>
      <c r="AM98">
        <v>29137</v>
      </c>
      <c r="AN98">
        <v>29660</v>
      </c>
      <c r="AO98">
        <v>30026</v>
      </c>
      <c r="AP98">
        <v>30308</v>
      </c>
      <c r="AQ98">
        <v>30656</v>
      </c>
      <c r="AR98">
        <v>31107</v>
      </c>
      <c r="AS98">
        <v>31330</v>
      </c>
      <c r="AT98">
        <v>31330</v>
      </c>
      <c r="AU98">
        <v>31636</v>
      </c>
      <c r="AV98">
        <v>33346</v>
      </c>
      <c r="AW98">
        <v>33898</v>
      </c>
      <c r="AX98">
        <v>34578</v>
      </c>
      <c r="AY98">
        <v>35243</v>
      </c>
      <c r="AZ98">
        <v>35832</v>
      </c>
      <c r="BA98">
        <v>36335</v>
      </c>
      <c r="BB98">
        <v>37160</v>
      </c>
      <c r="BC98">
        <v>37745</v>
      </c>
      <c r="BD98">
        <v>38442</v>
      </c>
      <c r="BE98">
        <v>39172</v>
      </c>
      <c r="BF98">
        <v>39915</v>
      </c>
      <c r="BG98">
        <v>40714</v>
      </c>
      <c r="BH98">
        <v>41381</v>
      </c>
      <c r="BI98">
        <v>42102</v>
      </c>
      <c r="BJ98">
        <v>42926</v>
      </c>
      <c r="BK98">
        <v>43605</v>
      </c>
      <c r="BL98">
        <v>44337</v>
      </c>
      <c r="BM98">
        <v>45032</v>
      </c>
      <c r="BN98">
        <v>45820</v>
      </c>
      <c r="BO98">
        <v>46464</v>
      </c>
      <c r="BP98">
        <v>47186</v>
      </c>
      <c r="BQ98">
        <v>47904</v>
      </c>
      <c r="BR98">
        <v>48589</v>
      </c>
      <c r="BS98">
        <v>49296</v>
      </c>
      <c r="BT98">
        <v>49968</v>
      </c>
      <c r="BU98">
        <v>50677</v>
      </c>
      <c r="BV98">
        <v>51342</v>
      </c>
      <c r="BW98">
        <v>51949</v>
      </c>
      <c r="BX98">
        <v>52630</v>
      </c>
      <c r="BY98">
        <v>53287</v>
      </c>
      <c r="BZ98">
        <v>53890</v>
      </c>
      <c r="CA98">
        <v>54591</v>
      </c>
      <c r="CB98">
        <v>55209</v>
      </c>
      <c r="CC98">
        <v>55844</v>
      </c>
      <c r="CD98">
        <v>56467</v>
      </c>
      <c r="CE98" t="s">
        <v>218</v>
      </c>
      <c r="CF98" t="s">
        <v>218</v>
      </c>
      <c r="CG98" t="s">
        <v>218</v>
      </c>
      <c r="CH98" t="s">
        <v>218</v>
      </c>
      <c r="CI98" t="s">
        <v>218</v>
      </c>
      <c r="CJ98" t="s">
        <v>218</v>
      </c>
      <c r="CK98" t="s">
        <v>218</v>
      </c>
      <c r="CL98" t="s">
        <v>218</v>
      </c>
      <c r="CM98" t="s">
        <v>218</v>
      </c>
      <c r="CN98" t="s">
        <v>218</v>
      </c>
      <c r="CO98" t="s">
        <v>218</v>
      </c>
      <c r="CP98" t="s">
        <v>218</v>
      </c>
      <c r="CQ98" t="s">
        <v>218</v>
      </c>
      <c r="CR98" t="s">
        <v>218</v>
      </c>
      <c r="CS98" t="s">
        <v>218</v>
      </c>
      <c r="CT98" t="s">
        <v>218</v>
      </c>
      <c r="CU98" t="s">
        <v>218</v>
      </c>
      <c r="CV98" t="s">
        <v>218</v>
      </c>
      <c r="CW98" t="s">
        <v>218</v>
      </c>
    </row>
    <row r="99" spans="1:101" x14ac:dyDescent="0.25">
      <c r="A99" t="s">
        <v>31</v>
      </c>
      <c r="B99">
        <v>10067</v>
      </c>
      <c r="C99">
        <v>10526</v>
      </c>
      <c r="D99">
        <v>10759</v>
      </c>
      <c r="E99">
        <v>10894</v>
      </c>
      <c r="F99">
        <v>11233</v>
      </c>
      <c r="G99">
        <v>11535</v>
      </c>
      <c r="H99">
        <v>11794</v>
      </c>
      <c r="I99">
        <v>12217</v>
      </c>
      <c r="J99">
        <v>12346</v>
      </c>
      <c r="K99">
        <v>12859</v>
      </c>
      <c r="L99">
        <v>13025</v>
      </c>
      <c r="M99">
        <v>12889</v>
      </c>
      <c r="N99">
        <v>13492</v>
      </c>
      <c r="O99">
        <v>13768</v>
      </c>
      <c r="P99">
        <v>14013</v>
      </c>
      <c r="Q99">
        <v>14431</v>
      </c>
      <c r="R99">
        <v>14561</v>
      </c>
      <c r="S99">
        <v>15004</v>
      </c>
      <c r="T99">
        <v>15530</v>
      </c>
      <c r="U99">
        <v>16755</v>
      </c>
      <c r="V99">
        <v>17011</v>
      </c>
      <c r="W99">
        <v>17431</v>
      </c>
      <c r="X99">
        <v>18315</v>
      </c>
      <c r="Y99">
        <v>18765</v>
      </c>
      <c r="Z99">
        <v>19367</v>
      </c>
      <c r="AA99">
        <v>19305</v>
      </c>
      <c r="AB99">
        <v>19875</v>
      </c>
      <c r="AC99">
        <v>19892</v>
      </c>
      <c r="AD99">
        <v>20485</v>
      </c>
      <c r="AE99">
        <v>20458</v>
      </c>
      <c r="AF99">
        <v>21249</v>
      </c>
      <c r="AG99">
        <v>21831</v>
      </c>
      <c r="AH99">
        <v>22325</v>
      </c>
      <c r="AI99">
        <v>23010</v>
      </c>
      <c r="AJ99">
        <v>23540</v>
      </c>
      <c r="AK99">
        <v>24025</v>
      </c>
      <c r="AL99">
        <v>24617</v>
      </c>
      <c r="AM99">
        <v>25012</v>
      </c>
      <c r="AN99">
        <v>25497</v>
      </c>
      <c r="AO99">
        <v>25850</v>
      </c>
      <c r="AP99">
        <v>26133</v>
      </c>
      <c r="AQ99">
        <v>26476</v>
      </c>
      <c r="AR99">
        <v>26911</v>
      </c>
      <c r="AS99">
        <v>27150</v>
      </c>
      <c r="AT99">
        <v>27197</v>
      </c>
      <c r="AU99">
        <v>27511</v>
      </c>
      <c r="AV99">
        <v>29048</v>
      </c>
      <c r="AW99">
        <v>29578</v>
      </c>
      <c r="AX99">
        <v>30221</v>
      </c>
      <c r="AY99">
        <v>30851</v>
      </c>
      <c r="AZ99">
        <v>31417</v>
      </c>
      <c r="BA99">
        <v>31908</v>
      </c>
      <c r="BB99">
        <v>32682</v>
      </c>
      <c r="BC99">
        <v>33248</v>
      </c>
      <c r="BD99">
        <v>33913</v>
      </c>
      <c r="BE99">
        <v>34608</v>
      </c>
      <c r="BF99">
        <v>35317</v>
      </c>
      <c r="BG99">
        <v>36076</v>
      </c>
      <c r="BH99">
        <v>36720</v>
      </c>
      <c r="BI99">
        <v>37413</v>
      </c>
      <c r="BJ99">
        <v>38198</v>
      </c>
      <c r="BK99">
        <v>38856</v>
      </c>
      <c r="BL99">
        <v>39563</v>
      </c>
      <c r="BM99">
        <v>40236</v>
      </c>
      <c r="BN99">
        <v>40995</v>
      </c>
      <c r="BO99">
        <v>41626</v>
      </c>
      <c r="BP99">
        <v>42327</v>
      </c>
      <c r="BQ99">
        <v>43026</v>
      </c>
      <c r="BR99">
        <v>43697</v>
      </c>
      <c r="BS99">
        <v>44388</v>
      </c>
      <c r="BT99">
        <v>45048</v>
      </c>
      <c r="BU99">
        <v>45744</v>
      </c>
      <c r="BV99">
        <v>46400</v>
      </c>
      <c r="BW99">
        <v>47004</v>
      </c>
      <c r="BX99">
        <v>47676</v>
      </c>
      <c r="BY99">
        <v>48327</v>
      </c>
      <c r="BZ99">
        <v>48930</v>
      </c>
      <c r="CA99">
        <v>49623</v>
      </c>
      <c r="CB99">
        <v>50240</v>
      </c>
      <c r="CC99">
        <v>50874</v>
      </c>
      <c r="CD99" t="s">
        <v>218</v>
      </c>
      <c r="CE99" t="s">
        <v>218</v>
      </c>
      <c r="CF99" t="s">
        <v>218</v>
      </c>
      <c r="CG99" t="s">
        <v>218</v>
      </c>
      <c r="CH99" t="s">
        <v>218</v>
      </c>
      <c r="CI99" t="s">
        <v>218</v>
      </c>
      <c r="CJ99" t="s">
        <v>218</v>
      </c>
      <c r="CK99" t="s">
        <v>218</v>
      </c>
      <c r="CL99" t="s">
        <v>218</v>
      </c>
      <c r="CM99" t="s">
        <v>218</v>
      </c>
      <c r="CN99" t="s">
        <v>218</v>
      </c>
      <c r="CO99" t="s">
        <v>218</v>
      </c>
      <c r="CP99" t="s">
        <v>218</v>
      </c>
      <c r="CQ99" t="s">
        <v>218</v>
      </c>
      <c r="CR99" t="s">
        <v>218</v>
      </c>
      <c r="CS99" t="s">
        <v>218</v>
      </c>
      <c r="CT99" t="s">
        <v>218</v>
      </c>
      <c r="CU99" t="s">
        <v>218</v>
      </c>
      <c r="CV99" t="s">
        <v>218</v>
      </c>
      <c r="CW99" t="s">
        <v>218</v>
      </c>
    </row>
    <row r="100" spans="1:101" x14ac:dyDescent="0.25">
      <c r="A100" t="s">
        <v>30</v>
      </c>
      <c r="B100">
        <v>8082</v>
      </c>
      <c r="C100">
        <v>8322</v>
      </c>
      <c r="D100">
        <v>8575</v>
      </c>
      <c r="E100">
        <v>8713</v>
      </c>
      <c r="F100">
        <v>9008</v>
      </c>
      <c r="G100">
        <v>9350</v>
      </c>
      <c r="H100">
        <v>9556</v>
      </c>
      <c r="I100">
        <v>9775</v>
      </c>
      <c r="J100">
        <v>9896</v>
      </c>
      <c r="K100">
        <v>10364</v>
      </c>
      <c r="L100">
        <v>10288</v>
      </c>
      <c r="M100">
        <v>10372</v>
      </c>
      <c r="N100">
        <v>10939</v>
      </c>
      <c r="O100">
        <v>11126</v>
      </c>
      <c r="P100">
        <v>11548</v>
      </c>
      <c r="Q100">
        <v>11891</v>
      </c>
      <c r="R100">
        <v>11925</v>
      </c>
      <c r="S100">
        <v>12476</v>
      </c>
      <c r="T100">
        <v>12852</v>
      </c>
      <c r="U100">
        <v>13843</v>
      </c>
      <c r="V100">
        <v>13922</v>
      </c>
      <c r="W100">
        <v>14457</v>
      </c>
      <c r="X100">
        <v>15262</v>
      </c>
      <c r="Y100">
        <v>15443</v>
      </c>
      <c r="Z100">
        <v>16003</v>
      </c>
      <c r="AA100">
        <v>15841</v>
      </c>
      <c r="AB100">
        <v>16328</v>
      </c>
      <c r="AC100">
        <v>16508</v>
      </c>
      <c r="AD100">
        <v>16772</v>
      </c>
      <c r="AE100">
        <v>16928</v>
      </c>
      <c r="AF100">
        <v>17658</v>
      </c>
      <c r="AG100">
        <v>18191</v>
      </c>
      <c r="AH100">
        <v>18628</v>
      </c>
      <c r="AI100">
        <v>19226</v>
      </c>
      <c r="AJ100">
        <v>19695</v>
      </c>
      <c r="AK100">
        <v>20128</v>
      </c>
      <c r="AL100">
        <v>20653</v>
      </c>
      <c r="AM100">
        <v>21017</v>
      </c>
      <c r="AN100">
        <v>21458</v>
      </c>
      <c r="AO100">
        <v>21790</v>
      </c>
      <c r="AP100">
        <v>22066</v>
      </c>
      <c r="AQ100">
        <v>22396</v>
      </c>
      <c r="AR100">
        <v>22805</v>
      </c>
      <c r="AS100">
        <v>23051</v>
      </c>
      <c r="AT100">
        <v>23134</v>
      </c>
      <c r="AU100">
        <v>23443</v>
      </c>
      <c r="AV100">
        <v>24797</v>
      </c>
      <c r="AW100">
        <v>25294</v>
      </c>
      <c r="AX100">
        <v>25888</v>
      </c>
      <c r="AY100">
        <v>26472</v>
      </c>
      <c r="AZ100">
        <v>27002</v>
      </c>
      <c r="BA100">
        <v>27470</v>
      </c>
      <c r="BB100">
        <v>28183</v>
      </c>
      <c r="BC100">
        <v>28717</v>
      </c>
      <c r="BD100">
        <v>29338</v>
      </c>
      <c r="BE100">
        <v>29987</v>
      </c>
      <c r="BF100">
        <v>30649</v>
      </c>
      <c r="BG100">
        <v>31357</v>
      </c>
      <c r="BH100">
        <v>31965</v>
      </c>
      <c r="BI100">
        <v>32617</v>
      </c>
      <c r="BJ100">
        <v>33351</v>
      </c>
      <c r="BK100">
        <v>33976</v>
      </c>
      <c r="BL100">
        <v>34644</v>
      </c>
      <c r="BM100">
        <v>35284</v>
      </c>
      <c r="BN100">
        <v>36001</v>
      </c>
      <c r="BO100">
        <v>36606</v>
      </c>
      <c r="BP100">
        <v>37275</v>
      </c>
      <c r="BQ100">
        <v>37942</v>
      </c>
      <c r="BR100">
        <v>38586</v>
      </c>
      <c r="BS100">
        <v>39249</v>
      </c>
      <c r="BT100">
        <v>39886</v>
      </c>
      <c r="BU100">
        <v>40555</v>
      </c>
      <c r="BV100">
        <v>41189</v>
      </c>
      <c r="BW100">
        <v>41779</v>
      </c>
      <c r="BX100">
        <v>42430</v>
      </c>
      <c r="BY100">
        <v>43063</v>
      </c>
      <c r="BZ100">
        <v>43654</v>
      </c>
      <c r="CA100">
        <v>44326</v>
      </c>
      <c r="CB100">
        <v>44932</v>
      </c>
      <c r="CC100" t="s">
        <v>218</v>
      </c>
      <c r="CD100" t="s">
        <v>218</v>
      </c>
      <c r="CE100" t="s">
        <v>218</v>
      </c>
      <c r="CF100" t="s">
        <v>218</v>
      </c>
      <c r="CG100" t="s">
        <v>218</v>
      </c>
      <c r="CH100" t="s">
        <v>218</v>
      </c>
      <c r="CI100" t="s">
        <v>218</v>
      </c>
      <c r="CJ100" t="s">
        <v>218</v>
      </c>
      <c r="CK100" t="s">
        <v>218</v>
      </c>
      <c r="CL100" t="s">
        <v>218</v>
      </c>
      <c r="CM100" t="s">
        <v>218</v>
      </c>
      <c r="CN100" t="s">
        <v>218</v>
      </c>
      <c r="CO100" t="s">
        <v>218</v>
      </c>
      <c r="CP100" t="s">
        <v>218</v>
      </c>
      <c r="CQ100" t="s">
        <v>218</v>
      </c>
      <c r="CR100" t="s">
        <v>218</v>
      </c>
      <c r="CS100" t="s">
        <v>218</v>
      </c>
      <c r="CT100" t="s">
        <v>218</v>
      </c>
      <c r="CU100" t="s">
        <v>218</v>
      </c>
      <c r="CV100" t="s">
        <v>218</v>
      </c>
      <c r="CW100" t="s">
        <v>218</v>
      </c>
    </row>
    <row r="101" spans="1:101" x14ac:dyDescent="0.25">
      <c r="A101" t="s">
        <v>29</v>
      </c>
      <c r="B101">
        <v>6266</v>
      </c>
      <c r="C101">
        <v>6582</v>
      </c>
      <c r="D101">
        <v>6760</v>
      </c>
      <c r="E101">
        <v>6831</v>
      </c>
      <c r="F101">
        <v>7021</v>
      </c>
      <c r="G101">
        <v>7336</v>
      </c>
      <c r="H101">
        <v>7496</v>
      </c>
      <c r="I101">
        <v>7634</v>
      </c>
      <c r="J101">
        <v>7770</v>
      </c>
      <c r="K101">
        <v>8074</v>
      </c>
      <c r="L101">
        <v>8076</v>
      </c>
      <c r="M101">
        <v>8256</v>
      </c>
      <c r="N101">
        <v>8725</v>
      </c>
      <c r="O101">
        <v>8860</v>
      </c>
      <c r="P101">
        <v>9405</v>
      </c>
      <c r="Q101">
        <v>9547</v>
      </c>
      <c r="R101">
        <v>9643</v>
      </c>
      <c r="S101">
        <v>10047</v>
      </c>
      <c r="T101">
        <v>10466</v>
      </c>
      <c r="U101">
        <v>11234</v>
      </c>
      <c r="V101">
        <v>11240</v>
      </c>
      <c r="W101">
        <v>11783</v>
      </c>
      <c r="X101">
        <v>12233</v>
      </c>
      <c r="Y101">
        <v>12453</v>
      </c>
      <c r="Z101">
        <v>12781</v>
      </c>
      <c r="AA101">
        <v>12633</v>
      </c>
      <c r="AB101">
        <v>13181</v>
      </c>
      <c r="AC101">
        <v>13152</v>
      </c>
      <c r="AD101">
        <v>13530</v>
      </c>
      <c r="AE101">
        <v>13718</v>
      </c>
      <c r="AF101">
        <v>14351</v>
      </c>
      <c r="AG101">
        <v>14806</v>
      </c>
      <c r="AH101">
        <v>15183</v>
      </c>
      <c r="AI101">
        <v>15691</v>
      </c>
      <c r="AJ101">
        <v>16096</v>
      </c>
      <c r="AK101">
        <v>16474</v>
      </c>
      <c r="AL101">
        <v>16930</v>
      </c>
      <c r="AM101">
        <v>17256</v>
      </c>
      <c r="AN101">
        <v>17648</v>
      </c>
      <c r="AO101">
        <v>17953</v>
      </c>
      <c r="AP101">
        <v>18214</v>
      </c>
      <c r="AQ101">
        <v>18522</v>
      </c>
      <c r="AR101">
        <v>18897</v>
      </c>
      <c r="AS101">
        <v>19137</v>
      </c>
      <c r="AT101">
        <v>19243</v>
      </c>
      <c r="AU101">
        <v>19537</v>
      </c>
      <c r="AV101">
        <v>20703</v>
      </c>
      <c r="AW101">
        <v>21156</v>
      </c>
      <c r="AX101">
        <v>21692</v>
      </c>
      <c r="AY101">
        <v>22220</v>
      </c>
      <c r="AZ101">
        <v>22705</v>
      </c>
      <c r="BA101">
        <v>23138</v>
      </c>
      <c r="BB101">
        <v>23779</v>
      </c>
      <c r="BC101">
        <v>24271</v>
      </c>
      <c r="BD101">
        <v>24838</v>
      </c>
      <c r="BE101">
        <v>25429</v>
      </c>
      <c r="BF101">
        <v>26033</v>
      </c>
      <c r="BG101">
        <v>26677</v>
      </c>
      <c r="BH101">
        <v>27238</v>
      </c>
      <c r="BI101">
        <v>27838</v>
      </c>
      <c r="BJ101">
        <v>28510</v>
      </c>
      <c r="BK101">
        <v>29088</v>
      </c>
      <c r="BL101">
        <v>29706</v>
      </c>
      <c r="BM101">
        <v>30301</v>
      </c>
      <c r="BN101">
        <v>30963</v>
      </c>
      <c r="BO101">
        <v>31530</v>
      </c>
      <c r="BP101">
        <v>32154</v>
      </c>
      <c r="BQ101">
        <v>32776</v>
      </c>
      <c r="BR101">
        <v>33380</v>
      </c>
      <c r="BS101">
        <v>34002</v>
      </c>
      <c r="BT101">
        <v>34603</v>
      </c>
      <c r="BU101">
        <v>35232</v>
      </c>
      <c r="BV101">
        <v>35833</v>
      </c>
      <c r="BW101">
        <v>36395</v>
      </c>
      <c r="BX101">
        <v>37012</v>
      </c>
      <c r="BY101">
        <v>37614</v>
      </c>
      <c r="BZ101">
        <v>38181</v>
      </c>
      <c r="CA101">
        <v>38819</v>
      </c>
      <c r="CB101" t="s">
        <v>218</v>
      </c>
      <c r="CC101" t="s">
        <v>218</v>
      </c>
      <c r="CD101" t="s">
        <v>218</v>
      </c>
      <c r="CE101" t="s">
        <v>218</v>
      </c>
      <c r="CF101" t="s">
        <v>218</v>
      </c>
      <c r="CG101" t="s">
        <v>218</v>
      </c>
      <c r="CH101" t="s">
        <v>218</v>
      </c>
      <c r="CI101" t="s">
        <v>218</v>
      </c>
      <c r="CJ101" t="s">
        <v>218</v>
      </c>
      <c r="CK101" t="s">
        <v>218</v>
      </c>
      <c r="CL101" t="s">
        <v>218</v>
      </c>
      <c r="CM101" t="s">
        <v>218</v>
      </c>
      <c r="CN101" t="s">
        <v>218</v>
      </c>
      <c r="CO101" t="s">
        <v>218</v>
      </c>
      <c r="CP101" t="s">
        <v>218</v>
      </c>
      <c r="CQ101" t="s">
        <v>218</v>
      </c>
      <c r="CR101" t="s">
        <v>218</v>
      </c>
      <c r="CS101" t="s">
        <v>218</v>
      </c>
      <c r="CT101" t="s">
        <v>218</v>
      </c>
      <c r="CU101" t="s">
        <v>218</v>
      </c>
      <c r="CV101" t="s">
        <v>218</v>
      </c>
      <c r="CW101" t="s">
        <v>218</v>
      </c>
    </row>
    <row r="102" spans="1:101" x14ac:dyDescent="0.25">
      <c r="A102" t="s">
        <v>28</v>
      </c>
      <c r="B102">
        <v>4747</v>
      </c>
      <c r="C102">
        <v>5099</v>
      </c>
      <c r="D102">
        <v>5143</v>
      </c>
      <c r="E102">
        <v>5215</v>
      </c>
      <c r="F102">
        <v>5404</v>
      </c>
      <c r="G102">
        <v>5537</v>
      </c>
      <c r="H102">
        <v>5745</v>
      </c>
      <c r="I102">
        <v>5836</v>
      </c>
      <c r="J102">
        <v>5929</v>
      </c>
      <c r="K102">
        <v>6142</v>
      </c>
      <c r="L102">
        <v>6239</v>
      </c>
      <c r="M102">
        <v>6414</v>
      </c>
      <c r="N102">
        <v>6695</v>
      </c>
      <c r="O102">
        <v>6988</v>
      </c>
      <c r="P102">
        <v>7311</v>
      </c>
      <c r="Q102">
        <v>7528</v>
      </c>
      <c r="R102">
        <v>7577</v>
      </c>
      <c r="S102">
        <v>7957</v>
      </c>
      <c r="T102">
        <v>8187</v>
      </c>
      <c r="U102">
        <v>8823</v>
      </c>
      <c r="V102">
        <v>8948</v>
      </c>
      <c r="W102">
        <v>9195</v>
      </c>
      <c r="X102">
        <v>9612</v>
      </c>
      <c r="Y102">
        <v>9582</v>
      </c>
      <c r="Z102">
        <v>9941</v>
      </c>
      <c r="AA102">
        <v>9950</v>
      </c>
      <c r="AB102">
        <v>10206</v>
      </c>
      <c r="AC102">
        <v>10325</v>
      </c>
      <c r="AD102">
        <v>10676</v>
      </c>
      <c r="AE102">
        <v>10859</v>
      </c>
      <c r="AF102">
        <v>11376</v>
      </c>
      <c r="AG102">
        <v>11752</v>
      </c>
      <c r="AH102">
        <v>12068</v>
      </c>
      <c r="AI102">
        <v>12489</v>
      </c>
      <c r="AJ102">
        <v>12830</v>
      </c>
      <c r="AK102">
        <v>13151</v>
      </c>
      <c r="AL102">
        <v>13537</v>
      </c>
      <c r="AM102">
        <v>13821</v>
      </c>
      <c r="AN102">
        <v>14160</v>
      </c>
      <c r="AO102">
        <v>14433</v>
      </c>
      <c r="AP102">
        <v>14672</v>
      </c>
      <c r="AQ102">
        <v>14950</v>
      </c>
      <c r="AR102">
        <v>15283</v>
      </c>
      <c r="AS102">
        <v>15508</v>
      </c>
      <c r="AT102">
        <v>15624</v>
      </c>
      <c r="AU102">
        <v>15893</v>
      </c>
      <c r="AV102">
        <v>16873</v>
      </c>
      <c r="AW102">
        <v>17274</v>
      </c>
      <c r="AX102">
        <v>17744</v>
      </c>
      <c r="AY102">
        <v>18209</v>
      </c>
      <c r="AZ102">
        <v>18640</v>
      </c>
      <c r="BA102">
        <v>19029</v>
      </c>
      <c r="BB102">
        <v>19591</v>
      </c>
      <c r="BC102">
        <v>20031</v>
      </c>
      <c r="BD102">
        <v>20534</v>
      </c>
      <c r="BE102">
        <v>21060</v>
      </c>
      <c r="BF102">
        <v>21596</v>
      </c>
      <c r="BG102">
        <v>22168</v>
      </c>
      <c r="BH102">
        <v>22671</v>
      </c>
      <c r="BI102">
        <v>23209</v>
      </c>
      <c r="BJ102">
        <v>23807</v>
      </c>
      <c r="BK102">
        <v>24330</v>
      </c>
      <c r="BL102">
        <v>24885</v>
      </c>
      <c r="BM102">
        <v>25425</v>
      </c>
      <c r="BN102">
        <v>26020</v>
      </c>
      <c r="BO102">
        <v>26538</v>
      </c>
      <c r="BP102">
        <v>27104</v>
      </c>
      <c r="BQ102">
        <v>27671</v>
      </c>
      <c r="BR102">
        <v>28223</v>
      </c>
      <c r="BS102">
        <v>28792</v>
      </c>
      <c r="BT102">
        <v>29343</v>
      </c>
      <c r="BU102">
        <v>29920</v>
      </c>
      <c r="BV102">
        <v>30475</v>
      </c>
      <c r="BW102">
        <v>30997</v>
      </c>
      <c r="BX102">
        <v>31568</v>
      </c>
      <c r="BY102">
        <v>32126</v>
      </c>
      <c r="BZ102">
        <v>32655</v>
      </c>
      <c r="CA102" t="s">
        <v>218</v>
      </c>
      <c r="CB102" t="s">
        <v>218</v>
      </c>
      <c r="CC102" t="s">
        <v>218</v>
      </c>
      <c r="CD102" t="s">
        <v>218</v>
      </c>
      <c r="CE102" t="s">
        <v>218</v>
      </c>
      <c r="CF102" t="s">
        <v>218</v>
      </c>
      <c r="CG102" t="s">
        <v>218</v>
      </c>
      <c r="CH102" t="s">
        <v>218</v>
      </c>
      <c r="CI102" t="s">
        <v>218</v>
      </c>
      <c r="CJ102" t="s">
        <v>218</v>
      </c>
      <c r="CK102" t="s">
        <v>218</v>
      </c>
      <c r="CL102" t="s">
        <v>218</v>
      </c>
      <c r="CM102" t="s">
        <v>218</v>
      </c>
      <c r="CN102" t="s">
        <v>218</v>
      </c>
      <c r="CO102" t="s">
        <v>218</v>
      </c>
      <c r="CP102" t="s">
        <v>218</v>
      </c>
      <c r="CQ102" t="s">
        <v>218</v>
      </c>
      <c r="CR102" t="s">
        <v>218</v>
      </c>
      <c r="CS102" t="s">
        <v>218</v>
      </c>
      <c r="CT102" t="s">
        <v>218</v>
      </c>
      <c r="CU102" t="s">
        <v>218</v>
      </c>
      <c r="CV102" t="s">
        <v>218</v>
      </c>
      <c r="CW102" t="s">
        <v>218</v>
      </c>
    </row>
    <row r="103" spans="1:101" x14ac:dyDescent="0.25">
      <c r="A103" t="s">
        <v>27</v>
      </c>
      <c r="B103">
        <v>3486</v>
      </c>
      <c r="C103">
        <v>3860</v>
      </c>
      <c r="D103">
        <v>3818</v>
      </c>
      <c r="E103">
        <v>3888</v>
      </c>
      <c r="F103">
        <v>4026</v>
      </c>
      <c r="G103">
        <v>4142</v>
      </c>
      <c r="H103">
        <v>4247</v>
      </c>
      <c r="I103">
        <v>4319</v>
      </c>
      <c r="J103">
        <v>4412</v>
      </c>
      <c r="K103">
        <v>4681</v>
      </c>
      <c r="L103">
        <v>4748</v>
      </c>
      <c r="M103">
        <v>4825</v>
      </c>
      <c r="N103">
        <v>5058</v>
      </c>
      <c r="O103">
        <v>5313</v>
      </c>
      <c r="P103">
        <v>5612</v>
      </c>
      <c r="Q103">
        <v>5810</v>
      </c>
      <c r="R103">
        <v>5830</v>
      </c>
      <c r="S103">
        <v>6105</v>
      </c>
      <c r="T103">
        <v>6300</v>
      </c>
      <c r="U103">
        <v>6832</v>
      </c>
      <c r="V103">
        <v>6838</v>
      </c>
      <c r="W103">
        <v>6952</v>
      </c>
      <c r="X103">
        <v>7330</v>
      </c>
      <c r="Y103">
        <v>7194</v>
      </c>
      <c r="Z103">
        <v>7603</v>
      </c>
      <c r="AA103">
        <v>7472</v>
      </c>
      <c r="AB103">
        <v>7783</v>
      </c>
      <c r="AC103">
        <v>7916</v>
      </c>
      <c r="AD103">
        <v>8212</v>
      </c>
      <c r="AE103">
        <v>8364</v>
      </c>
      <c r="AF103">
        <v>8773</v>
      </c>
      <c r="AG103">
        <v>9075</v>
      </c>
      <c r="AH103">
        <v>9331</v>
      </c>
      <c r="AI103">
        <v>9670</v>
      </c>
      <c r="AJ103">
        <v>9948</v>
      </c>
      <c r="AK103">
        <v>10214</v>
      </c>
      <c r="AL103">
        <v>10531</v>
      </c>
      <c r="AM103">
        <v>10772</v>
      </c>
      <c r="AN103">
        <v>11057</v>
      </c>
      <c r="AO103">
        <v>11293</v>
      </c>
      <c r="AP103">
        <v>11503</v>
      </c>
      <c r="AQ103">
        <v>11745</v>
      </c>
      <c r="AR103">
        <v>12031</v>
      </c>
      <c r="AS103">
        <v>12232</v>
      </c>
      <c r="AT103">
        <v>12348</v>
      </c>
      <c r="AU103">
        <v>12584</v>
      </c>
      <c r="AV103">
        <v>13385</v>
      </c>
      <c r="AW103">
        <v>13729</v>
      </c>
      <c r="AX103">
        <v>14129</v>
      </c>
      <c r="AY103">
        <v>14526</v>
      </c>
      <c r="AZ103">
        <v>14897</v>
      </c>
      <c r="BA103">
        <v>15236</v>
      </c>
      <c r="BB103">
        <v>15714</v>
      </c>
      <c r="BC103">
        <v>16095</v>
      </c>
      <c r="BD103">
        <v>16529</v>
      </c>
      <c r="BE103">
        <v>16981</v>
      </c>
      <c r="BF103">
        <v>17444</v>
      </c>
      <c r="BG103">
        <v>17936</v>
      </c>
      <c r="BH103">
        <v>18375</v>
      </c>
      <c r="BI103">
        <v>18842</v>
      </c>
      <c r="BJ103">
        <v>19360</v>
      </c>
      <c r="BK103">
        <v>19817</v>
      </c>
      <c r="BL103">
        <v>20303</v>
      </c>
      <c r="BM103">
        <v>20777</v>
      </c>
      <c r="BN103">
        <v>21298</v>
      </c>
      <c r="BO103">
        <v>21756</v>
      </c>
      <c r="BP103">
        <v>22255</v>
      </c>
      <c r="BQ103">
        <v>22756</v>
      </c>
      <c r="BR103">
        <v>23246</v>
      </c>
      <c r="BS103">
        <v>23751</v>
      </c>
      <c r="BT103">
        <v>24243</v>
      </c>
      <c r="BU103">
        <v>24757</v>
      </c>
      <c r="BV103">
        <v>25253</v>
      </c>
      <c r="BW103">
        <v>25724</v>
      </c>
      <c r="BX103">
        <v>26236</v>
      </c>
      <c r="BY103">
        <v>26739</v>
      </c>
      <c r="BZ103" t="s">
        <v>218</v>
      </c>
      <c r="CA103" t="s">
        <v>218</v>
      </c>
      <c r="CB103" t="s">
        <v>218</v>
      </c>
      <c r="CC103" t="s">
        <v>218</v>
      </c>
      <c r="CD103" t="s">
        <v>218</v>
      </c>
      <c r="CE103" t="s">
        <v>218</v>
      </c>
      <c r="CF103" t="s">
        <v>218</v>
      </c>
      <c r="CG103" t="s">
        <v>218</v>
      </c>
      <c r="CH103" t="s">
        <v>218</v>
      </c>
      <c r="CI103" t="s">
        <v>218</v>
      </c>
      <c r="CJ103" t="s">
        <v>218</v>
      </c>
      <c r="CK103" t="s">
        <v>218</v>
      </c>
      <c r="CL103" t="s">
        <v>218</v>
      </c>
      <c r="CM103" t="s">
        <v>218</v>
      </c>
      <c r="CN103" t="s">
        <v>218</v>
      </c>
      <c r="CO103" t="s">
        <v>218</v>
      </c>
      <c r="CP103" t="s">
        <v>218</v>
      </c>
      <c r="CQ103" t="s">
        <v>218</v>
      </c>
      <c r="CR103" t="s">
        <v>218</v>
      </c>
      <c r="CS103" t="s">
        <v>218</v>
      </c>
      <c r="CT103" t="s">
        <v>218</v>
      </c>
      <c r="CU103" t="s">
        <v>218</v>
      </c>
      <c r="CV103" t="s">
        <v>218</v>
      </c>
      <c r="CW103" t="s">
        <v>218</v>
      </c>
    </row>
    <row r="104" spans="1:101" x14ac:dyDescent="0.25">
      <c r="A104" t="s">
        <v>26</v>
      </c>
      <c r="B104">
        <v>2485</v>
      </c>
      <c r="C104">
        <v>2790</v>
      </c>
      <c r="D104">
        <v>2719</v>
      </c>
      <c r="E104">
        <v>2748</v>
      </c>
      <c r="F104">
        <v>2930</v>
      </c>
      <c r="G104">
        <v>2927</v>
      </c>
      <c r="H104">
        <v>3082</v>
      </c>
      <c r="I104">
        <v>3025</v>
      </c>
      <c r="J104">
        <v>3220</v>
      </c>
      <c r="K104">
        <v>3427</v>
      </c>
      <c r="L104">
        <v>3479</v>
      </c>
      <c r="M104">
        <v>3601</v>
      </c>
      <c r="N104">
        <v>3701</v>
      </c>
      <c r="O104">
        <v>3949</v>
      </c>
      <c r="P104">
        <v>4181</v>
      </c>
      <c r="Q104">
        <v>4381</v>
      </c>
      <c r="R104">
        <v>4320</v>
      </c>
      <c r="S104">
        <v>4476</v>
      </c>
      <c r="T104">
        <v>4690</v>
      </c>
      <c r="U104">
        <v>5030</v>
      </c>
      <c r="V104">
        <v>5018</v>
      </c>
      <c r="W104">
        <v>5116</v>
      </c>
      <c r="X104">
        <v>5371</v>
      </c>
      <c r="Y104">
        <v>5334</v>
      </c>
      <c r="Z104">
        <v>5521</v>
      </c>
      <c r="AA104">
        <v>5512</v>
      </c>
      <c r="AB104">
        <v>5775</v>
      </c>
      <c r="AC104">
        <v>5893</v>
      </c>
      <c r="AD104">
        <v>6120</v>
      </c>
      <c r="AE104">
        <v>6241</v>
      </c>
      <c r="AF104">
        <v>6553</v>
      </c>
      <c r="AG104">
        <v>6788</v>
      </c>
      <c r="AH104">
        <v>6988</v>
      </c>
      <c r="AI104">
        <v>7252</v>
      </c>
      <c r="AJ104">
        <v>7472</v>
      </c>
      <c r="AK104">
        <v>7685</v>
      </c>
      <c r="AL104">
        <v>7938</v>
      </c>
      <c r="AM104">
        <v>8134</v>
      </c>
      <c r="AN104">
        <v>8367</v>
      </c>
      <c r="AO104">
        <v>8562</v>
      </c>
      <c r="AP104">
        <v>8740</v>
      </c>
      <c r="AQ104">
        <v>8941</v>
      </c>
      <c r="AR104">
        <v>9177</v>
      </c>
      <c r="AS104">
        <v>9349</v>
      </c>
      <c r="AT104">
        <v>9456</v>
      </c>
      <c r="AU104">
        <v>9655</v>
      </c>
      <c r="AV104">
        <v>10289</v>
      </c>
      <c r="AW104">
        <v>10573</v>
      </c>
      <c r="AX104">
        <v>10901</v>
      </c>
      <c r="AY104">
        <v>11229</v>
      </c>
      <c r="AZ104">
        <v>11536</v>
      </c>
      <c r="BA104">
        <v>11821</v>
      </c>
      <c r="BB104">
        <v>12214</v>
      </c>
      <c r="BC104">
        <v>12533</v>
      </c>
      <c r="BD104">
        <v>12893</v>
      </c>
      <c r="BE104">
        <v>13269</v>
      </c>
      <c r="BF104">
        <v>13655</v>
      </c>
      <c r="BG104">
        <v>14064</v>
      </c>
      <c r="BH104">
        <v>14433</v>
      </c>
      <c r="BI104">
        <v>14825</v>
      </c>
      <c r="BJ104">
        <v>15258</v>
      </c>
      <c r="BK104">
        <v>15645</v>
      </c>
      <c r="BL104">
        <v>16055</v>
      </c>
      <c r="BM104">
        <v>16457</v>
      </c>
      <c r="BN104">
        <v>16897</v>
      </c>
      <c r="BO104">
        <v>17288</v>
      </c>
      <c r="BP104">
        <v>17713</v>
      </c>
      <c r="BQ104">
        <v>18141</v>
      </c>
      <c r="BR104">
        <v>18560</v>
      </c>
      <c r="BS104">
        <v>18993</v>
      </c>
      <c r="BT104">
        <v>19417</v>
      </c>
      <c r="BU104">
        <v>19859</v>
      </c>
      <c r="BV104">
        <v>20288</v>
      </c>
      <c r="BW104">
        <v>20697</v>
      </c>
      <c r="BX104">
        <v>21141</v>
      </c>
      <c r="BY104" t="s">
        <v>218</v>
      </c>
      <c r="BZ104" t="s">
        <v>218</v>
      </c>
      <c r="CA104" t="s">
        <v>218</v>
      </c>
      <c r="CB104" t="s">
        <v>218</v>
      </c>
      <c r="CC104" t="s">
        <v>218</v>
      </c>
      <c r="CD104" t="s">
        <v>218</v>
      </c>
      <c r="CE104" t="s">
        <v>218</v>
      </c>
      <c r="CF104" t="s">
        <v>218</v>
      </c>
      <c r="CG104" t="s">
        <v>218</v>
      </c>
      <c r="CH104" t="s">
        <v>218</v>
      </c>
      <c r="CI104" t="s">
        <v>218</v>
      </c>
      <c r="CJ104" t="s">
        <v>218</v>
      </c>
      <c r="CK104" t="s">
        <v>218</v>
      </c>
      <c r="CL104" t="s">
        <v>218</v>
      </c>
      <c r="CM104" t="s">
        <v>218</v>
      </c>
      <c r="CN104" t="s">
        <v>218</v>
      </c>
      <c r="CO104" t="s">
        <v>218</v>
      </c>
      <c r="CP104" t="s">
        <v>218</v>
      </c>
      <c r="CQ104" t="s">
        <v>218</v>
      </c>
      <c r="CR104" t="s">
        <v>218</v>
      </c>
      <c r="CS104" t="s">
        <v>218</v>
      </c>
      <c r="CT104" t="s">
        <v>218</v>
      </c>
      <c r="CU104" t="s">
        <v>218</v>
      </c>
      <c r="CV104" t="s">
        <v>218</v>
      </c>
      <c r="CW104" t="s">
        <v>218</v>
      </c>
    </row>
    <row r="105" spans="1:101" x14ac:dyDescent="0.25">
      <c r="A105" t="s">
        <v>25</v>
      </c>
      <c r="B105">
        <v>1761</v>
      </c>
      <c r="C105">
        <v>1988</v>
      </c>
      <c r="D105">
        <v>1894</v>
      </c>
      <c r="E105">
        <v>1899</v>
      </c>
      <c r="F105">
        <v>2013</v>
      </c>
      <c r="G105">
        <v>2031</v>
      </c>
      <c r="H105">
        <v>2111</v>
      </c>
      <c r="I105">
        <v>2168</v>
      </c>
      <c r="J105">
        <v>2309</v>
      </c>
      <c r="K105">
        <v>2452</v>
      </c>
      <c r="L105">
        <v>2542</v>
      </c>
      <c r="M105">
        <v>2576</v>
      </c>
      <c r="N105">
        <v>2677</v>
      </c>
      <c r="O105">
        <v>2860</v>
      </c>
      <c r="P105">
        <v>3051</v>
      </c>
      <c r="Q105">
        <v>3153</v>
      </c>
      <c r="R105">
        <v>3141</v>
      </c>
      <c r="S105">
        <v>3288</v>
      </c>
      <c r="T105">
        <v>3326</v>
      </c>
      <c r="U105">
        <v>3538</v>
      </c>
      <c r="V105">
        <v>3504</v>
      </c>
      <c r="W105">
        <v>3561</v>
      </c>
      <c r="X105">
        <v>3855</v>
      </c>
      <c r="Y105">
        <v>3725</v>
      </c>
      <c r="Z105">
        <v>3927</v>
      </c>
      <c r="AA105">
        <v>3945</v>
      </c>
      <c r="AB105">
        <v>4148</v>
      </c>
      <c r="AC105">
        <v>4236</v>
      </c>
      <c r="AD105">
        <v>4404</v>
      </c>
      <c r="AE105">
        <v>4495</v>
      </c>
      <c r="AF105">
        <v>4726</v>
      </c>
      <c r="AG105">
        <v>4901</v>
      </c>
      <c r="AH105">
        <v>5052</v>
      </c>
      <c r="AI105">
        <v>5250</v>
      </c>
      <c r="AJ105">
        <v>5418</v>
      </c>
      <c r="AK105">
        <v>5581</v>
      </c>
      <c r="AL105">
        <v>5776</v>
      </c>
      <c r="AM105">
        <v>5930</v>
      </c>
      <c r="AN105">
        <v>6112</v>
      </c>
      <c r="AO105">
        <v>6268</v>
      </c>
      <c r="AP105">
        <v>6410</v>
      </c>
      <c r="AQ105">
        <v>6571</v>
      </c>
      <c r="AR105">
        <v>6758</v>
      </c>
      <c r="AS105">
        <v>6898</v>
      </c>
      <c r="AT105">
        <v>6989</v>
      </c>
      <c r="AU105">
        <v>7150</v>
      </c>
      <c r="AV105">
        <v>7634</v>
      </c>
      <c r="AW105">
        <v>7859</v>
      </c>
      <c r="AX105">
        <v>8118</v>
      </c>
      <c r="AY105">
        <v>8377</v>
      </c>
      <c r="AZ105">
        <v>8622</v>
      </c>
      <c r="BA105">
        <v>8850</v>
      </c>
      <c r="BB105">
        <v>9161</v>
      </c>
      <c r="BC105">
        <v>9417</v>
      </c>
      <c r="BD105">
        <v>9705</v>
      </c>
      <c r="BE105">
        <v>10005</v>
      </c>
      <c r="BF105">
        <v>10314</v>
      </c>
      <c r="BG105">
        <v>10641</v>
      </c>
      <c r="BH105">
        <v>10939</v>
      </c>
      <c r="BI105">
        <v>11255</v>
      </c>
      <c r="BJ105">
        <v>11603</v>
      </c>
      <c r="BK105">
        <v>11917</v>
      </c>
      <c r="BL105">
        <v>12250</v>
      </c>
      <c r="BM105">
        <v>12577</v>
      </c>
      <c r="BN105">
        <v>12934</v>
      </c>
      <c r="BO105">
        <v>13255</v>
      </c>
      <c r="BP105">
        <v>13603</v>
      </c>
      <c r="BQ105">
        <v>13953</v>
      </c>
      <c r="BR105">
        <v>14299</v>
      </c>
      <c r="BS105">
        <v>14655</v>
      </c>
      <c r="BT105">
        <v>15005</v>
      </c>
      <c r="BU105">
        <v>15370</v>
      </c>
      <c r="BV105">
        <v>15727</v>
      </c>
      <c r="BW105">
        <v>16068</v>
      </c>
      <c r="BX105" t="s">
        <v>218</v>
      </c>
      <c r="BY105" t="s">
        <v>218</v>
      </c>
      <c r="BZ105" t="s">
        <v>218</v>
      </c>
      <c r="CA105" t="s">
        <v>218</v>
      </c>
      <c r="CB105" t="s">
        <v>218</v>
      </c>
      <c r="CC105" t="s">
        <v>218</v>
      </c>
      <c r="CD105" t="s">
        <v>218</v>
      </c>
      <c r="CE105" t="s">
        <v>218</v>
      </c>
      <c r="CF105" t="s">
        <v>218</v>
      </c>
      <c r="CG105" t="s">
        <v>218</v>
      </c>
      <c r="CH105" t="s">
        <v>218</v>
      </c>
      <c r="CI105" t="s">
        <v>218</v>
      </c>
      <c r="CJ105" t="s">
        <v>218</v>
      </c>
      <c r="CK105" t="s">
        <v>218</v>
      </c>
      <c r="CL105" t="s">
        <v>218</v>
      </c>
      <c r="CM105" t="s">
        <v>218</v>
      </c>
      <c r="CN105" t="s">
        <v>218</v>
      </c>
      <c r="CO105" t="s">
        <v>218</v>
      </c>
      <c r="CP105" t="s">
        <v>218</v>
      </c>
      <c r="CQ105" t="s">
        <v>218</v>
      </c>
      <c r="CR105" t="s">
        <v>218</v>
      </c>
      <c r="CS105" t="s">
        <v>218</v>
      </c>
      <c r="CT105" t="s">
        <v>218</v>
      </c>
      <c r="CU105" t="s">
        <v>218</v>
      </c>
      <c r="CV105" t="s">
        <v>218</v>
      </c>
      <c r="CW105" t="s">
        <v>218</v>
      </c>
    </row>
    <row r="106" spans="1:101" x14ac:dyDescent="0.25">
      <c r="A106" t="s">
        <v>24</v>
      </c>
      <c r="B106">
        <v>1193</v>
      </c>
      <c r="C106">
        <v>1290</v>
      </c>
      <c r="D106">
        <v>1307</v>
      </c>
      <c r="E106">
        <v>1340</v>
      </c>
      <c r="F106">
        <v>1374</v>
      </c>
      <c r="G106">
        <v>1355</v>
      </c>
      <c r="H106">
        <v>1439</v>
      </c>
      <c r="I106">
        <v>1507</v>
      </c>
      <c r="J106">
        <v>1606</v>
      </c>
      <c r="K106">
        <v>1739</v>
      </c>
      <c r="L106">
        <v>1743</v>
      </c>
      <c r="M106">
        <v>1794</v>
      </c>
      <c r="N106">
        <v>1864</v>
      </c>
      <c r="O106">
        <v>2077</v>
      </c>
      <c r="P106">
        <v>2123</v>
      </c>
      <c r="Q106">
        <v>2114</v>
      </c>
      <c r="R106">
        <v>2158</v>
      </c>
      <c r="S106">
        <v>2257</v>
      </c>
      <c r="T106">
        <v>2317</v>
      </c>
      <c r="U106">
        <v>2460</v>
      </c>
      <c r="V106">
        <v>2403</v>
      </c>
      <c r="W106">
        <v>2455</v>
      </c>
      <c r="X106">
        <v>2570</v>
      </c>
      <c r="Y106">
        <v>2544</v>
      </c>
      <c r="Z106">
        <v>2703</v>
      </c>
      <c r="AA106">
        <v>2726</v>
      </c>
      <c r="AB106">
        <v>2868</v>
      </c>
      <c r="AC106">
        <v>2932</v>
      </c>
      <c r="AD106">
        <v>3051</v>
      </c>
      <c r="AE106">
        <v>3117</v>
      </c>
      <c r="AF106">
        <v>3281</v>
      </c>
      <c r="AG106">
        <v>3407</v>
      </c>
      <c r="AH106">
        <v>3517</v>
      </c>
      <c r="AI106">
        <v>3660</v>
      </c>
      <c r="AJ106">
        <v>3784</v>
      </c>
      <c r="AK106">
        <v>3905</v>
      </c>
      <c r="AL106">
        <v>4049</v>
      </c>
      <c r="AM106">
        <v>4166</v>
      </c>
      <c r="AN106">
        <v>4303</v>
      </c>
      <c r="AO106">
        <v>4422</v>
      </c>
      <c r="AP106">
        <v>4532</v>
      </c>
      <c r="AQ106">
        <v>4655</v>
      </c>
      <c r="AR106">
        <v>4796</v>
      </c>
      <c r="AS106">
        <v>4905</v>
      </c>
      <c r="AT106">
        <v>4980</v>
      </c>
      <c r="AU106">
        <v>5104</v>
      </c>
      <c r="AV106">
        <v>5460</v>
      </c>
      <c r="AW106">
        <v>5632</v>
      </c>
      <c r="AX106">
        <v>5828</v>
      </c>
      <c r="AY106">
        <v>6025</v>
      </c>
      <c r="AZ106">
        <v>6213</v>
      </c>
      <c r="BA106">
        <v>6390</v>
      </c>
      <c r="BB106">
        <v>6626</v>
      </c>
      <c r="BC106">
        <v>6824</v>
      </c>
      <c r="BD106">
        <v>7045</v>
      </c>
      <c r="BE106">
        <v>7276</v>
      </c>
      <c r="BF106">
        <v>7514</v>
      </c>
      <c r="BG106">
        <v>7767</v>
      </c>
      <c r="BH106">
        <v>7998</v>
      </c>
      <c r="BI106">
        <v>8243</v>
      </c>
      <c r="BJ106">
        <v>8513</v>
      </c>
      <c r="BK106">
        <v>8759</v>
      </c>
      <c r="BL106">
        <v>9019</v>
      </c>
      <c r="BM106">
        <v>9275</v>
      </c>
      <c r="BN106">
        <v>9555</v>
      </c>
      <c r="BO106">
        <v>9808</v>
      </c>
      <c r="BP106">
        <v>10083</v>
      </c>
      <c r="BQ106">
        <v>10360</v>
      </c>
      <c r="BR106">
        <v>10633</v>
      </c>
      <c r="BS106">
        <v>10916</v>
      </c>
      <c r="BT106">
        <v>11195</v>
      </c>
      <c r="BU106">
        <v>11486</v>
      </c>
      <c r="BV106">
        <v>11771</v>
      </c>
      <c r="BW106" t="s">
        <v>218</v>
      </c>
      <c r="BX106" t="s">
        <v>218</v>
      </c>
      <c r="BY106" t="s">
        <v>218</v>
      </c>
      <c r="BZ106" t="s">
        <v>218</v>
      </c>
      <c r="CA106" t="s">
        <v>218</v>
      </c>
      <c r="CB106" t="s">
        <v>218</v>
      </c>
      <c r="CC106" t="s">
        <v>218</v>
      </c>
      <c r="CD106" t="s">
        <v>218</v>
      </c>
      <c r="CE106" t="s">
        <v>218</v>
      </c>
      <c r="CF106" t="s">
        <v>218</v>
      </c>
      <c r="CG106" t="s">
        <v>218</v>
      </c>
      <c r="CH106" t="s">
        <v>218</v>
      </c>
      <c r="CI106" t="s">
        <v>218</v>
      </c>
      <c r="CJ106" t="s">
        <v>218</v>
      </c>
      <c r="CK106" t="s">
        <v>218</v>
      </c>
      <c r="CL106" t="s">
        <v>218</v>
      </c>
      <c r="CM106" t="s">
        <v>218</v>
      </c>
      <c r="CN106" t="s">
        <v>218</v>
      </c>
      <c r="CO106" t="s">
        <v>218</v>
      </c>
      <c r="CP106" t="s">
        <v>218</v>
      </c>
      <c r="CQ106" t="s">
        <v>218</v>
      </c>
      <c r="CR106" t="s">
        <v>218</v>
      </c>
      <c r="CS106" t="s">
        <v>218</v>
      </c>
      <c r="CT106" t="s">
        <v>218</v>
      </c>
      <c r="CU106" t="s">
        <v>218</v>
      </c>
      <c r="CV106" t="s">
        <v>218</v>
      </c>
      <c r="CW106" t="s">
        <v>218</v>
      </c>
    </row>
    <row r="107" spans="1:101" x14ac:dyDescent="0.25">
      <c r="A107" t="s">
        <v>17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BC044-1007-4C47-ABC9-1E8795CEA9C2}">
  <sheetPr>
    <tabColor theme="0" tint="-0.499984740745262"/>
  </sheetPr>
  <dimension ref="A1:R127"/>
  <sheetViews>
    <sheetView workbookViewId="0">
      <pane xSplit="2" ySplit="6" topLeftCell="C43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cols>
    <col min="1" max="18" width="9.140625" style="73"/>
  </cols>
  <sheetData>
    <row r="1" spans="1:17" x14ac:dyDescent="0.25">
      <c r="A1" s="73" t="s">
        <v>132</v>
      </c>
    </row>
    <row r="2" spans="1:17" x14ac:dyDescent="0.25">
      <c r="C2" s="157" t="s">
        <v>207</v>
      </c>
      <c r="D2" s="157"/>
      <c r="E2" s="157"/>
      <c r="F2" s="157"/>
      <c r="G2" s="157"/>
      <c r="H2" s="157"/>
      <c r="I2" s="157"/>
      <c r="K2" s="157" t="s">
        <v>206</v>
      </c>
      <c r="L2" s="157"/>
      <c r="M2" s="157"/>
      <c r="N2" s="157"/>
      <c r="O2" s="157"/>
      <c r="P2" s="157"/>
      <c r="Q2" s="157"/>
    </row>
    <row r="3" spans="1:17" x14ac:dyDescent="0.25">
      <c r="A3" s="73" t="s">
        <v>131</v>
      </c>
      <c r="C3" s="152">
        <f>Settings!C8</f>
        <v>1965</v>
      </c>
      <c r="D3" s="152"/>
      <c r="E3" s="152"/>
      <c r="F3" s="152"/>
      <c r="G3" s="152"/>
      <c r="H3" s="152"/>
      <c r="I3" s="152"/>
      <c r="K3" s="152">
        <f>Settings!D8</f>
        <v>1965</v>
      </c>
      <c r="L3" s="152"/>
      <c r="M3" s="152"/>
      <c r="N3" s="152"/>
      <c r="O3" s="152"/>
      <c r="P3" s="152"/>
      <c r="Q3" s="152"/>
    </row>
    <row r="4" spans="1:17" x14ac:dyDescent="0.25">
      <c r="A4" s="73" t="s">
        <v>130</v>
      </c>
      <c r="C4" s="73" t="s">
        <v>129</v>
      </c>
      <c r="F4" s="73" t="s">
        <v>129</v>
      </c>
      <c r="I4" s="73" t="s">
        <v>134</v>
      </c>
      <c r="K4" s="73" t="s">
        <v>129</v>
      </c>
      <c r="N4" s="73" t="s">
        <v>129</v>
      </c>
      <c r="Q4" s="73" t="s">
        <v>134</v>
      </c>
    </row>
    <row r="5" spans="1:17" x14ac:dyDescent="0.25">
      <c r="A5" s="73" t="s">
        <v>128</v>
      </c>
      <c r="C5" s="152" t="s">
        <v>127</v>
      </c>
      <c r="D5" s="152"/>
      <c r="E5" s="152"/>
      <c r="F5" s="152" t="s">
        <v>126</v>
      </c>
      <c r="G5" s="152"/>
      <c r="H5" s="152"/>
      <c r="I5" s="73" t="s">
        <v>133</v>
      </c>
      <c r="K5" s="152" t="s">
        <v>127</v>
      </c>
      <c r="L5" s="152"/>
      <c r="M5" s="152"/>
      <c r="N5" s="152" t="s">
        <v>126</v>
      </c>
      <c r="O5" s="152"/>
      <c r="P5" s="152"/>
      <c r="Q5" s="73" t="s">
        <v>133</v>
      </c>
    </row>
    <row r="6" spans="1:17" s="3" customFormat="1" x14ac:dyDescent="0.25">
      <c r="A6" s="3" t="s">
        <v>125</v>
      </c>
      <c r="C6" s="3" t="s">
        <v>124</v>
      </c>
      <c r="D6" s="3" t="s">
        <v>124</v>
      </c>
      <c r="E6" s="72" t="s">
        <v>223</v>
      </c>
      <c r="F6" s="3" t="s">
        <v>124</v>
      </c>
      <c r="G6" s="3" t="s">
        <v>124</v>
      </c>
      <c r="H6" s="72" t="s">
        <v>223</v>
      </c>
      <c r="I6" s="3" t="s">
        <v>124</v>
      </c>
      <c r="K6" s="3" t="s">
        <v>124</v>
      </c>
      <c r="L6" s="3" t="s">
        <v>124</v>
      </c>
      <c r="M6" s="72" t="s">
        <v>223</v>
      </c>
      <c r="N6" s="3" t="s">
        <v>124</v>
      </c>
      <c r="O6" s="3" t="s">
        <v>124</v>
      </c>
      <c r="P6" s="72" t="s">
        <v>223</v>
      </c>
      <c r="Q6" s="3" t="s">
        <v>124</v>
      </c>
    </row>
    <row r="7" spans="1:17" x14ac:dyDescent="0.25">
      <c r="A7" s="73" t="s">
        <v>123</v>
      </c>
      <c r="B7" s="73">
        <v>0</v>
      </c>
      <c r="C7" s="73">
        <f>IF(C$3+$B7&lt;=2020, HLOOKUP(C$3, CBStafelMan!$B$5:$CW$106, MATCH($A7,CBStafelMan!$A$5:$A$106,0),FALSE), ".")</f>
        <v>100000</v>
      </c>
      <c r="D7" s="73">
        <f t="shared" ref="D7" si="0">IF(C7 &lt;&gt;".", C7, D6*(1-E7))</f>
        <v>100000</v>
      </c>
      <c r="E7" s="54" t="str">
        <f>IF(C7 &lt;&gt;".", ".", VLOOKUP($B7-1,AGtafelMan!$A$1:$FQ$122, MATCH(C$3+$B7-1,AGtafelMan!$A$1:$FQ$1,0),FALSE) )</f>
        <v>.</v>
      </c>
      <c r="F7" s="73">
        <f>IF(C$3+$B7&lt;=2020, HLOOKUP(C$3, CBStafelVrouw!$B$5:$CW$106, MATCH($A7,CBStafelVrouw!$A$5:$A$106,0),FALSE), ".")</f>
        <v>100000</v>
      </c>
      <c r="G7" s="73">
        <f t="shared" ref="G7:G46" si="1">IF(F7 &lt;&gt;".", F7, G6*(1-H7))</f>
        <v>100000</v>
      </c>
      <c r="H7" s="54" t="str">
        <f>IF(F7 &lt;&gt;".", ".", VLOOKUP($B7-1,AGtafelVrouw!$A$1:$FQ$122, MATCH(C$3+$B7,AGtafelVrouw!$A$1:$FQ$1,0),FALSE) )</f>
        <v>.</v>
      </c>
      <c r="I7" s="73">
        <f t="shared" ref="I7:I70" si="2">AVERAGE(D7,G7)</f>
        <v>100000</v>
      </c>
      <c r="K7" s="73">
        <f>IF(K$3+$B7&lt;=2020, HLOOKUP(K$3, CBStafelMan!$B$5:$CW$106, MATCH($A7,CBStafelMan!$A$5:$A$106,0),FALSE), ".")</f>
        <v>100000</v>
      </c>
      <c r="L7" s="73">
        <f t="shared" ref="L7:L70" si="3">IF(K7 &lt;&gt;".", K7, L6*(1-M7))</f>
        <v>100000</v>
      </c>
      <c r="M7" s="54" t="str">
        <f>IF(K7 &lt;&gt;".", ".", VLOOKUP($B7-1,AGtafelMan!$A$1:$FQ$122, MATCH(K$3+$B7,AGtafelMan!$A$1:$FQ$1,0),FALSE) )</f>
        <v>.</v>
      </c>
      <c r="N7" s="73">
        <f>IF(K$3+$B7&lt;=2020, HLOOKUP(K$3, CBStafelVrouw!$B$5:$CW$106, MATCH($A7,CBStafelVrouw!$A$5:$A$106,0),FALSE), ".")</f>
        <v>100000</v>
      </c>
      <c r="O7" s="73">
        <f t="shared" ref="O7:O70" si="4">IF(N7 &lt;&gt;".", N7, O6*(1-P7))</f>
        <v>100000</v>
      </c>
      <c r="P7" s="54" t="str">
        <f>IF(N7 &lt;&gt;".", ".", VLOOKUP($B7-1,AGtafelVrouw!$A$1:$FQ$122, MATCH(K$3+$B7,AGtafelVrouw!$A$1:$FQ$1,0),FALSE) )</f>
        <v>.</v>
      </c>
      <c r="Q7" s="73">
        <f t="shared" ref="Q7:Q70" si="5">AVERAGE(L7,O7)</f>
        <v>100000</v>
      </c>
    </row>
    <row r="8" spans="1:17" x14ac:dyDescent="0.25">
      <c r="A8" s="73" t="s">
        <v>122</v>
      </c>
      <c r="B8" s="73">
        <v>1</v>
      </c>
      <c r="C8" s="73">
        <f>IF(C$3+$B8&lt;=2020, HLOOKUP(C$3, CBStafelMan!$B$5:$CW$106, MATCH($A8,CBStafelMan!$A$5:$A$106,0),FALSE), ".")</f>
        <v>98533</v>
      </c>
      <c r="D8" s="73">
        <f t="shared" ref="D8:D23" si="6">IF(C8 &lt;&gt;".", C8, D7*(1-E8))</f>
        <v>98533</v>
      </c>
      <c r="E8" s="54" t="str">
        <f>IF(C8 &lt;&gt;".", ".", VLOOKUP($B8-1,AGtafelMan!$A$1:$FQ$122, MATCH(C$3+$B8-1,AGtafelMan!$A$1:$FQ$1,0),FALSE) )</f>
        <v>.</v>
      </c>
      <c r="F8" s="73">
        <f>IF(C$3+$B8&lt;=2020, HLOOKUP(C$3, CBStafelVrouw!$B$5:$CW$106, MATCH($A8,CBStafelVrouw!$A$5:$A$106,0),FALSE), ".")</f>
        <v>98850</v>
      </c>
      <c r="G8" s="73">
        <f t="shared" si="1"/>
        <v>98850</v>
      </c>
      <c r="H8" s="54" t="str">
        <f>IF(F8 &lt;&gt;".", ".", VLOOKUP($B8-1,AGtafelVrouw!$A$1:$FQ$122, MATCH(C$3+$B8,AGtafelVrouw!$A$1:$FQ$1,0),FALSE) )</f>
        <v>.</v>
      </c>
      <c r="I8" s="73">
        <f t="shared" si="2"/>
        <v>98691.5</v>
      </c>
      <c r="K8" s="73">
        <f>IF(K$3+$B8&lt;=2020, HLOOKUP(K$3, CBStafelMan!$B$5:$CW$106, MATCH($A8,CBStafelMan!$A$5:$A$106,0),FALSE), ".")</f>
        <v>98533</v>
      </c>
      <c r="L8" s="73">
        <f t="shared" si="3"/>
        <v>98533</v>
      </c>
      <c r="M8" s="54" t="str">
        <f>IF(K8 &lt;&gt;".", ".", VLOOKUP($B8-1,AGtafelMan!$A$1:$FQ$122, MATCH(K$3+$B8,AGtafelMan!$A$1:$FQ$1,0),FALSE) )</f>
        <v>.</v>
      </c>
      <c r="N8" s="73">
        <f>IF(K$3+$B8&lt;=2020, HLOOKUP(K$3, CBStafelVrouw!$B$5:$CW$106, MATCH($A8,CBStafelVrouw!$A$5:$A$106,0),FALSE), ".")</f>
        <v>98850</v>
      </c>
      <c r="O8" s="73">
        <f t="shared" si="4"/>
        <v>98850</v>
      </c>
      <c r="P8" s="54" t="str">
        <f>IF(N8 &lt;&gt;".", ".", VLOOKUP($B8-1,AGtafelVrouw!$A$1:$FQ$122, MATCH(K$3+$B8,AGtafelVrouw!$A$1:$FQ$1,0),FALSE) )</f>
        <v>.</v>
      </c>
      <c r="Q8" s="73">
        <f t="shared" si="5"/>
        <v>98691.5</v>
      </c>
    </row>
    <row r="9" spans="1:17" x14ac:dyDescent="0.25">
      <c r="A9" s="73" t="s">
        <v>121</v>
      </c>
      <c r="B9" s="73">
        <v>2</v>
      </c>
      <c r="C9" s="73">
        <f>IF(C$3+$B9&lt;=2020, HLOOKUP(C$3, CBStafelMan!$B$5:$CW$106, MATCH($A9,CBStafelMan!$A$5:$A$106,0),FALSE), ".")</f>
        <v>98264</v>
      </c>
      <c r="D9" s="73">
        <f t="shared" si="6"/>
        <v>98264</v>
      </c>
      <c r="E9" s="54" t="str">
        <f>IF(C9 &lt;&gt;".", ".", VLOOKUP($B9-1,AGtafelMan!$A$1:$FQ$122, MATCH(C$3+$B9-1,AGtafelMan!$A$1:$FQ$1,0),FALSE) )</f>
        <v>.</v>
      </c>
      <c r="F9" s="73">
        <f>IF(C$3+$B9&lt;=2020, HLOOKUP(C$3, CBStafelVrouw!$B$5:$CW$106, MATCH($A9,CBStafelVrouw!$A$5:$A$106,0),FALSE), ".")</f>
        <v>98645</v>
      </c>
      <c r="G9" s="73">
        <f t="shared" si="1"/>
        <v>98645</v>
      </c>
      <c r="H9" s="54" t="str">
        <f>IF(F9 &lt;&gt;".", ".", VLOOKUP($B9-1,AGtafelVrouw!$A$1:$FQ$122, MATCH(C$3+$B9,AGtafelVrouw!$A$1:$FQ$1,0),FALSE) )</f>
        <v>.</v>
      </c>
      <c r="I9" s="73">
        <f t="shared" si="2"/>
        <v>98454.5</v>
      </c>
      <c r="K9" s="73">
        <f>IF(K$3+$B9&lt;=2020, HLOOKUP(K$3, CBStafelMan!$B$5:$CW$106, MATCH($A9,CBStafelMan!$A$5:$A$106,0),FALSE), ".")</f>
        <v>98264</v>
      </c>
      <c r="L9" s="73">
        <f t="shared" si="3"/>
        <v>98264</v>
      </c>
      <c r="M9" s="54" t="str">
        <f>IF(K9 &lt;&gt;".", ".", VLOOKUP($B9-1,AGtafelMan!$A$1:$FQ$122, MATCH(K$3+$B9,AGtafelMan!$A$1:$FQ$1,0),FALSE) )</f>
        <v>.</v>
      </c>
      <c r="N9" s="73">
        <f>IF(K$3+$B9&lt;=2020, HLOOKUP(K$3, CBStafelVrouw!$B$5:$CW$106, MATCH($A9,CBStafelVrouw!$A$5:$A$106,0),FALSE), ".")</f>
        <v>98645</v>
      </c>
      <c r="O9" s="73">
        <f t="shared" si="4"/>
        <v>98645</v>
      </c>
      <c r="P9" s="54" t="str">
        <f>IF(N9 &lt;&gt;".", ".", VLOOKUP($B9-1,AGtafelVrouw!$A$1:$FQ$122, MATCH(K$3+$B9,AGtafelVrouw!$A$1:$FQ$1,0),FALSE) )</f>
        <v>.</v>
      </c>
      <c r="Q9" s="73">
        <f t="shared" si="5"/>
        <v>98454.5</v>
      </c>
    </row>
    <row r="10" spans="1:17" x14ac:dyDescent="0.25">
      <c r="A10" s="73" t="s">
        <v>120</v>
      </c>
      <c r="B10" s="73">
        <v>3</v>
      </c>
      <c r="C10" s="73">
        <f>IF(C$3+$B10&lt;=2020, HLOOKUP(C$3, CBStafelMan!$B$5:$CW$106, MATCH($A10,CBStafelMan!$A$5:$A$106,0),FALSE), ".")</f>
        <v>98142</v>
      </c>
      <c r="D10" s="73">
        <f t="shared" si="6"/>
        <v>98142</v>
      </c>
      <c r="E10" s="54" t="str">
        <f>IF(C10 &lt;&gt;".", ".", VLOOKUP($B10-1,AGtafelMan!$A$1:$FQ$122, MATCH(C$3+$B10-1,AGtafelMan!$A$1:$FQ$1,0),FALSE) )</f>
        <v>.</v>
      </c>
      <c r="F10" s="73">
        <f>IF(C$3+$B10&lt;=2020, HLOOKUP(C$3, CBStafelVrouw!$B$5:$CW$106, MATCH($A10,CBStafelVrouw!$A$5:$A$106,0),FALSE), ".")</f>
        <v>98548</v>
      </c>
      <c r="G10" s="73">
        <f t="shared" si="1"/>
        <v>98548</v>
      </c>
      <c r="H10" s="54" t="str">
        <f>IF(F10 &lt;&gt;".", ".", VLOOKUP($B10-1,AGtafelVrouw!$A$1:$FQ$122, MATCH(C$3+$B10,AGtafelVrouw!$A$1:$FQ$1,0),FALSE) )</f>
        <v>.</v>
      </c>
      <c r="I10" s="73">
        <f t="shared" si="2"/>
        <v>98345</v>
      </c>
      <c r="K10" s="73">
        <f>IF(K$3+$B10&lt;=2020, HLOOKUP(K$3, CBStafelMan!$B$5:$CW$106, MATCH($A10,CBStafelMan!$A$5:$A$106,0),FALSE), ".")</f>
        <v>98142</v>
      </c>
      <c r="L10" s="73">
        <f t="shared" si="3"/>
        <v>98142</v>
      </c>
      <c r="M10" s="54" t="str">
        <f>IF(K10 &lt;&gt;".", ".", VLOOKUP($B10-1,AGtafelMan!$A$1:$FQ$122, MATCH(K$3+$B10,AGtafelMan!$A$1:$FQ$1,0),FALSE) )</f>
        <v>.</v>
      </c>
      <c r="N10" s="73">
        <f>IF(K$3+$B10&lt;=2020, HLOOKUP(K$3, CBStafelVrouw!$B$5:$CW$106, MATCH($A10,CBStafelVrouw!$A$5:$A$106,0),FALSE), ".")</f>
        <v>98548</v>
      </c>
      <c r="O10" s="73">
        <f t="shared" si="4"/>
        <v>98548</v>
      </c>
      <c r="P10" s="54" t="str">
        <f>IF(N10 &lt;&gt;".", ".", VLOOKUP($B10-1,AGtafelVrouw!$A$1:$FQ$122, MATCH(K$3+$B10,AGtafelVrouw!$A$1:$FQ$1,0),FALSE) )</f>
        <v>.</v>
      </c>
      <c r="Q10" s="73">
        <f t="shared" si="5"/>
        <v>98345</v>
      </c>
    </row>
    <row r="11" spans="1:17" x14ac:dyDescent="0.25">
      <c r="A11" s="73" t="s">
        <v>119</v>
      </c>
      <c r="B11" s="73">
        <v>4</v>
      </c>
      <c r="C11" s="73">
        <f>IF(C$3+$B11&lt;=2020, HLOOKUP(C$3, CBStafelMan!$B$5:$CW$106, MATCH($A11,CBStafelMan!$A$5:$A$106,0),FALSE), ".")</f>
        <v>98041</v>
      </c>
      <c r="D11" s="73">
        <f t="shared" si="6"/>
        <v>98041</v>
      </c>
      <c r="E11" s="54" t="str">
        <f>IF(C11 &lt;&gt;".", ".", VLOOKUP($B11-1,AGtafelMan!$A$1:$FQ$122, MATCH(C$3+$B11-1,AGtafelMan!$A$1:$FQ$1,0),FALSE) )</f>
        <v>.</v>
      </c>
      <c r="F11" s="73">
        <f>IF(C$3+$B11&lt;=2020, HLOOKUP(C$3, CBStafelVrouw!$B$5:$CW$106, MATCH($A11,CBStafelVrouw!$A$5:$A$106,0),FALSE), ".")</f>
        <v>98485</v>
      </c>
      <c r="G11" s="73">
        <f t="shared" si="1"/>
        <v>98485</v>
      </c>
      <c r="H11" s="54" t="str">
        <f>IF(F11 &lt;&gt;".", ".", VLOOKUP($B11-1,AGtafelVrouw!$A$1:$FQ$122, MATCH(C$3+$B11,AGtafelVrouw!$A$1:$FQ$1,0),FALSE) )</f>
        <v>.</v>
      </c>
      <c r="I11" s="73">
        <f t="shared" si="2"/>
        <v>98263</v>
      </c>
      <c r="K11" s="73">
        <f>IF(K$3+$B11&lt;=2020, HLOOKUP(K$3, CBStafelMan!$B$5:$CW$106, MATCH($A11,CBStafelMan!$A$5:$A$106,0),FALSE), ".")</f>
        <v>98041</v>
      </c>
      <c r="L11" s="73">
        <f t="shared" si="3"/>
        <v>98041</v>
      </c>
      <c r="M11" s="54" t="str">
        <f>IF(K11 &lt;&gt;".", ".", VLOOKUP($B11-1,AGtafelMan!$A$1:$FQ$122, MATCH(K$3+$B11,AGtafelMan!$A$1:$FQ$1,0),FALSE) )</f>
        <v>.</v>
      </c>
      <c r="N11" s="73">
        <f>IF(K$3+$B11&lt;=2020, HLOOKUP(K$3, CBStafelVrouw!$B$5:$CW$106, MATCH($A11,CBStafelVrouw!$A$5:$A$106,0),FALSE), ".")</f>
        <v>98485</v>
      </c>
      <c r="O11" s="73">
        <f t="shared" si="4"/>
        <v>98485</v>
      </c>
      <c r="P11" s="54" t="str">
        <f>IF(N11 &lt;&gt;".", ".", VLOOKUP($B11-1,AGtafelVrouw!$A$1:$FQ$122, MATCH(K$3+$B11,AGtafelVrouw!$A$1:$FQ$1,0),FALSE) )</f>
        <v>.</v>
      </c>
      <c r="Q11" s="73">
        <f t="shared" si="5"/>
        <v>98263</v>
      </c>
    </row>
    <row r="12" spans="1:17" x14ac:dyDescent="0.25">
      <c r="A12" s="73" t="s">
        <v>118</v>
      </c>
      <c r="B12" s="73">
        <v>5</v>
      </c>
      <c r="C12" s="73">
        <f>IF(C$3+$B12&lt;=2020, HLOOKUP(C$3, CBStafelMan!$B$5:$CW$106, MATCH($A12,CBStafelMan!$A$5:$A$106,0),FALSE), ".")</f>
        <v>97972</v>
      </c>
      <c r="D12" s="73">
        <f t="shared" si="6"/>
        <v>97972</v>
      </c>
      <c r="E12" s="54" t="str">
        <f>IF(C12 &lt;&gt;".", ".", VLOOKUP($B12-1,AGtafelMan!$A$1:$FQ$122, MATCH(C$3+$B12-1,AGtafelMan!$A$1:$FQ$1,0),FALSE) )</f>
        <v>.</v>
      </c>
      <c r="F12" s="73">
        <f>IF(C$3+$B12&lt;=2020, HLOOKUP(C$3, CBStafelVrouw!$B$5:$CW$106, MATCH($A12,CBStafelVrouw!$A$5:$A$106,0),FALSE), ".")</f>
        <v>98438</v>
      </c>
      <c r="G12" s="73">
        <f t="shared" si="1"/>
        <v>98438</v>
      </c>
      <c r="H12" s="54" t="str">
        <f>IF(F12 &lt;&gt;".", ".", VLOOKUP($B12-1,AGtafelVrouw!$A$1:$FQ$122, MATCH(C$3+$B12,AGtafelVrouw!$A$1:$FQ$1,0),FALSE) )</f>
        <v>.</v>
      </c>
      <c r="I12" s="73">
        <f t="shared" si="2"/>
        <v>98205</v>
      </c>
      <c r="K12" s="73">
        <f>IF(K$3+$B12&lt;=2020, HLOOKUP(K$3, CBStafelMan!$B$5:$CW$106, MATCH($A12,CBStafelMan!$A$5:$A$106,0),FALSE), ".")</f>
        <v>97972</v>
      </c>
      <c r="L12" s="73">
        <f t="shared" si="3"/>
        <v>97972</v>
      </c>
      <c r="M12" s="54" t="str">
        <f>IF(K12 &lt;&gt;".", ".", VLOOKUP($B12-1,AGtafelMan!$A$1:$FQ$122, MATCH(K$3+$B12,AGtafelMan!$A$1:$FQ$1,0),FALSE) )</f>
        <v>.</v>
      </c>
      <c r="N12" s="73">
        <f>IF(K$3+$B12&lt;=2020, HLOOKUP(K$3, CBStafelVrouw!$B$5:$CW$106, MATCH($A12,CBStafelVrouw!$A$5:$A$106,0),FALSE), ".")</f>
        <v>98438</v>
      </c>
      <c r="O12" s="73">
        <f t="shared" si="4"/>
        <v>98438</v>
      </c>
      <c r="P12" s="54" t="str">
        <f>IF(N12 &lt;&gt;".", ".", VLOOKUP($B12-1,AGtafelVrouw!$A$1:$FQ$122, MATCH(K$3+$B12,AGtafelVrouw!$A$1:$FQ$1,0),FALSE) )</f>
        <v>.</v>
      </c>
      <c r="Q12" s="73">
        <f t="shared" si="5"/>
        <v>98205</v>
      </c>
    </row>
    <row r="13" spans="1:17" x14ac:dyDescent="0.25">
      <c r="A13" s="73" t="s">
        <v>117</v>
      </c>
      <c r="B13" s="73">
        <v>6</v>
      </c>
      <c r="C13" s="73">
        <f>IF(C$3+$B13&lt;=2020, HLOOKUP(C$3, CBStafelMan!$B$5:$CW$106, MATCH($A13,CBStafelMan!$A$5:$A$106,0),FALSE), ".")</f>
        <v>97902</v>
      </c>
      <c r="D13" s="73">
        <f t="shared" si="6"/>
        <v>97902</v>
      </c>
      <c r="E13" s="54" t="str">
        <f>IF(C13 &lt;&gt;".", ".", VLOOKUP($B13-1,AGtafelMan!$A$1:$FQ$122, MATCH(C$3+$B13-1,AGtafelMan!$A$1:$FQ$1,0),FALSE) )</f>
        <v>.</v>
      </c>
      <c r="F13" s="73">
        <f>IF(C$3+$B13&lt;=2020, HLOOKUP(C$3, CBStafelVrouw!$B$5:$CW$106, MATCH($A13,CBStafelVrouw!$A$5:$A$106,0),FALSE), ".")</f>
        <v>98394</v>
      </c>
      <c r="G13" s="73">
        <f t="shared" si="1"/>
        <v>98394</v>
      </c>
      <c r="H13" s="54" t="str">
        <f>IF(F13 &lt;&gt;".", ".", VLOOKUP($B13-1,AGtafelVrouw!$A$1:$FQ$122, MATCH(C$3+$B13,AGtafelVrouw!$A$1:$FQ$1,0),FALSE) )</f>
        <v>.</v>
      </c>
      <c r="I13" s="73">
        <f t="shared" si="2"/>
        <v>98148</v>
      </c>
      <c r="K13" s="73">
        <f>IF(K$3+$B13&lt;=2020, HLOOKUP(K$3, CBStafelMan!$B$5:$CW$106, MATCH($A13,CBStafelMan!$A$5:$A$106,0),FALSE), ".")</f>
        <v>97902</v>
      </c>
      <c r="L13" s="73">
        <f t="shared" si="3"/>
        <v>97902</v>
      </c>
      <c r="M13" s="54" t="str">
        <f>IF(K13 &lt;&gt;".", ".", VLOOKUP($B13-1,AGtafelMan!$A$1:$FQ$122, MATCH(K$3+$B13,AGtafelMan!$A$1:$FQ$1,0),FALSE) )</f>
        <v>.</v>
      </c>
      <c r="N13" s="73">
        <f>IF(K$3+$B13&lt;=2020, HLOOKUP(K$3, CBStafelVrouw!$B$5:$CW$106, MATCH($A13,CBStafelVrouw!$A$5:$A$106,0),FALSE), ".")</f>
        <v>98394</v>
      </c>
      <c r="O13" s="73">
        <f t="shared" si="4"/>
        <v>98394</v>
      </c>
      <c r="P13" s="54" t="str">
        <f>IF(N13 &lt;&gt;".", ".", VLOOKUP($B13-1,AGtafelVrouw!$A$1:$FQ$122, MATCH(K$3+$B13,AGtafelVrouw!$A$1:$FQ$1,0),FALSE) )</f>
        <v>.</v>
      </c>
      <c r="Q13" s="73">
        <f t="shared" si="5"/>
        <v>98148</v>
      </c>
    </row>
    <row r="14" spans="1:17" x14ac:dyDescent="0.25">
      <c r="A14" s="73" t="s">
        <v>116</v>
      </c>
      <c r="B14" s="73">
        <v>7</v>
      </c>
      <c r="C14" s="73">
        <f>IF(C$3+$B14&lt;=2020, HLOOKUP(C$3, CBStafelMan!$B$5:$CW$106, MATCH($A14,CBStafelMan!$A$5:$A$106,0),FALSE), ".")</f>
        <v>97839</v>
      </c>
      <c r="D14" s="73">
        <f t="shared" si="6"/>
        <v>97839</v>
      </c>
      <c r="E14" s="54" t="str">
        <f>IF(C14 &lt;&gt;".", ".", VLOOKUP($B14-1,AGtafelMan!$A$1:$FQ$122, MATCH(C$3+$B14-1,AGtafelMan!$A$1:$FQ$1,0),FALSE) )</f>
        <v>.</v>
      </c>
      <c r="F14" s="73">
        <f>IF(C$3+$B14&lt;=2020, HLOOKUP(C$3, CBStafelVrouw!$B$5:$CW$106, MATCH($A14,CBStafelVrouw!$A$5:$A$106,0),FALSE), ".")</f>
        <v>98353</v>
      </c>
      <c r="G14" s="73">
        <f t="shared" si="1"/>
        <v>98353</v>
      </c>
      <c r="H14" s="54" t="str">
        <f>IF(F14 &lt;&gt;".", ".", VLOOKUP($B14-1,AGtafelVrouw!$A$1:$FQ$122, MATCH(C$3+$B14,AGtafelVrouw!$A$1:$FQ$1,0),FALSE) )</f>
        <v>.</v>
      </c>
      <c r="I14" s="73">
        <f t="shared" si="2"/>
        <v>98096</v>
      </c>
      <c r="K14" s="73">
        <f>IF(K$3+$B14&lt;=2020, HLOOKUP(K$3, CBStafelMan!$B$5:$CW$106, MATCH($A14,CBStafelMan!$A$5:$A$106,0),FALSE), ".")</f>
        <v>97839</v>
      </c>
      <c r="L14" s="73">
        <f t="shared" si="3"/>
        <v>97839</v>
      </c>
      <c r="M14" s="54" t="str">
        <f>IF(K14 &lt;&gt;".", ".", VLOOKUP($B14-1,AGtafelMan!$A$1:$FQ$122, MATCH(K$3+$B14,AGtafelMan!$A$1:$FQ$1,0),FALSE) )</f>
        <v>.</v>
      </c>
      <c r="N14" s="73">
        <f>IF(K$3+$B14&lt;=2020, HLOOKUP(K$3, CBStafelVrouw!$B$5:$CW$106, MATCH($A14,CBStafelVrouw!$A$5:$A$106,0),FALSE), ".")</f>
        <v>98353</v>
      </c>
      <c r="O14" s="73">
        <f t="shared" si="4"/>
        <v>98353</v>
      </c>
      <c r="P14" s="54" t="str">
        <f>IF(N14 &lt;&gt;".", ".", VLOOKUP($B14-1,AGtafelVrouw!$A$1:$FQ$122, MATCH(K$3+$B14,AGtafelVrouw!$A$1:$FQ$1,0),FALSE) )</f>
        <v>.</v>
      </c>
      <c r="Q14" s="73">
        <f t="shared" si="5"/>
        <v>98096</v>
      </c>
    </row>
    <row r="15" spans="1:17" x14ac:dyDescent="0.25">
      <c r="A15" s="73" t="s">
        <v>115</v>
      </c>
      <c r="B15" s="73">
        <v>8</v>
      </c>
      <c r="C15" s="73">
        <f>IF(C$3+$B15&lt;=2020, HLOOKUP(C$3, CBStafelMan!$B$5:$CW$106, MATCH($A15,CBStafelMan!$A$5:$A$106,0),FALSE), ".")</f>
        <v>97787</v>
      </c>
      <c r="D15" s="73">
        <f t="shared" si="6"/>
        <v>97787</v>
      </c>
      <c r="E15" s="54" t="str">
        <f>IF(C15 &lt;&gt;".", ".", VLOOKUP($B15-1,AGtafelMan!$A$1:$FQ$122, MATCH(C$3+$B15-1,AGtafelMan!$A$1:$FQ$1,0),FALSE) )</f>
        <v>.</v>
      </c>
      <c r="F15" s="73">
        <f>IF(C$3+$B15&lt;=2020, HLOOKUP(C$3, CBStafelVrouw!$B$5:$CW$106, MATCH($A15,CBStafelVrouw!$A$5:$A$106,0),FALSE), ".")</f>
        <v>98317</v>
      </c>
      <c r="G15" s="73">
        <f t="shared" si="1"/>
        <v>98317</v>
      </c>
      <c r="H15" s="54" t="str">
        <f>IF(F15 &lt;&gt;".", ".", VLOOKUP($B15-1,AGtafelVrouw!$A$1:$FQ$122, MATCH(C$3+$B15,AGtafelVrouw!$A$1:$FQ$1,0),FALSE) )</f>
        <v>.</v>
      </c>
      <c r="I15" s="73">
        <f t="shared" si="2"/>
        <v>98052</v>
      </c>
      <c r="K15" s="73">
        <f>IF(K$3+$B15&lt;=2020, HLOOKUP(K$3, CBStafelMan!$B$5:$CW$106, MATCH($A15,CBStafelMan!$A$5:$A$106,0),FALSE), ".")</f>
        <v>97787</v>
      </c>
      <c r="L15" s="73">
        <f t="shared" si="3"/>
        <v>97787</v>
      </c>
      <c r="M15" s="54" t="str">
        <f>IF(K15 &lt;&gt;".", ".", VLOOKUP($B15-1,AGtafelMan!$A$1:$FQ$122, MATCH(K$3+$B15,AGtafelMan!$A$1:$FQ$1,0),FALSE) )</f>
        <v>.</v>
      </c>
      <c r="N15" s="73">
        <f>IF(K$3+$B15&lt;=2020, HLOOKUP(K$3, CBStafelVrouw!$B$5:$CW$106, MATCH($A15,CBStafelVrouw!$A$5:$A$106,0),FALSE), ".")</f>
        <v>98317</v>
      </c>
      <c r="O15" s="73">
        <f t="shared" si="4"/>
        <v>98317</v>
      </c>
      <c r="P15" s="54" t="str">
        <f>IF(N15 &lt;&gt;".", ".", VLOOKUP($B15-1,AGtafelVrouw!$A$1:$FQ$122, MATCH(K$3+$B15,AGtafelVrouw!$A$1:$FQ$1,0),FALSE) )</f>
        <v>.</v>
      </c>
      <c r="Q15" s="73">
        <f t="shared" si="5"/>
        <v>98052</v>
      </c>
    </row>
    <row r="16" spans="1:17" x14ac:dyDescent="0.25">
      <c r="A16" s="73" t="s">
        <v>114</v>
      </c>
      <c r="B16" s="73">
        <v>9</v>
      </c>
      <c r="C16" s="73">
        <f>IF(C$3+$B16&lt;=2020, HLOOKUP(C$3, CBStafelMan!$B$5:$CW$106, MATCH($A16,CBStafelMan!$A$5:$A$106,0),FALSE), ".")</f>
        <v>97735</v>
      </c>
      <c r="D16" s="73">
        <f t="shared" si="6"/>
        <v>97735</v>
      </c>
      <c r="E16" s="54" t="str">
        <f>IF(C16 &lt;&gt;".", ".", VLOOKUP($B16-1,AGtafelMan!$A$1:$FQ$122, MATCH(C$3+$B16-1,AGtafelMan!$A$1:$FQ$1,0),FALSE) )</f>
        <v>.</v>
      </c>
      <c r="F16" s="73">
        <f>IF(C$3+$B16&lt;=2020, HLOOKUP(C$3, CBStafelVrouw!$B$5:$CW$106, MATCH($A16,CBStafelVrouw!$A$5:$A$106,0),FALSE), ".")</f>
        <v>98285</v>
      </c>
      <c r="G16" s="73">
        <f t="shared" si="1"/>
        <v>98285</v>
      </c>
      <c r="H16" s="54" t="str">
        <f>IF(F16 &lt;&gt;".", ".", VLOOKUP($B16-1,AGtafelVrouw!$A$1:$FQ$122, MATCH(C$3+$B16,AGtafelVrouw!$A$1:$FQ$1,0),FALSE) )</f>
        <v>.</v>
      </c>
      <c r="I16" s="73">
        <f t="shared" si="2"/>
        <v>98010</v>
      </c>
      <c r="K16" s="73">
        <f>IF(K$3+$B16&lt;=2020, HLOOKUP(K$3, CBStafelMan!$B$5:$CW$106, MATCH($A16,CBStafelMan!$A$5:$A$106,0),FALSE), ".")</f>
        <v>97735</v>
      </c>
      <c r="L16" s="73">
        <f t="shared" si="3"/>
        <v>97735</v>
      </c>
      <c r="M16" s="54" t="str">
        <f>IF(K16 &lt;&gt;".", ".", VLOOKUP($B16-1,AGtafelMan!$A$1:$FQ$122, MATCH(K$3+$B16,AGtafelMan!$A$1:$FQ$1,0),FALSE) )</f>
        <v>.</v>
      </c>
      <c r="N16" s="73">
        <f>IF(K$3+$B16&lt;=2020, HLOOKUP(K$3, CBStafelVrouw!$B$5:$CW$106, MATCH($A16,CBStafelVrouw!$A$5:$A$106,0),FALSE), ".")</f>
        <v>98285</v>
      </c>
      <c r="O16" s="73">
        <f t="shared" si="4"/>
        <v>98285</v>
      </c>
      <c r="P16" s="54" t="str">
        <f>IF(N16 &lt;&gt;".", ".", VLOOKUP($B16-1,AGtafelVrouw!$A$1:$FQ$122, MATCH(K$3+$B16,AGtafelVrouw!$A$1:$FQ$1,0),FALSE) )</f>
        <v>.</v>
      </c>
      <c r="Q16" s="73">
        <f t="shared" si="5"/>
        <v>98010</v>
      </c>
    </row>
    <row r="17" spans="1:17" x14ac:dyDescent="0.25">
      <c r="A17" s="73" t="s">
        <v>113</v>
      </c>
      <c r="B17" s="73">
        <v>10</v>
      </c>
      <c r="C17" s="73">
        <f>IF(C$3+$B17&lt;=2020, HLOOKUP(C$3, CBStafelMan!$B$5:$CW$106, MATCH($A17,CBStafelMan!$A$5:$A$106,0),FALSE), ".")</f>
        <v>97697</v>
      </c>
      <c r="D17" s="73">
        <f t="shared" si="6"/>
        <v>97697</v>
      </c>
      <c r="E17" s="54" t="str">
        <f>IF(C17 &lt;&gt;".", ".", VLOOKUP($B17-1,AGtafelMan!$A$1:$FQ$122, MATCH(C$3+$B17-1,AGtafelMan!$A$1:$FQ$1,0),FALSE) )</f>
        <v>.</v>
      </c>
      <c r="F17" s="73">
        <f>IF(C$3+$B17&lt;=2020, HLOOKUP(C$3, CBStafelVrouw!$B$5:$CW$106, MATCH($A17,CBStafelVrouw!$A$5:$A$106,0),FALSE), ".")</f>
        <v>98260</v>
      </c>
      <c r="G17" s="73">
        <f t="shared" si="1"/>
        <v>98260</v>
      </c>
      <c r="H17" s="54" t="str">
        <f>IF(F17 &lt;&gt;".", ".", VLOOKUP($B17-1,AGtafelVrouw!$A$1:$FQ$122, MATCH(C$3+$B17,AGtafelVrouw!$A$1:$FQ$1,0),FALSE) )</f>
        <v>.</v>
      </c>
      <c r="I17" s="73">
        <f t="shared" si="2"/>
        <v>97978.5</v>
      </c>
      <c r="K17" s="73">
        <f>IF(K$3+$B17&lt;=2020, HLOOKUP(K$3, CBStafelMan!$B$5:$CW$106, MATCH($A17,CBStafelMan!$A$5:$A$106,0),FALSE), ".")</f>
        <v>97697</v>
      </c>
      <c r="L17" s="73">
        <f t="shared" si="3"/>
        <v>97697</v>
      </c>
      <c r="M17" s="54" t="str">
        <f>IF(K17 &lt;&gt;".", ".", VLOOKUP($B17-1,AGtafelMan!$A$1:$FQ$122, MATCH(K$3+$B17,AGtafelMan!$A$1:$FQ$1,0),FALSE) )</f>
        <v>.</v>
      </c>
      <c r="N17" s="73">
        <f>IF(K$3+$B17&lt;=2020, HLOOKUP(K$3, CBStafelVrouw!$B$5:$CW$106, MATCH($A17,CBStafelVrouw!$A$5:$A$106,0),FALSE), ".")</f>
        <v>98260</v>
      </c>
      <c r="O17" s="73">
        <f t="shared" si="4"/>
        <v>98260</v>
      </c>
      <c r="P17" s="54" t="str">
        <f>IF(N17 &lt;&gt;".", ".", VLOOKUP($B17-1,AGtafelVrouw!$A$1:$FQ$122, MATCH(K$3+$B17,AGtafelVrouw!$A$1:$FQ$1,0),FALSE) )</f>
        <v>.</v>
      </c>
      <c r="Q17" s="73">
        <f t="shared" si="5"/>
        <v>97978.5</v>
      </c>
    </row>
    <row r="18" spans="1:17" x14ac:dyDescent="0.25">
      <c r="A18" s="73" t="s">
        <v>112</v>
      </c>
      <c r="B18" s="73">
        <v>11</v>
      </c>
      <c r="C18" s="73">
        <f>IF(C$3+$B18&lt;=2020, HLOOKUP(C$3, CBStafelMan!$B$5:$CW$106, MATCH($A18,CBStafelMan!$A$5:$A$106,0),FALSE), ".")</f>
        <v>97665</v>
      </c>
      <c r="D18" s="73">
        <f t="shared" si="6"/>
        <v>97665</v>
      </c>
      <c r="E18" s="54" t="str">
        <f>IF(C18 &lt;&gt;".", ".", VLOOKUP($B18-1,AGtafelMan!$A$1:$FQ$122, MATCH(C$3+$B18-1,AGtafelMan!$A$1:$FQ$1,0),FALSE) )</f>
        <v>.</v>
      </c>
      <c r="F18" s="73">
        <f>IF(C$3+$B18&lt;=2020, HLOOKUP(C$3, CBStafelVrouw!$B$5:$CW$106, MATCH($A18,CBStafelVrouw!$A$5:$A$106,0),FALSE), ".")</f>
        <v>98238</v>
      </c>
      <c r="G18" s="73">
        <f t="shared" si="1"/>
        <v>98238</v>
      </c>
      <c r="H18" s="54" t="str">
        <f>IF(F18 &lt;&gt;".", ".", VLOOKUP($B18-1,AGtafelVrouw!$A$1:$FQ$122, MATCH(C$3+$B18,AGtafelVrouw!$A$1:$FQ$1,0),FALSE) )</f>
        <v>.</v>
      </c>
      <c r="I18" s="73">
        <f t="shared" si="2"/>
        <v>97951.5</v>
      </c>
      <c r="K18" s="73">
        <f>IF(K$3+$B18&lt;=2020, HLOOKUP(K$3, CBStafelMan!$B$5:$CW$106, MATCH($A18,CBStafelMan!$A$5:$A$106,0),FALSE), ".")</f>
        <v>97665</v>
      </c>
      <c r="L18" s="73">
        <f t="shared" si="3"/>
        <v>97665</v>
      </c>
      <c r="M18" s="54" t="str">
        <f>IF(K18 &lt;&gt;".", ".", VLOOKUP($B18-1,AGtafelMan!$A$1:$FQ$122, MATCH(K$3+$B18,AGtafelMan!$A$1:$FQ$1,0),FALSE) )</f>
        <v>.</v>
      </c>
      <c r="N18" s="73">
        <f>IF(K$3+$B18&lt;=2020, HLOOKUP(K$3, CBStafelVrouw!$B$5:$CW$106, MATCH($A18,CBStafelVrouw!$A$5:$A$106,0),FALSE), ".")</f>
        <v>98238</v>
      </c>
      <c r="O18" s="73">
        <f t="shared" si="4"/>
        <v>98238</v>
      </c>
      <c r="P18" s="54" t="str">
        <f>IF(N18 &lt;&gt;".", ".", VLOOKUP($B18-1,AGtafelVrouw!$A$1:$FQ$122, MATCH(K$3+$B18,AGtafelVrouw!$A$1:$FQ$1,0),FALSE) )</f>
        <v>.</v>
      </c>
      <c r="Q18" s="73">
        <f t="shared" si="5"/>
        <v>97951.5</v>
      </c>
    </row>
    <row r="19" spans="1:17" x14ac:dyDescent="0.25">
      <c r="A19" s="73" t="s">
        <v>111</v>
      </c>
      <c r="B19" s="73">
        <v>12</v>
      </c>
      <c r="C19" s="73">
        <f>IF(C$3+$B19&lt;=2020, HLOOKUP(C$3, CBStafelMan!$B$5:$CW$106, MATCH($A19,CBStafelMan!$A$5:$A$106,0),FALSE), ".")</f>
        <v>97637</v>
      </c>
      <c r="D19" s="73">
        <f t="shared" si="6"/>
        <v>97637</v>
      </c>
      <c r="E19" s="54" t="str">
        <f>IF(C19 &lt;&gt;".", ".", VLOOKUP($B19-1,AGtafelMan!$A$1:$FQ$122, MATCH(C$3+$B19-1,AGtafelMan!$A$1:$FQ$1,0),FALSE) )</f>
        <v>.</v>
      </c>
      <c r="F19" s="73">
        <f>IF(C$3+$B19&lt;=2020, HLOOKUP(C$3, CBStafelVrouw!$B$5:$CW$106, MATCH($A19,CBStafelVrouw!$A$5:$A$106,0),FALSE), ".")</f>
        <v>98221</v>
      </c>
      <c r="G19" s="73">
        <f t="shared" si="1"/>
        <v>98221</v>
      </c>
      <c r="H19" s="54" t="str">
        <f>IF(F19 &lt;&gt;".", ".", VLOOKUP($B19-1,AGtafelVrouw!$A$1:$FQ$122, MATCH(C$3+$B19,AGtafelVrouw!$A$1:$FQ$1,0),FALSE) )</f>
        <v>.</v>
      </c>
      <c r="I19" s="73">
        <f t="shared" si="2"/>
        <v>97929</v>
      </c>
      <c r="K19" s="73">
        <f>IF(K$3+$B19&lt;=2020, HLOOKUP(K$3, CBStafelMan!$B$5:$CW$106, MATCH($A19,CBStafelMan!$A$5:$A$106,0),FALSE), ".")</f>
        <v>97637</v>
      </c>
      <c r="L19" s="73">
        <f t="shared" si="3"/>
        <v>97637</v>
      </c>
      <c r="M19" s="54" t="str">
        <f>IF(K19 &lt;&gt;".", ".", VLOOKUP($B19-1,AGtafelMan!$A$1:$FQ$122, MATCH(K$3+$B19,AGtafelMan!$A$1:$FQ$1,0),FALSE) )</f>
        <v>.</v>
      </c>
      <c r="N19" s="73">
        <f>IF(K$3+$B19&lt;=2020, HLOOKUP(K$3, CBStafelVrouw!$B$5:$CW$106, MATCH($A19,CBStafelVrouw!$A$5:$A$106,0),FALSE), ".")</f>
        <v>98221</v>
      </c>
      <c r="O19" s="73">
        <f t="shared" si="4"/>
        <v>98221</v>
      </c>
      <c r="P19" s="54" t="str">
        <f>IF(N19 &lt;&gt;".", ".", VLOOKUP($B19-1,AGtafelVrouw!$A$1:$FQ$122, MATCH(K$3+$B19,AGtafelVrouw!$A$1:$FQ$1,0),FALSE) )</f>
        <v>.</v>
      </c>
      <c r="Q19" s="73">
        <f t="shared" si="5"/>
        <v>97929</v>
      </c>
    </row>
    <row r="20" spans="1:17" x14ac:dyDescent="0.25">
      <c r="A20" s="73" t="s">
        <v>110</v>
      </c>
      <c r="B20" s="73">
        <v>13</v>
      </c>
      <c r="C20" s="73">
        <f>IF(C$3+$B20&lt;=2020, HLOOKUP(C$3, CBStafelMan!$B$5:$CW$106, MATCH($A20,CBStafelMan!$A$5:$A$106,0),FALSE), ".")</f>
        <v>97610</v>
      </c>
      <c r="D20" s="73">
        <f t="shared" si="6"/>
        <v>97610</v>
      </c>
      <c r="E20" s="54" t="str">
        <f>IF(C20 &lt;&gt;".", ".", VLOOKUP($B20-1,AGtafelMan!$A$1:$FQ$122, MATCH(C$3+$B20-1,AGtafelMan!$A$1:$FQ$1,0),FALSE) )</f>
        <v>.</v>
      </c>
      <c r="F20" s="73">
        <f>IF(C$3+$B20&lt;=2020, HLOOKUP(C$3, CBStafelVrouw!$B$5:$CW$106, MATCH($A20,CBStafelVrouw!$A$5:$A$106,0),FALSE), ".")</f>
        <v>98196</v>
      </c>
      <c r="G20" s="73">
        <f t="shared" si="1"/>
        <v>98196</v>
      </c>
      <c r="H20" s="54" t="str">
        <f>IF(F20 &lt;&gt;".", ".", VLOOKUP($B20-1,AGtafelVrouw!$A$1:$FQ$122, MATCH(C$3+$B20,AGtafelVrouw!$A$1:$FQ$1,0),FALSE) )</f>
        <v>.</v>
      </c>
      <c r="I20" s="73">
        <f t="shared" si="2"/>
        <v>97903</v>
      </c>
      <c r="K20" s="73">
        <f>IF(K$3+$B20&lt;=2020, HLOOKUP(K$3, CBStafelMan!$B$5:$CW$106, MATCH($A20,CBStafelMan!$A$5:$A$106,0),FALSE), ".")</f>
        <v>97610</v>
      </c>
      <c r="L20" s="73">
        <f t="shared" si="3"/>
        <v>97610</v>
      </c>
      <c r="M20" s="54" t="str">
        <f>IF(K20 &lt;&gt;".", ".", VLOOKUP($B20-1,AGtafelMan!$A$1:$FQ$122, MATCH(K$3+$B20,AGtafelMan!$A$1:$FQ$1,0),FALSE) )</f>
        <v>.</v>
      </c>
      <c r="N20" s="73">
        <f>IF(K$3+$B20&lt;=2020, HLOOKUP(K$3, CBStafelVrouw!$B$5:$CW$106, MATCH($A20,CBStafelVrouw!$A$5:$A$106,0),FALSE), ".")</f>
        <v>98196</v>
      </c>
      <c r="O20" s="73">
        <f t="shared" si="4"/>
        <v>98196</v>
      </c>
      <c r="P20" s="54" t="str">
        <f>IF(N20 &lt;&gt;".", ".", VLOOKUP($B20-1,AGtafelVrouw!$A$1:$FQ$122, MATCH(K$3+$B20,AGtafelVrouw!$A$1:$FQ$1,0),FALSE) )</f>
        <v>.</v>
      </c>
      <c r="Q20" s="73">
        <f t="shared" si="5"/>
        <v>97903</v>
      </c>
    </row>
    <row r="21" spans="1:17" x14ac:dyDescent="0.25">
      <c r="A21" s="73" t="s">
        <v>109</v>
      </c>
      <c r="B21" s="73">
        <v>14</v>
      </c>
      <c r="C21" s="73">
        <f>IF(C$3+$B21&lt;=2020, HLOOKUP(C$3, CBStafelMan!$B$5:$CW$106, MATCH($A21,CBStafelMan!$A$5:$A$106,0),FALSE), ".")</f>
        <v>97570</v>
      </c>
      <c r="D21" s="73">
        <f t="shared" si="6"/>
        <v>97570</v>
      </c>
      <c r="E21" s="54" t="str">
        <f>IF(C21 &lt;&gt;".", ".", VLOOKUP($B21-1,AGtafelMan!$A$1:$FQ$122, MATCH(C$3+$B21-1,AGtafelMan!$A$1:$FQ$1,0),FALSE) )</f>
        <v>.</v>
      </c>
      <c r="F21" s="73">
        <f>IF(C$3+$B21&lt;=2020, HLOOKUP(C$3, CBStafelVrouw!$B$5:$CW$106, MATCH($A21,CBStafelVrouw!$A$5:$A$106,0),FALSE), ".")</f>
        <v>98169</v>
      </c>
      <c r="G21" s="73">
        <f t="shared" si="1"/>
        <v>98169</v>
      </c>
      <c r="H21" s="54" t="str">
        <f>IF(F21 &lt;&gt;".", ".", VLOOKUP($B21-1,AGtafelVrouw!$A$1:$FQ$122, MATCH(C$3+$B21,AGtafelVrouw!$A$1:$FQ$1,0),FALSE) )</f>
        <v>.</v>
      </c>
      <c r="I21" s="73">
        <f t="shared" si="2"/>
        <v>97869.5</v>
      </c>
      <c r="K21" s="73">
        <f>IF(K$3+$B21&lt;=2020, HLOOKUP(K$3, CBStafelMan!$B$5:$CW$106, MATCH($A21,CBStafelMan!$A$5:$A$106,0),FALSE), ".")</f>
        <v>97570</v>
      </c>
      <c r="L21" s="73">
        <f t="shared" si="3"/>
        <v>97570</v>
      </c>
      <c r="M21" s="54" t="str">
        <f>IF(K21 &lt;&gt;".", ".", VLOOKUP($B21-1,AGtafelMan!$A$1:$FQ$122, MATCH(K$3+$B21,AGtafelMan!$A$1:$FQ$1,0),FALSE) )</f>
        <v>.</v>
      </c>
      <c r="N21" s="73">
        <f>IF(K$3+$B21&lt;=2020, HLOOKUP(K$3, CBStafelVrouw!$B$5:$CW$106, MATCH($A21,CBStafelVrouw!$A$5:$A$106,0),FALSE), ".")</f>
        <v>98169</v>
      </c>
      <c r="O21" s="73">
        <f t="shared" si="4"/>
        <v>98169</v>
      </c>
      <c r="P21" s="54" t="str">
        <f>IF(N21 &lt;&gt;".", ".", VLOOKUP($B21-1,AGtafelVrouw!$A$1:$FQ$122, MATCH(K$3+$B21,AGtafelVrouw!$A$1:$FQ$1,0),FALSE) )</f>
        <v>.</v>
      </c>
      <c r="Q21" s="73">
        <f t="shared" si="5"/>
        <v>97869.5</v>
      </c>
    </row>
    <row r="22" spans="1:17" x14ac:dyDescent="0.25">
      <c r="A22" s="73" t="s">
        <v>108</v>
      </c>
      <c r="B22" s="73">
        <v>15</v>
      </c>
      <c r="C22" s="73">
        <f>IF(C$3+$B22&lt;=2020, HLOOKUP(C$3, CBStafelMan!$B$5:$CW$106, MATCH($A22,CBStafelMan!$A$5:$A$106,0),FALSE), ".")</f>
        <v>97544</v>
      </c>
      <c r="D22" s="73">
        <f t="shared" si="6"/>
        <v>97544</v>
      </c>
      <c r="E22" s="54" t="str">
        <f>IF(C22 &lt;&gt;".", ".", VLOOKUP($B22-1,AGtafelMan!$A$1:$FQ$122, MATCH(C$3+$B22-1,AGtafelMan!$A$1:$FQ$1,0),FALSE) )</f>
        <v>.</v>
      </c>
      <c r="F22" s="73">
        <f>IF(C$3+$B22&lt;=2020, HLOOKUP(C$3, CBStafelVrouw!$B$5:$CW$106, MATCH($A22,CBStafelVrouw!$A$5:$A$106,0),FALSE), ".")</f>
        <v>98145</v>
      </c>
      <c r="G22" s="73">
        <f t="shared" si="1"/>
        <v>98145</v>
      </c>
      <c r="H22" s="54" t="str">
        <f>IF(F22 &lt;&gt;".", ".", VLOOKUP($B22-1,AGtafelVrouw!$A$1:$FQ$122, MATCH(C$3+$B22,AGtafelVrouw!$A$1:$FQ$1,0),FALSE) )</f>
        <v>.</v>
      </c>
      <c r="I22" s="73">
        <f t="shared" si="2"/>
        <v>97844.5</v>
      </c>
      <c r="K22" s="73">
        <f>IF(K$3+$B22&lt;=2020, HLOOKUP(K$3, CBStafelMan!$B$5:$CW$106, MATCH($A22,CBStafelMan!$A$5:$A$106,0),FALSE), ".")</f>
        <v>97544</v>
      </c>
      <c r="L22" s="73">
        <f t="shared" si="3"/>
        <v>97544</v>
      </c>
      <c r="M22" s="54" t="str">
        <f>IF(K22 &lt;&gt;".", ".", VLOOKUP($B22-1,AGtafelMan!$A$1:$FQ$122, MATCH(K$3+$B22,AGtafelMan!$A$1:$FQ$1,0),FALSE) )</f>
        <v>.</v>
      </c>
      <c r="N22" s="73">
        <f>IF(K$3+$B22&lt;=2020, HLOOKUP(K$3, CBStafelVrouw!$B$5:$CW$106, MATCH($A22,CBStafelVrouw!$A$5:$A$106,0),FALSE), ".")</f>
        <v>98145</v>
      </c>
      <c r="O22" s="73">
        <f t="shared" si="4"/>
        <v>98145</v>
      </c>
      <c r="P22" s="54" t="str">
        <f>IF(N22 &lt;&gt;".", ".", VLOOKUP($B22-1,AGtafelVrouw!$A$1:$FQ$122, MATCH(K$3+$B22,AGtafelVrouw!$A$1:$FQ$1,0),FALSE) )</f>
        <v>.</v>
      </c>
      <c r="Q22" s="73">
        <f t="shared" si="5"/>
        <v>97844.5</v>
      </c>
    </row>
    <row r="23" spans="1:17" x14ac:dyDescent="0.25">
      <c r="A23" s="73" t="s">
        <v>107</v>
      </c>
      <c r="B23" s="73">
        <v>16</v>
      </c>
      <c r="C23" s="73">
        <f>IF(C$3+$B23&lt;=2020, HLOOKUP(C$3, CBStafelMan!$B$5:$CW$106, MATCH($A23,CBStafelMan!$A$5:$A$106,0),FALSE), ".")</f>
        <v>97516</v>
      </c>
      <c r="D23" s="73">
        <f t="shared" si="6"/>
        <v>97516</v>
      </c>
      <c r="E23" s="54" t="str">
        <f>IF(C23 &lt;&gt;".", ".", VLOOKUP($B23-1,AGtafelMan!$A$1:$FQ$122, MATCH(C$3+$B23-1,AGtafelMan!$A$1:$FQ$1,0),FALSE) )</f>
        <v>.</v>
      </c>
      <c r="F23" s="73">
        <f>IF(C$3+$B23&lt;=2020, HLOOKUP(C$3, CBStafelVrouw!$B$5:$CW$106, MATCH($A23,CBStafelVrouw!$A$5:$A$106,0),FALSE), ".")</f>
        <v>98120</v>
      </c>
      <c r="G23" s="73">
        <f t="shared" si="1"/>
        <v>98120</v>
      </c>
      <c r="H23" s="54" t="str">
        <f>IF(F23 &lt;&gt;".", ".", VLOOKUP($B23-1,AGtafelVrouw!$A$1:$FQ$122, MATCH(C$3+$B23,AGtafelVrouw!$A$1:$FQ$1,0),FALSE) )</f>
        <v>.</v>
      </c>
      <c r="I23" s="73">
        <f t="shared" si="2"/>
        <v>97818</v>
      </c>
      <c r="K23" s="73">
        <f>IF(K$3+$B23&lt;=2020, HLOOKUP(K$3, CBStafelMan!$B$5:$CW$106, MATCH($A23,CBStafelMan!$A$5:$A$106,0),FALSE), ".")</f>
        <v>97516</v>
      </c>
      <c r="L23" s="73">
        <f t="shared" si="3"/>
        <v>97516</v>
      </c>
      <c r="M23" s="54" t="str">
        <f>IF(K23 &lt;&gt;".", ".", VLOOKUP($B23-1,AGtafelMan!$A$1:$FQ$122, MATCH(K$3+$B23,AGtafelMan!$A$1:$FQ$1,0),FALSE) )</f>
        <v>.</v>
      </c>
      <c r="N23" s="73">
        <f>IF(K$3+$B23&lt;=2020, HLOOKUP(K$3, CBStafelVrouw!$B$5:$CW$106, MATCH($A23,CBStafelVrouw!$A$5:$A$106,0),FALSE), ".")</f>
        <v>98120</v>
      </c>
      <c r="O23" s="73">
        <f t="shared" si="4"/>
        <v>98120</v>
      </c>
      <c r="P23" s="54" t="str">
        <f>IF(N23 &lt;&gt;".", ".", VLOOKUP($B23-1,AGtafelVrouw!$A$1:$FQ$122, MATCH(K$3+$B23,AGtafelVrouw!$A$1:$FQ$1,0),FALSE) )</f>
        <v>.</v>
      </c>
      <c r="Q23" s="73">
        <f t="shared" si="5"/>
        <v>97818</v>
      </c>
    </row>
    <row r="24" spans="1:17" x14ac:dyDescent="0.25">
      <c r="A24" s="73" t="s">
        <v>106</v>
      </c>
      <c r="B24" s="73">
        <v>17</v>
      </c>
      <c r="C24" s="73">
        <f>IF(C$3+$B24&lt;=2020, HLOOKUP(C$3, CBStafelMan!$B$5:$CW$106, MATCH($A24,CBStafelMan!$A$5:$A$106,0),FALSE), ".")</f>
        <v>97468</v>
      </c>
      <c r="D24" s="73">
        <f t="shared" ref="D24:D87" si="7">IF(C24 &lt;&gt;".", C24, D23*(1-E24))</f>
        <v>97468</v>
      </c>
      <c r="E24" s="54" t="str">
        <f>IF(C24 &lt;&gt;".", ".", VLOOKUP($B24-1,AGtafelMan!$A$1:$FQ$122, MATCH(C$3+$B24-1,AGtafelMan!$A$1:$FQ$1,0),FALSE) )</f>
        <v>.</v>
      </c>
      <c r="F24" s="73">
        <f>IF(C$3+$B24&lt;=2020, HLOOKUP(C$3, CBStafelVrouw!$B$5:$CW$106, MATCH($A24,CBStafelVrouw!$A$5:$A$106,0),FALSE), ".")</f>
        <v>98090</v>
      </c>
      <c r="G24" s="73">
        <f t="shared" si="1"/>
        <v>98090</v>
      </c>
      <c r="H24" s="54" t="str">
        <f>IF(F24 &lt;&gt;".", ".", VLOOKUP($B24-1,AGtafelVrouw!$A$1:$FQ$122, MATCH(C$3+$B24,AGtafelVrouw!$A$1:$FQ$1,0),FALSE) )</f>
        <v>.</v>
      </c>
      <c r="I24" s="73">
        <f t="shared" si="2"/>
        <v>97779</v>
      </c>
      <c r="K24" s="73">
        <f>IF(K$3+$B24&lt;=2020, HLOOKUP(K$3, CBStafelMan!$B$5:$CW$106, MATCH($A24,CBStafelMan!$A$5:$A$106,0),FALSE), ".")</f>
        <v>97468</v>
      </c>
      <c r="L24" s="73">
        <f t="shared" si="3"/>
        <v>97468</v>
      </c>
      <c r="M24" s="54" t="str">
        <f>IF(K24 &lt;&gt;".", ".", VLOOKUP($B24-1,AGtafelMan!$A$1:$FQ$122, MATCH(K$3+$B24,AGtafelMan!$A$1:$FQ$1,0),FALSE) )</f>
        <v>.</v>
      </c>
      <c r="N24" s="73">
        <f>IF(K$3+$B24&lt;=2020, HLOOKUP(K$3, CBStafelVrouw!$B$5:$CW$106, MATCH($A24,CBStafelVrouw!$A$5:$A$106,0),FALSE), ".")</f>
        <v>98090</v>
      </c>
      <c r="O24" s="73">
        <f t="shared" si="4"/>
        <v>98090</v>
      </c>
      <c r="P24" s="54" t="str">
        <f>IF(N24 &lt;&gt;".", ".", VLOOKUP($B24-1,AGtafelVrouw!$A$1:$FQ$122, MATCH(K$3+$B24,AGtafelVrouw!$A$1:$FQ$1,0),FALSE) )</f>
        <v>.</v>
      </c>
      <c r="Q24" s="73">
        <f t="shared" si="5"/>
        <v>97779</v>
      </c>
    </row>
    <row r="25" spans="1:17" x14ac:dyDescent="0.25">
      <c r="A25" s="73" t="s">
        <v>105</v>
      </c>
      <c r="B25" s="73">
        <v>18</v>
      </c>
      <c r="C25" s="73">
        <f>IF(C$3+$B25&lt;=2020, HLOOKUP(C$3, CBStafelMan!$B$5:$CW$106, MATCH($A25,CBStafelMan!$A$5:$A$106,0),FALSE), ".")</f>
        <v>97403</v>
      </c>
      <c r="D25" s="73">
        <f t="shared" si="7"/>
        <v>97403</v>
      </c>
      <c r="E25" s="54" t="str">
        <f>IF(C25 &lt;&gt;".", ".", VLOOKUP($B25-1,AGtafelMan!$A$1:$FQ$122, MATCH(C$3+$B25-1,AGtafelMan!$A$1:$FQ$1,0),FALSE) )</f>
        <v>.</v>
      </c>
      <c r="F25" s="73">
        <f>IF(C$3+$B25&lt;=2020, HLOOKUP(C$3, CBStafelVrouw!$B$5:$CW$106, MATCH($A25,CBStafelVrouw!$A$5:$A$106,0),FALSE), ".")</f>
        <v>98062</v>
      </c>
      <c r="G25" s="73">
        <f t="shared" si="1"/>
        <v>98062</v>
      </c>
      <c r="H25" s="54" t="str">
        <f>IF(F25 &lt;&gt;".", ".", VLOOKUP($B25-1,AGtafelVrouw!$A$1:$FQ$122, MATCH(C$3+$B25,AGtafelVrouw!$A$1:$FQ$1,0),FALSE) )</f>
        <v>.</v>
      </c>
      <c r="I25" s="73">
        <f t="shared" si="2"/>
        <v>97732.5</v>
      </c>
      <c r="K25" s="73">
        <f>IF(K$3+$B25&lt;=2020, HLOOKUP(K$3, CBStafelMan!$B$5:$CW$106, MATCH($A25,CBStafelMan!$A$5:$A$106,0),FALSE), ".")</f>
        <v>97403</v>
      </c>
      <c r="L25" s="73">
        <f t="shared" si="3"/>
        <v>97403</v>
      </c>
      <c r="M25" s="54" t="str">
        <f>IF(K25 &lt;&gt;".", ".", VLOOKUP($B25-1,AGtafelMan!$A$1:$FQ$122, MATCH(K$3+$B25,AGtafelMan!$A$1:$FQ$1,0),FALSE) )</f>
        <v>.</v>
      </c>
      <c r="N25" s="73">
        <f>IF(K$3+$B25&lt;=2020, HLOOKUP(K$3, CBStafelVrouw!$B$5:$CW$106, MATCH($A25,CBStafelVrouw!$A$5:$A$106,0),FALSE), ".")</f>
        <v>98062</v>
      </c>
      <c r="O25" s="73">
        <f t="shared" si="4"/>
        <v>98062</v>
      </c>
      <c r="P25" s="54" t="str">
        <f>IF(N25 &lt;&gt;".", ".", VLOOKUP($B25-1,AGtafelVrouw!$A$1:$FQ$122, MATCH(K$3+$B25,AGtafelVrouw!$A$1:$FQ$1,0),FALSE) )</f>
        <v>.</v>
      </c>
      <c r="Q25" s="73">
        <f t="shared" si="5"/>
        <v>97732.5</v>
      </c>
    </row>
    <row r="26" spans="1:17" x14ac:dyDescent="0.25">
      <c r="A26" s="73" t="s">
        <v>104</v>
      </c>
      <c r="B26" s="73">
        <v>19</v>
      </c>
      <c r="C26" s="73">
        <f>IF(C$3+$B26&lt;=2020, HLOOKUP(C$3, CBStafelMan!$B$5:$CW$106, MATCH($A26,CBStafelMan!$A$5:$A$106,0),FALSE), ".")</f>
        <v>97329</v>
      </c>
      <c r="D26" s="73">
        <f t="shared" si="7"/>
        <v>97329</v>
      </c>
      <c r="E26" s="54" t="str">
        <f>IF(C26 &lt;&gt;".", ".", VLOOKUP($B26-1,AGtafelMan!$A$1:$FQ$122, MATCH(C$3+$B26-1,AGtafelMan!$A$1:$FQ$1,0),FALSE) )</f>
        <v>.</v>
      </c>
      <c r="F26" s="73">
        <f>IF(C$3+$B26&lt;=2020, HLOOKUP(C$3, CBStafelVrouw!$B$5:$CW$106, MATCH($A26,CBStafelVrouw!$A$5:$A$106,0),FALSE), ".")</f>
        <v>98034</v>
      </c>
      <c r="G26" s="73">
        <f t="shared" si="1"/>
        <v>98034</v>
      </c>
      <c r="H26" s="54" t="str">
        <f>IF(F26 &lt;&gt;".", ".", VLOOKUP($B26-1,AGtafelVrouw!$A$1:$FQ$122, MATCH(C$3+$B26,AGtafelVrouw!$A$1:$FQ$1,0),FALSE) )</f>
        <v>.</v>
      </c>
      <c r="I26" s="73">
        <f t="shared" si="2"/>
        <v>97681.5</v>
      </c>
      <c r="K26" s="73">
        <f>IF(K$3+$B26&lt;=2020, HLOOKUP(K$3, CBStafelMan!$B$5:$CW$106, MATCH($A26,CBStafelMan!$A$5:$A$106,0),FALSE), ".")</f>
        <v>97329</v>
      </c>
      <c r="L26" s="73">
        <f t="shared" si="3"/>
        <v>97329</v>
      </c>
      <c r="M26" s="54" t="str">
        <f>IF(K26 &lt;&gt;".", ".", VLOOKUP($B26-1,AGtafelMan!$A$1:$FQ$122, MATCH(K$3+$B26,AGtafelMan!$A$1:$FQ$1,0),FALSE) )</f>
        <v>.</v>
      </c>
      <c r="N26" s="73">
        <f>IF(K$3+$B26&lt;=2020, HLOOKUP(K$3, CBStafelVrouw!$B$5:$CW$106, MATCH($A26,CBStafelVrouw!$A$5:$A$106,0),FALSE), ".")</f>
        <v>98034</v>
      </c>
      <c r="O26" s="73">
        <f t="shared" si="4"/>
        <v>98034</v>
      </c>
      <c r="P26" s="54" t="str">
        <f>IF(N26 &lt;&gt;".", ".", VLOOKUP($B26-1,AGtafelVrouw!$A$1:$FQ$122, MATCH(K$3+$B26,AGtafelVrouw!$A$1:$FQ$1,0),FALSE) )</f>
        <v>.</v>
      </c>
      <c r="Q26" s="73">
        <f t="shared" si="5"/>
        <v>97681.5</v>
      </c>
    </row>
    <row r="27" spans="1:17" x14ac:dyDescent="0.25">
      <c r="A27" s="73" t="s">
        <v>103</v>
      </c>
      <c r="B27" s="73">
        <v>20</v>
      </c>
      <c r="C27" s="73">
        <f>IF(C$3+$B27&lt;=2020, HLOOKUP(C$3, CBStafelMan!$B$5:$CW$106, MATCH($A27,CBStafelMan!$A$5:$A$106,0),FALSE), ".")</f>
        <v>97266</v>
      </c>
      <c r="D27" s="73">
        <f t="shared" si="7"/>
        <v>97266</v>
      </c>
      <c r="E27" s="54" t="str">
        <f>IF(C27 &lt;&gt;".", ".", VLOOKUP($B27-1,AGtafelMan!$A$1:$FQ$122, MATCH(C$3+$B27-1,AGtafelMan!$A$1:$FQ$1,0),FALSE) )</f>
        <v>.</v>
      </c>
      <c r="F27" s="73">
        <f>IF(C$3+$B27&lt;=2020, HLOOKUP(C$3, CBStafelVrouw!$B$5:$CW$106, MATCH($A27,CBStafelVrouw!$A$5:$A$106,0),FALSE), ".")</f>
        <v>98005</v>
      </c>
      <c r="G27" s="73">
        <f t="shared" si="1"/>
        <v>98005</v>
      </c>
      <c r="H27" s="54" t="str">
        <f>IF(F27 &lt;&gt;".", ".", VLOOKUP($B27-1,AGtafelVrouw!$A$1:$FQ$122, MATCH(C$3+$B27,AGtafelVrouw!$A$1:$FQ$1,0),FALSE) )</f>
        <v>.</v>
      </c>
      <c r="I27" s="73">
        <f t="shared" si="2"/>
        <v>97635.5</v>
      </c>
      <c r="K27" s="73">
        <f>IF(K$3+$B27&lt;=2020, HLOOKUP(K$3, CBStafelMan!$B$5:$CW$106, MATCH($A27,CBStafelMan!$A$5:$A$106,0),FALSE), ".")</f>
        <v>97266</v>
      </c>
      <c r="L27" s="73">
        <f t="shared" si="3"/>
        <v>97266</v>
      </c>
      <c r="M27" s="54" t="str">
        <f>IF(K27 &lt;&gt;".", ".", VLOOKUP($B27-1,AGtafelMan!$A$1:$FQ$122, MATCH(K$3+$B27,AGtafelMan!$A$1:$FQ$1,0),FALSE) )</f>
        <v>.</v>
      </c>
      <c r="N27" s="73">
        <f>IF(K$3+$B27&lt;=2020, HLOOKUP(K$3, CBStafelVrouw!$B$5:$CW$106, MATCH($A27,CBStafelVrouw!$A$5:$A$106,0),FALSE), ".")</f>
        <v>98005</v>
      </c>
      <c r="O27" s="73">
        <f t="shared" si="4"/>
        <v>98005</v>
      </c>
      <c r="P27" s="54" t="str">
        <f>IF(N27 &lt;&gt;".", ".", VLOOKUP($B27-1,AGtafelVrouw!$A$1:$FQ$122, MATCH(K$3+$B27,AGtafelVrouw!$A$1:$FQ$1,0),FALSE) )</f>
        <v>.</v>
      </c>
      <c r="Q27" s="73">
        <f t="shared" si="5"/>
        <v>97635.5</v>
      </c>
    </row>
    <row r="28" spans="1:17" x14ac:dyDescent="0.25">
      <c r="A28" s="73" t="s">
        <v>102</v>
      </c>
      <c r="B28" s="73">
        <v>21</v>
      </c>
      <c r="C28" s="73">
        <f>IF(C$3+$B28&lt;=2020, HLOOKUP(C$3, CBStafelMan!$B$5:$CW$106, MATCH($A28,CBStafelMan!$A$5:$A$106,0),FALSE), ".")</f>
        <v>97191</v>
      </c>
      <c r="D28" s="73">
        <f t="shared" si="7"/>
        <v>97191</v>
      </c>
      <c r="E28" s="54" t="str">
        <f>IF(C28 &lt;&gt;".", ".", VLOOKUP($B28-1,AGtafelMan!$A$1:$FQ$122, MATCH(C$3+$B28-1,AGtafelMan!$A$1:$FQ$1,0),FALSE) )</f>
        <v>.</v>
      </c>
      <c r="F28" s="73">
        <f>IF(C$3+$B28&lt;=2020, HLOOKUP(C$3, CBStafelVrouw!$B$5:$CW$106, MATCH($A28,CBStafelVrouw!$A$5:$A$106,0),FALSE), ".")</f>
        <v>97980</v>
      </c>
      <c r="G28" s="73">
        <f t="shared" si="1"/>
        <v>97980</v>
      </c>
      <c r="H28" s="54" t="str">
        <f>IF(F28 &lt;&gt;".", ".", VLOOKUP($B28-1,AGtafelVrouw!$A$1:$FQ$122, MATCH(C$3+$B28,AGtafelVrouw!$A$1:$FQ$1,0),FALSE) )</f>
        <v>.</v>
      </c>
      <c r="I28" s="73">
        <f t="shared" si="2"/>
        <v>97585.5</v>
      </c>
      <c r="K28" s="73">
        <f>IF(K$3+$B28&lt;=2020, HLOOKUP(K$3, CBStafelMan!$B$5:$CW$106, MATCH($A28,CBStafelMan!$A$5:$A$106,0),FALSE), ".")</f>
        <v>97191</v>
      </c>
      <c r="L28" s="73">
        <f t="shared" si="3"/>
        <v>97191</v>
      </c>
      <c r="M28" s="54" t="str">
        <f>IF(K28 &lt;&gt;".", ".", VLOOKUP($B28-1,AGtafelMan!$A$1:$FQ$122, MATCH(K$3+$B28,AGtafelMan!$A$1:$FQ$1,0),FALSE) )</f>
        <v>.</v>
      </c>
      <c r="N28" s="73">
        <f>IF(K$3+$B28&lt;=2020, HLOOKUP(K$3, CBStafelVrouw!$B$5:$CW$106, MATCH($A28,CBStafelVrouw!$A$5:$A$106,0),FALSE), ".")</f>
        <v>97980</v>
      </c>
      <c r="O28" s="73">
        <f t="shared" si="4"/>
        <v>97980</v>
      </c>
      <c r="P28" s="54" t="str">
        <f>IF(N28 &lt;&gt;".", ".", VLOOKUP($B28-1,AGtafelVrouw!$A$1:$FQ$122, MATCH(K$3+$B28,AGtafelVrouw!$A$1:$FQ$1,0),FALSE) )</f>
        <v>.</v>
      </c>
      <c r="Q28" s="73">
        <f t="shared" si="5"/>
        <v>97585.5</v>
      </c>
    </row>
    <row r="29" spans="1:17" x14ac:dyDescent="0.25">
      <c r="A29" s="73" t="s">
        <v>101</v>
      </c>
      <c r="B29" s="73">
        <v>22</v>
      </c>
      <c r="C29" s="73">
        <f>IF(C$3+$B29&lt;=2020, HLOOKUP(C$3, CBStafelMan!$B$5:$CW$106, MATCH($A29,CBStafelMan!$A$5:$A$106,0),FALSE), ".")</f>
        <v>97119</v>
      </c>
      <c r="D29" s="73">
        <f t="shared" si="7"/>
        <v>97119</v>
      </c>
      <c r="E29" s="54" t="str">
        <f>IF(C29 &lt;&gt;".", ".", VLOOKUP($B29-1,AGtafelMan!$A$1:$FQ$122, MATCH(C$3+$B29-1,AGtafelMan!$A$1:$FQ$1,0),FALSE) )</f>
        <v>.</v>
      </c>
      <c r="F29" s="73">
        <f>IF(C$3+$B29&lt;=2020, HLOOKUP(C$3, CBStafelVrouw!$B$5:$CW$106, MATCH($A29,CBStafelVrouw!$A$5:$A$106,0),FALSE), ".")</f>
        <v>97948</v>
      </c>
      <c r="G29" s="73">
        <f t="shared" si="1"/>
        <v>97948</v>
      </c>
      <c r="H29" s="54" t="str">
        <f>IF(F29 &lt;&gt;".", ".", VLOOKUP($B29-1,AGtafelVrouw!$A$1:$FQ$122, MATCH(C$3+$B29,AGtafelVrouw!$A$1:$FQ$1,0),FALSE) )</f>
        <v>.</v>
      </c>
      <c r="I29" s="73">
        <f t="shared" si="2"/>
        <v>97533.5</v>
      </c>
      <c r="K29" s="73">
        <f>IF(K$3+$B29&lt;=2020, HLOOKUP(K$3, CBStafelMan!$B$5:$CW$106, MATCH($A29,CBStafelMan!$A$5:$A$106,0),FALSE), ".")</f>
        <v>97119</v>
      </c>
      <c r="L29" s="73">
        <f t="shared" si="3"/>
        <v>97119</v>
      </c>
      <c r="M29" s="54" t="str">
        <f>IF(K29 &lt;&gt;".", ".", VLOOKUP($B29-1,AGtafelMan!$A$1:$FQ$122, MATCH(K$3+$B29,AGtafelMan!$A$1:$FQ$1,0),FALSE) )</f>
        <v>.</v>
      </c>
      <c r="N29" s="73">
        <f>IF(K$3+$B29&lt;=2020, HLOOKUP(K$3, CBStafelVrouw!$B$5:$CW$106, MATCH($A29,CBStafelVrouw!$A$5:$A$106,0),FALSE), ".")</f>
        <v>97948</v>
      </c>
      <c r="O29" s="73">
        <f t="shared" si="4"/>
        <v>97948</v>
      </c>
      <c r="P29" s="54" t="str">
        <f>IF(N29 &lt;&gt;".", ".", VLOOKUP($B29-1,AGtafelVrouw!$A$1:$FQ$122, MATCH(K$3+$B29,AGtafelVrouw!$A$1:$FQ$1,0),FALSE) )</f>
        <v>.</v>
      </c>
      <c r="Q29" s="73">
        <f t="shared" si="5"/>
        <v>97533.5</v>
      </c>
    </row>
    <row r="30" spans="1:17" x14ac:dyDescent="0.25">
      <c r="A30" s="73" t="s">
        <v>100</v>
      </c>
      <c r="B30" s="73">
        <v>23</v>
      </c>
      <c r="C30" s="73">
        <f>IF(C$3+$B30&lt;=2020, HLOOKUP(C$3, CBStafelMan!$B$5:$CW$106, MATCH($A30,CBStafelMan!$A$5:$A$106,0),FALSE), ".")</f>
        <v>97039</v>
      </c>
      <c r="D30" s="73">
        <f t="shared" si="7"/>
        <v>97039</v>
      </c>
      <c r="E30" s="54" t="str">
        <f>IF(C30 &lt;&gt;".", ".", VLOOKUP($B30-1,AGtafelMan!$A$1:$FQ$122, MATCH(C$3+$B30-1,AGtafelMan!$A$1:$FQ$1,0),FALSE) )</f>
        <v>.</v>
      </c>
      <c r="F30" s="73">
        <f>IF(C$3+$B30&lt;=2020, HLOOKUP(C$3, CBStafelVrouw!$B$5:$CW$106, MATCH($A30,CBStafelVrouw!$A$5:$A$106,0),FALSE), ".")</f>
        <v>97917</v>
      </c>
      <c r="G30" s="73">
        <f t="shared" si="1"/>
        <v>97917</v>
      </c>
      <c r="H30" s="54" t="str">
        <f>IF(F30 &lt;&gt;".", ".", VLOOKUP($B30-1,AGtafelVrouw!$A$1:$FQ$122, MATCH(C$3+$B30,AGtafelVrouw!$A$1:$FQ$1,0),FALSE) )</f>
        <v>.</v>
      </c>
      <c r="I30" s="73">
        <f t="shared" si="2"/>
        <v>97478</v>
      </c>
      <c r="K30" s="73">
        <f>IF(K$3+$B30&lt;=2020, HLOOKUP(K$3, CBStafelMan!$B$5:$CW$106, MATCH($A30,CBStafelMan!$A$5:$A$106,0),FALSE), ".")</f>
        <v>97039</v>
      </c>
      <c r="L30" s="73">
        <f t="shared" si="3"/>
        <v>97039</v>
      </c>
      <c r="M30" s="54" t="str">
        <f>IF(K30 &lt;&gt;".", ".", VLOOKUP($B30-1,AGtafelMan!$A$1:$FQ$122, MATCH(K$3+$B30,AGtafelMan!$A$1:$FQ$1,0),FALSE) )</f>
        <v>.</v>
      </c>
      <c r="N30" s="73">
        <f>IF(K$3+$B30&lt;=2020, HLOOKUP(K$3, CBStafelVrouw!$B$5:$CW$106, MATCH($A30,CBStafelVrouw!$A$5:$A$106,0),FALSE), ".")</f>
        <v>97917</v>
      </c>
      <c r="O30" s="73">
        <f t="shared" si="4"/>
        <v>97917</v>
      </c>
      <c r="P30" s="54" t="str">
        <f>IF(N30 &lt;&gt;".", ".", VLOOKUP($B30-1,AGtafelVrouw!$A$1:$FQ$122, MATCH(K$3+$B30,AGtafelVrouw!$A$1:$FQ$1,0),FALSE) )</f>
        <v>.</v>
      </c>
      <c r="Q30" s="73">
        <f t="shared" si="5"/>
        <v>97478</v>
      </c>
    </row>
    <row r="31" spans="1:17" x14ac:dyDescent="0.25">
      <c r="A31" s="73" t="s">
        <v>99</v>
      </c>
      <c r="B31" s="73">
        <v>24</v>
      </c>
      <c r="C31" s="73">
        <f>IF(C$3+$B31&lt;=2020, HLOOKUP(C$3, CBStafelMan!$B$5:$CW$106, MATCH($A31,CBStafelMan!$A$5:$A$106,0),FALSE), ".")</f>
        <v>96958</v>
      </c>
      <c r="D31" s="73">
        <f t="shared" si="7"/>
        <v>96958</v>
      </c>
      <c r="E31" s="54" t="str">
        <f>IF(C31 &lt;&gt;".", ".", VLOOKUP($B31-1,AGtafelMan!$A$1:$FQ$122, MATCH(C$3+$B31-1,AGtafelMan!$A$1:$FQ$1,0),FALSE) )</f>
        <v>.</v>
      </c>
      <c r="F31" s="73">
        <f>IF(C$3+$B31&lt;=2020, HLOOKUP(C$3, CBStafelVrouw!$B$5:$CW$106, MATCH($A31,CBStafelVrouw!$A$5:$A$106,0),FALSE), ".")</f>
        <v>97881</v>
      </c>
      <c r="G31" s="73">
        <f t="shared" si="1"/>
        <v>97881</v>
      </c>
      <c r="H31" s="54" t="str">
        <f>IF(F31 &lt;&gt;".", ".", VLOOKUP($B31-1,AGtafelVrouw!$A$1:$FQ$122, MATCH(C$3+$B31,AGtafelVrouw!$A$1:$FQ$1,0),FALSE) )</f>
        <v>.</v>
      </c>
      <c r="I31" s="73">
        <f t="shared" si="2"/>
        <v>97419.5</v>
      </c>
      <c r="K31" s="73">
        <f>IF(K$3+$B31&lt;=2020, HLOOKUP(K$3, CBStafelMan!$B$5:$CW$106, MATCH($A31,CBStafelMan!$A$5:$A$106,0),FALSE), ".")</f>
        <v>96958</v>
      </c>
      <c r="L31" s="73">
        <f t="shared" si="3"/>
        <v>96958</v>
      </c>
      <c r="M31" s="54" t="str">
        <f>IF(K31 &lt;&gt;".", ".", VLOOKUP($B31-1,AGtafelMan!$A$1:$FQ$122, MATCH(K$3+$B31,AGtafelMan!$A$1:$FQ$1,0),FALSE) )</f>
        <v>.</v>
      </c>
      <c r="N31" s="73">
        <f>IF(K$3+$B31&lt;=2020, HLOOKUP(K$3, CBStafelVrouw!$B$5:$CW$106, MATCH($A31,CBStafelVrouw!$A$5:$A$106,0),FALSE), ".")</f>
        <v>97881</v>
      </c>
      <c r="O31" s="73">
        <f t="shared" si="4"/>
        <v>97881</v>
      </c>
      <c r="P31" s="54" t="str">
        <f>IF(N31 &lt;&gt;".", ".", VLOOKUP($B31-1,AGtafelVrouw!$A$1:$FQ$122, MATCH(K$3+$B31,AGtafelVrouw!$A$1:$FQ$1,0),FALSE) )</f>
        <v>.</v>
      </c>
      <c r="Q31" s="73">
        <f t="shared" si="5"/>
        <v>97419.5</v>
      </c>
    </row>
    <row r="32" spans="1:17" x14ac:dyDescent="0.25">
      <c r="A32" s="73" t="s">
        <v>98</v>
      </c>
      <c r="B32" s="73">
        <v>25</v>
      </c>
      <c r="C32" s="73">
        <f>IF(C$3+$B32&lt;=2020, HLOOKUP(C$3, CBStafelMan!$B$5:$CW$106, MATCH($A32,CBStafelMan!$A$5:$A$106,0),FALSE), ".")</f>
        <v>96876</v>
      </c>
      <c r="D32" s="73">
        <f t="shared" si="7"/>
        <v>96876</v>
      </c>
      <c r="E32" s="54" t="str">
        <f>IF(C32 &lt;&gt;".", ".", VLOOKUP($B32-1,AGtafelMan!$A$1:$FQ$122, MATCH(C$3+$B32-1,AGtafelMan!$A$1:$FQ$1,0),FALSE) )</f>
        <v>.</v>
      </c>
      <c r="F32" s="73">
        <f>IF(C$3+$B32&lt;=2020, HLOOKUP(C$3, CBStafelVrouw!$B$5:$CW$106, MATCH($A32,CBStafelVrouw!$A$5:$A$106,0),FALSE), ".")</f>
        <v>97845</v>
      </c>
      <c r="G32" s="73">
        <f t="shared" si="1"/>
        <v>97845</v>
      </c>
      <c r="H32" s="54" t="str">
        <f>IF(F32 &lt;&gt;".", ".", VLOOKUP($B32-1,AGtafelVrouw!$A$1:$FQ$122, MATCH(C$3+$B32,AGtafelVrouw!$A$1:$FQ$1,0),FALSE) )</f>
        <v>.</v>
      </c>
      <c r="I32" s="73">
        <f t="shared" si="2"/>
        <v>97360.5</v>
      </c>
      <c r="K32" s="73">
        <f>IF(K$3+$B32&lt;=2020, HLOOKUP(K$3, CBStafelMan!$B$5:$CW$106, MATCH($A32,CBStafelMan!$A$5:$A$106,0),FALSE), ".")</f>
        <v>96876</v>
      </c>
      <c r="L32" s="73">
        <f t="shared" si="3"/>
        <v>96876</v>
      </c>
      <c r="M32" s="54" t="str">
        <f>IF(K32 &lt;&gt;".", ".", VLOOKUP($B32-1,AGtafelMan!$A$1:$FQ$122, MATCH(K$3+$B32,AGtafelMan!$A$1:$FQ$1,0),FALSE) )</f>
        <v>.</v>
      </c>
      <c r="N32" s="73">
        <f>IF(K$3+$B32&lt;=2020, HLOOKUP(K$3, CBStafelVrouw!$B$5:$CW$106, MATCH($A32,CBStafelVrouw!$A$5:$A$106,0),FALSE), ".")</f>
        <v>97845</v>
      </c>
      <c r="O32" s="73">
        <f t="shared" si="4"/>
        <v>97845</v>
      </c>
      <c r="P32" s="54" t="str">
        <f>IF(N32 &lt;&gt;".", ".", VLOOKUP($B32-1,AGtafelVrouw!$A$1:$FQ$122, MATCH(K$3+$B32,AGtafelVrouw!$A$1:$FQ$1,0),FALSE) )</f>
        <v>.</v>
      </c>
      <c r="Q32" s="73">
        <f t="shared" si="5"/>
        <v>97360.5</v>
      </c>
    </row>
    <row r="33" spans="1:17" x14ac:dyDescent="0.25">
      <c r="A33" s="73" t="s">
        <v>97</v>
      </c>
      <c r="B33" s="73">
        <v>26</v>
      </c>
      <c r="C33" s="73">
        <f>IF(C$3+$B33&lt;=2020, HLOOKUP(C$3, CBStafelMan!$B$5:$CW$106, MATCH($A33,CBStafelMan!$A$5:$A$106,0),FALSE), ".")</f>
        <v>96807</v>
      </c>
      <c r="D33" s="73">
        <f t="shared" si="7"/>
        <v>96807</v>
      </c>
      <c r="E33" s="54" t="str">
        <f>IF(C33 &lt;&gt;".", ".", VLOOKUP($B33-1,AGtafelMan!$A$1:$FQ$122, MATCH(C$3+$B33-1,AGtafelMan!$A$1:$FQ$1,0),FALSE) )</f>
        <v>.</v>
      </c>
      <c r="F33" s="73">
        <f>IF(C$3+$B33&lt;=2020, HLOOKUP(C$3, CBStafelVrouw!$B$5:$CW$106, MATCH($A33,CBStafelVrouw!$A$5:$A$106,0),FALSE), ".")</f>
        <v>97812</v>
      </c>
      <c r="G33" s="73">
        <f t="shared" si="1"/>
        <v>97812</v>
      </c>
      <c r="H33" s="54" t="str">
        <f>IF(F33 &lt;&gt;".", ".", VLOOKUP($B33-1,AGtafelVrouw!$A$1:$FQ$122, MATCH(C$3+$B33,AGtafelVrouw!$A$1:$FQ$1,0),FALSE) )</f>
        <v>.</v>
      </c>
      <c r="I33" s="73">
        <f t="shared" si="2"/>
        <v>97309.5</v>
      </c>
      <c r="K33" s="73">
        <f>IF(K$3+$B33&lt;=2020, HLOOKUP(K$3, CBStafelMan!$B$5:$CW$106, MATCH($A33,CBStafelMan!$A$5:$A$106,0),FALSE), ".")</f>
        <v>96807</v>
      </c>
      <c r="L33" s="73">
        <f t="shared" si="3"/>
        <v>96807</v>
      </c>
      <c r="M33" s="54" t="str">
        <f>IF(K33 &lt;&gt;".", ".", VLOOKUP($B33-1,AGtafelMan!$A$1:$FQ$122, MATCH(K$3+$B33,AGtafelMan!$A$1:$FQ$1,0),FALSE) )</f>
        <v>.</v>
      </c>
      <c r="N33" s="73">
        <f>IF(K$3+$B33&lt;=2020, HLOOKUP(K$3, CBStafelVrouw!$B$5:$CW$106, MATCH($A33,CBStafelVrouw!$A$5:$A$106,0),FALSE), ".")</f>
        <v>97812</v>
      </c>
      <c r="O33" s="73">
        <f t="shared" si="4"/>
        <v>97812</v>
      </c>
      <c r="P33" s="54" t="str">
        <f>IF(N33 &lt;&gt;".", ".", VLOOKUP($B33-1,AGtafelVrouw!$A$1:$FQ$122, MATCH(K$3+$B33,AGtafelVrouw!$A$1:$FQ$1,0),FALSE) )</f>
        <v>.</v>
      </c>
      <c r="Q33" s="73">
        <f t="shared" si="5"/>
        <v>97309.5</v>
      </c>
    </row>
    <row r="34" spans="1:17" x14ac:dyDescent="0.25">
      <c r="A34" s="73" t="s">
        <v>96</v>
      </c>
      <c r="B34" s="73">
        <v>27</v>
      </c>
      <c r="C34" s="73">
        <f>IF(C$3+$B34&lt;=2020, HLOOKUP(C$3, CBStafelMan!$B$5:$CW$106, MATCH($A34,CBStafelMan!$A$5:$A$106,0),FALSE), ".")</f>
        <v>96734</v>
      </c>
      <c r="D34" s="73">
        <f t="shared" si="7"/>
        <v>96734</v>
      </c>
      <c r="E34" s="54" t="str">
        <f>IF(C34 &lt;&gt;".", ".", VLOOKUP($B34-1,AGtafelMan!$A$1:$FQ$122, MATCH(C$3+$B34-1,AGtafelMan!$A$1:$FQ$1,0),FALSE) )</f>
        <v>.</v>
      </c>
      <c r="F34" s="73">
        <f>IF(C$3+$B34&lt;=2020, HLOOKUP(C$3, CBStafelVrouw!$B$5:$CW$106, MATCH($A34,CBStafelVrouw!$A$5:$A$106,0),FALSE), ".")</f>
        <v>97780</v>
      </c>
      <c r="G34" s="73">
        <f t="shared" si="1"/>
        <v>97780</v>
      </c>
      <c r="H34" s="54" t="str">
        <f>IF(F34 &lt;&gt;".", ".", VLOOKUP($B34-1,AGtafelVrouw!$A$1:$FQ$122, MATCH(C$3+$B34,AGtafelVrouw!$A$1:$FQ$1,0),FALSE) )</f>
        <v>.</v>
      </c>
      <c r="I34" s="73">
        <f t="shared" si="2"/>
        <v>97257</v>
      </c>
      <c r="K34" s="73">
        <f>IF(K$3+$B34&lt;=2020, HLOOKUP(K$3, CBStafelMan!$B$5:$CW$106, MATCH($A34,CBStafelMan!$A$5:$A$106,0),FALSE), ".")</f>
        <v>96734</v>
      </c>
      <c r="L34" s="73">
        <f t="shared" si="3"/>
        <v>96734</v>
      </c>
      <c r="M34" s="54" t="str">
        <f>IF(K34 &lt;&gt;".", ".", VLOOKUP($B34-1,AGtafelMan!$A$1:$FQ$122, MATCH(K$3+$B34,AGtafelMan!$A$1:$FQ$1,0),FALSE) )</f>
        <v>.</v>
      </c>
      <c r="N34" s="73">
        <f>IF(K$3+$B34&lt;=2020, HLOOKUP(K$3, CBStafelVrouw!$B$5:$CW$106, MATCH($A34,CBStafelVrouw!$A$5:$A$106,0),FALSE), ".")</f>
        <v>97780</v>
      </c>
      <c r="O34" s="73">
        <f t="shared" si="4"/>
        <v>97780</v>
      </c>
      <c r="P34" s="54" t="str">
        <f>IF(N34 &lt;&gt;".", ".", VLOOKUP($B34-1,AGtafelVrouw!$A$1:$FQ$122, MATCH(K$3+$B34,AGtafelVrouw!$A$1:$FQ$1,0),FALSE) )</f>
        <v>.</v>
      </c>
      <c r="Q34" s="73">
        <f t="shared" si="5"/>
        <v>97257</v>
      </c>
    </row>
    <row r="35" spans="1:17" x14ac:dyDescent="0.25">
      <c r="A35" s="73" t="s">
        <v>95</v>
      </c>
      <c r="B35" s="73">
        <v>28</v>
      </c>
      <c r="C35" s="73">
        <f>IF(C$3+$B35&lt;=2020, HLOOKUP(C$3, CBStafelMan!$B$5:$CW$106, MATCH($A35,CBStafelMan!$A$5:$A$106,0),FALSE), ".")</f>
        <v>96662</v>
      </c>
      <c r="D35" s="73">
        <f t="shared" si="7"/>
        <v>96662</v>
      </c>
      <c r="E35" s="54" t="str">
        <f>IF(C35 &lt;&gt;".", ".", VLOOKUP($B35-1,AGtafelMan!$A$1:$FQ$122, MATCH(C$3+$B35-1,AGtafelMan!$A$1:$FQ$1,0),FALSE) )</f>
        <v>.</v>
      </c>
      <c r="F35" s="73">
        <f>IF(C$3+$B35&lt;=2020, HLOOKUP(C$3, CBStafelVrouw!$B$5:$CW$106, MATCH($A35,CBStafelVrouw!$A$5:$A$106,0),FALSE), ".")</f>
        <v>97747</v>
      </c>
      <c r="G35" s="73">
        <f t="shared" si="1"/>
        <v>97747</v>
      </c>
      <c r="H35" s="54" t="str">
        <f>IF(F35 &lt;&gt;".", ".", VLOOKUP($B35-1,AGtafelVrouw!$A$1:$FQ$122, MATCH(C$3+$B35,AGtafelVrouw!$A$1:$FQ$1,0),FALSE) )</f>
        <v>.</v>
      </c>
      <c r="I35" s="73">
        <f t="shared" si="2"/>
        <v>97204.5</v>
      </c>
      <c r="K35" s="73">
        <f>IF(K$3+$B35&lt;=2020, HLOOKUP(K$3, CBStafelMan!$B$5:$CW$106, MATCH($A35,CBStafelMan!$A$5:$A$106,0),FALSE), ".")</f>
        <v>96662</v>
      </c>
      <c r="L35" s="73">
        <f t="shared" si="3"/>
        <v>96662</v>
      </c>
      <c r="M35" s="54" t="str">
        <f>IF(K35 &lt;&gt;".", ".", VLOOKUP($B35-1,AGtafelMan!$A$1:$FQ$122, MATCH(K$3+$B35,AGtafelMan!$A$1:$FQ$1,0),FALSE) )</f>
        <v>.</v>
      </c>
      <c r="N35" s="73">
        <f>IF(K$3+$B35&lt;=2020, HLOOKUP(K$3, CBStafelVrouw!$B$5:$CW$106, MATCH($A35,CBStafelVrouw!$A$5:$A$106,0),FALSE), ".")</f>
        <v>97747</v>
      </c>
      <c r="O35" s="73">
        <f t="shared" si="4"/>
        <v>97747</v>
      </c>
      <c r="P35" s="54" t="str">
        <f>IF(N35 &lt;&gt;".", ".", VLOOKUP($B35-1,AGtafelVrouw!$A$1:$FQ$122, MATCH(K$3+$B35,AGtafelVrouw!$A$1:$FQ$1,0),FALSE) )</f>
        <v>.</v>
      </c>
      <c r="Q35" s="73">
        <f t="shared" si="5"/>
        <v>97204.5</v>
      </c>
    </row>
    <row r="36" spans="1:17" x14ac:dyDescent="0.25">
      <c r="A36" s="73" t="s">
        <v>94</v>
      </c>
      <c r="B36" s="73">
        <v>29</v>
      </c>
      <c r="C36" s="73">
        <f>IF(C$3+$B36&lt;=2020, HLOOKUP(C$3, CBStafelMan!$B$5:$CW$106, MATCH($A36,CBStafelMan!$A$5:$A$106,0),FALSE), ".")</f>
        <v>96596</v>
      </c>
      <c r="D36" s="73">
        <f t="shared" si="7"/>
        <v>96596</v>
      </c>
      <c r="E36" s="54" t="str">
        <f>IF(C36 &lt;&gt;".", ".", VLOOKUP($B36-1,AGtafelMan!$A$1:$FQ$122, MATCH(C$3+$B36-1,AGtafelMan!$A$1:$FQ$1,0),FALSE) )</f>
        <v>.</v>
      </c>
      <c r="F36" s="73">
        <f>IF(C$3+$B36&lt;=2020, HLOOKUP(C$3, CBStafelVrouw!$B$5:$CW$106, MATCH($A36,CBStafelVrouw!$A$5:$A$106,0),FALSE), ".")</f>
        <v>97717</v>
      </c>
      <c r="G36" s="73">
        <f t="shared" si="1"/>
        <v>97717</v>
      </c>
      <c r="H36" s="54" t="str">
        <f>IF(F36 &lt;&gt;".", ".", VLOOKUP($B36-1,AGtafelVrouw!$A$1:$FQ$122, MATCH(C$3+$B36,AGtafelVrouw!$A$1:$FQ$1,0),FALSE) )</f>
        <v>.</v>
      </c>
      <c r="I36" s="73">
        <f t="shared" si="2"/>
        <v>97156.5</v>
      </c>
      <c r="K36" s="73">
        <f>IF(K$3+$B36&lt;=2020, HLOOKUP(K$3, CBStafelMan!$B$5:$CW$106, MATCH($A36,CBStafelMan!$A$5:$A$106,0),FALSE), ".")</f>
        <v>96596</v>
      </c>
      <c r="L36" s="73">
        <f t="shared" si="3"/>
        <v>96596</v>
      </c>
      <c r="M36" s="54" t="str">
        <f>IF(K36 &lt;&gt;".", ".", VLOOKUP($B36-1,AGtafelMan!$A$1:$FQ$122, MATCH(K$3+$B36,AGtafelMan!$A$1:$FQ$1,0),FALSE) )</f>
        <v>.</v>
      </c>
      <c r="N36" s="73">
        <f>IF(K$3+$B36&lt;=2020, HLOOKUP(K$3, CBStafelVrouw!$B$5:$CW$106, MATCH($A36,CBStafelVrouw!$A$5:$A$106,0),FALSE), ".")</f>
        <v>97717</v>
      </c>
      <c r="O36" s="73">
        <f t="shared" si="4"/>
        <v>97717</v>
      </c>
      <c r="P36" s="54" t="str">
        <f>IF(N36 &lt;&gt;".", ".", VLOOKUP($B36-1,AGtafelVrouw!$A$1:$FQ$122, MATCH(K$3+$B36,AGtafelVrouw!$A$1:$FQ$1,0),FALSE) )</f>
        <v>.</v>
      </c>
      <c r="Q36" s="73">
        <f t="shared" si="5"/>
        <v>97156.5</v>
      </c>
    </row>
    <row r="37" spans="1:17" x14ac:dyDescent="0.25">
      <c r="A37" s="73" t="s">
        <v>93</v>
      </c>
      <c r="B37" s="73">
        <v>30</v>
      </c>
      <c r="C37" s="73">
        <f>IF(C$3+$B37&lt;=2020, HLOOKUP(C$3, CBStafelMan!$B$5:$CW$106, MATCH($A37,CBStafelMan!$A$5:$A$106,0),FALSE), ".")</f>
        <v>96520</v>
      </c>
      <c r="D37" s="73">
        <f t="shared" si="7"/>
        <v>96520</v>
      </c>
      <c r="E37" s="54" t="str">
        <f>IF(C37 &lt;&gt;".", ".", VLOOKUP($B37-1,AGtafelMan!$A$1:$FQ$122, MATCH(C$3+$B37-1,AGtafelMan!$A$1:$FQ$1,0),FALSE) )</f>
        <v>.</v>
      </c>
      <c r="F37" s="73">
        <f>IF(C$3+$B37&lt;=2020, HLOOKUP(C$3, CBStafelVrouw!$B$5:$CW$106, MATCH($A37,CBStafelVrouw!$A$5:$A$106,0),FALSE), ".")</f>
        <v>97671</v>
      </c>
      <c r="G37" s="73">
        <f t="shared" si="1"/>
        <v>97671</v>
      </c>
      <c r="H37" s="54" t="str">
        <f>IF(F37 &lt;&gt;".", ".", VLOOKUP($B37-1,AGtafelVrouw!$A$1:$FQ$122, MATCH(C$3+$B37,AGtafelVrouw!$A$1:$FQ$1,0),FALSE) )</f>
        <v>.</v>
      </c>
      <c r="I37" s="73">
        <f t="shared" si="2"/>
        <v>97095.5</v>
      </c>
      <c r="K37" s="73">
        <f>IF(K$3+$B37&lt;=2020, HLOOKUP(K$3, CBStafelMan!$B$5:$CW$106, MATCH($A37,CBStafelMan!$A$5:$A$106,0),FALSE), ".")</f>
        <v>96520</v>
      </c>
      <c r="L37" s="73">
        <f t="shared" si="3"/>
        <v>96520</v>
      </c>
      <c r="M37" s="54" t="str">
        <f>IF(K37 &lt;&gt;".", ".", VLOOKUP($B37-1,AGtafelMan!$A$1:$FQ$122, MATCH(K$3+$B37,AGtafelMan!$A$1:$FQ$1,0),FALSE) )</f>
        <v>.</v>
      </c>
      <c r="N37" s="73">
        <f>IF(K$3+$B37&lt;=2020, HLOOKUP(K$3, CBStafelVrouw!$B$5:$CW$106, MATCH($A37,CBStafelVrouw!$A$5:$A$106,0),FALSE), ".")</f>
        <v>97671</v>
      </c>
      <c r="O37" s="73">
        <f t="shared" si="4"/>
        <v>97671</v>
      </c>
      <c r="P37" s="54" t="str">
        <f>IF(N37 &lt;&gt;".", ".", VLOOKUP($B37-1,AGtafelVrouw!$A$1:$FQ$122, MATCH(K$3+$B37,AGtafelVrouw!$A$1:$FQ$1,0),FALSE) )</f>
        <v>.</v>
      </c>
      <c r="Q37" s="73">
        <f t="shared" si="5"/>
        <v>97095.5</v>
      </c>
    </row>
    <row r="38" spans="1:17" x14ac:dyDescent="0.25">
      <c r="A38" s="73" t="s">
        <v>92</v>
      </c>
      <c r="B38" s="73">
        <v>31</v>
      </c>
      <c r="C38" s="73">
        <f>IF(C$3+$B38&lt;=2020, HLOOKUP(C$3, CBStafelMan!$B$5:$CW$106, MATCH($A38,CBStafelMan!$A$5:$A$106,0),FALSE), ".")</f>
        <v>96445</v>
      </c>
      <c r="D38" s="73">
        <f t="shared" si="7"/>
        <v>96445</v>
      </c>
      <c r="E38" s="54" t="str">
        <f>IF(C38 &lt;&gt;".", ".", VLOOKUP($B38-1,AGtafelMan!$A$1:$FQ$122, MATCH(C$3+$B38-1,AGtafelMan!$A$1:$FQ$1,0),FALSE) )</f>
        <v>.</v>
      </c>
      <c r="F38" s="73">
        <f>IF(C$3+$B38&lt;=2020, HLOOKUP(C$3, CBStafelVrouw!$B$5:$CW$106, MATCH($A38,CBStafelVrouw!$A$5:$A$106,0),FALSE), ".")</f>
        <v>97635</v>
      </c>
      <c r="G38" s="73">
        <f t="shared" si="1"/>
        <v>97635</v>
      </c>
      <c r="H38" s="54" t="str">
        <f>IF(F38 &lt;&gt;".", ".", VLOOKUP($B38-1,AGtafelVrouw!$A$1:$FQ$122, MATCH(C$3+$B38,AGtafelVrouw!$A$1:$FQ$1,0),FALSE) )</f>
        <v>.</v>
      </c>
      <c r="I38" s="73">
        <f t="shared" si="2"/>
        <v>97040</v>
      </c>
      <c r="K38" s="73">
        <f>IF(K$3+$B38&lt;=2020, HLOOKUP(K$3, CBStafelMan!$B$5:$CW$106, MATCH($A38,CBStafelMan!$A$5:$A$106,0),FALSE), ".")</f>
        <v>96445</v>
      </c>
      <c r="L38" s="73">
        <f t="shared" si="3"/>
        <v>96445</v>
      </c>
      <c r="M38" s="54" t="str">
        <f>IF(K38 &lt;&gt;".", ".", VLOOKUP($B38-1,AGtafelMan!$A$1:$FQ$122, MATCH(K$3+$B38,AGtafelMan!$A$1:$FQ$1,0),FALSE) )</f>
        <v>.</v>
      </c>
      <c r="N38" s="73">
        <f>IF(K$3+$B38&lt;=2020, HLOOKUP(K$3, CBStafelVrouw!$B$5:$CW$106, MATCH($A38,CBStafelVrouw!$A$5:$A$106,0),FALSE), ".")</f>
        <v>97635</v>
      </c>
      <c r="O38" s="73">
        <f t="shared" si="4"/>
        <v>97635</v>
      </c>
      <c r="P38" s="54" t="str">
        <f>IF(N38 &lt;&gt;".", ".", VLOOKUP($B38-1,AGtafelVrouw!$A$1:$FQ$122, MATCH(K$3+$B38,AGtafelVrouw!$A$1:$FQ$1,0),FALSE) )</f>
        <v>.</v>
      </c>
      <c r="Q38" s="73">
        <f t="shared" si="5"/>
        <v>97040</v>
      </c>
    </row>
    <row r="39" spans="1:17" x14ac:dyDescent="0.25">
      <c r="A39" s="73" t="s">
        <v>91</v>
      </c>
      <c r="B39" s="73">
        <v>32</v>
      </c>
      <c r="C39" s="73">
        <f>IF(C$3+$B39&lt;=2020, HLOOKUP(C$3, CBStafelMan!$B$5:$CW$106, MATCH($A39,CBStafelMan!$A$5:$A$106,0),FALSE), ".")</f>
        <v>96368</v>
      </c>
      <c r="D39" s="73">
        <f t="shared" si="7"/>
        <v>96368</v>
      </c>
      <c r="E39" s="54" t="str">
        <f>IF(C39 &lt;&gt;".", ".", VLOOKUP($B39-1,AGtafelMan!$A$1:$FQ$122, MATCH(C$3+$B39-1,AGtafelMan!$A$1:$FQ$1,0),FALSE) )</f>
        <v>.</v>
      </c>
      <c r="F39" s="73">
        <f>IF(C$3+$B39&lt;=2020, HLOOKUP(C$3, CBStafelVrouw!$B$5:$CW$106, MATCH($A39,CBStafelVrouw!$A$5:$A$106,0),FALSE), ".")</f>
        <v>97597</v>
      </c>
      <c r="G39" s="73">
        <f t="shared" si="1"/>
        <v>97597</v>
      </c>
      <c r="H39" s="54" t="str">
        <f>IF(F39 &lt;&gt;".", ".", VLOOKUP($B39-1,AGtafelVrouw!$A$1:$FQ$122, MATCH(C$3+$B39,AGtafelVrouw!$A$1:$FQ$1,0),FALSE) )</f>
        <v>.</v>
      </c>
      <c r="I39" s="73">
        <f t="shared" si="2"/>
        <v>96982.5</v>
      </c>
      <c r="K39" s="73">
        <f>IF(K$3+$B39&lt;=2020, HLOOKUP(K$3, CBStafelMan!$B$5:$CW$106, MATCH($A39,CBStafelMan!$A$5:$A$106,0),FALSE), ".")</f>
        <v>96368</v>
      </c>
      <c r="L39" s="73">
        <f t="shared" si="3"/>
        <v>96368</v>
      </c>
      <c r="M39" s="54" t="str">
        <f>IF(K39 &lt;&gt;".", ".", VLOOKUP($B39-1,AGtafelMan!$A$1:$FQ$122, MATCH(K$3+$B39,AGtafelMan!$A$1:$FQ$1,0),FALSE) )</f>
        <v>.</v>
      </c>
      <c r="N39" s="73">
        <f>IF(K$3+$B39&lt;=2020, HLOOKUP(K$3, CBStafelVrouw!$B$5:$CW$106, MATCH($A39,CBStafelVrouw!$A$5:$A$106,0),FALSE), ".")</f>
        <v>97597</v>
      </c>
      <c r="O39" s="73">
        <f t="shared" si="4"/>
        <v>97597</v>
      </c>
      <c r="P39" s="54" t="str">
        <f>IF(N39 &lt;&gt;".", ".", VLOOKUP($B39-1,AGtafelVrouw!$A$1:$FQ$122, MATCH(K$3+$B39,AGtafelVrouw!$A$1:$FQ$1,0),FALSE) )</f>
        <v>.</v>
      </c>
      <c r="Q39" s="73">
        <f t="shared" si="5"/>
        <v>96982.5</v>
      </c>
    </row>
    <row r="40" spans="1:17" x14ac:dyDescent="0.25">
      <c r="A40" s="73" t="s">
        <v>90</v>
      </c>
      <c r="B40" s="73">
        <v>33</v>
      </c>
      <c r="C40" s="73">
        <f>IF(C$3+$B40&lt;=2020, HLOOKUP(C$3, CBStafelMan!$B$5:$CW$106, MATCH($A40,CBStafelMan!$A$5:$A$106,0),FALSE), ".")</f>
        <v>96290</v>
      </c>
      <c r="D40" s="73">
        <f t="shared" si="7"/>
        <v>96290</v>
      </c>
      <c r="E40" s="54" t="str">
        <f>IF(C40 &lt;&gt;".", ".", VLOOKUP($B40-1,AGtafelMan!$A$1:$FQ$122, MATCH(C$3+$B40-1,AGtafelMan!$A$1:$FQ$1,0),FALSE) )</f>
        <v>.</v>
      </c>
      <c r="F40" s="73">
        <f>IF(C$3+$B40&lt;=2020, HLOOKUP(C$3, CBStafelVrouw!$B$5:$CW$106, MATCH($A40,CBStafelVrouw!$A$5:$A$106,0),FALSE), ".")</f>
        <v>97549</v>
      </c>
      <c r="G40" s="73">
        <f t="shared" si="1"/>
        <v>97549</v>
      </c>
      <c r="H40" s="54" t="str">
        <f>IF(F40 &lt;&gt;".", ".", VLOOKUP($B40-1,AGtafelVrouw!$A$1:$FQ$122, MATCH(C$3+$B40,AGtafelVrouw!$A$1:$FQ$1,0),FALSE) )</f>
        <v>.</v>
      </c>
      <c r="I40" s="73">
        <f t="shared" si="2"/>
        <v>96919.5</v>
      </c>
      <c r="K40" s="73">
        <f>IF(K$3+$B40&lt;=2020, HLOOKUP(K$3, CBStafelMan!$B$5:$CW$106, MATCH($A40,CBStafelMan!$A$5:$A$106,0),FALSE), ".")</f>
        <v>96290</v>
      </c>
      <c r="L40" s="73">
        <f t="shared" si="3"/>
        <v>96290</v>
      </c>
      <c r="M40" s="54" t="str">
        <f>IF(K40 &lt;&gt;".", ".", VLOOKUP($B40-1,AGtafelMan!$A$1:$FQ$122, MATCH(K$3+$B40,AGtafelMan!$A$1:$FQ$1,0),FALSE) )</f>
        <v>.</v>
      </c>
      <c r="N40" s="73">
        <f>IF(K$3+$B40&lt;=2020, HLOOKUP(K$3, CBStafelVrouw!$B$5:$CW$106, MATCH($A40,CBStafelVrouw!$A$5:$A$106,0),FALSE), ".")</f>
        <v>97549</v>
      </c>
      <c r="O40" s="73">
        <f t="shared" si="4"/>
        <v>97549</v>
      </c>
      <c r="P40" s="54" t="str">
        <f>IF(N40 &lt;&gt;".", ".", VLOOKUP($B40-1,AGtafelVrouw!$A$1:$FQ$122, MATCH(K$3+$B40,AGtafelVrouw!$A$1:$FQ$1,0),FALSE) )</f>
        <v>.</v>
      </c>
      <c r="Q40" s="73">
        <f t="shared" si="5"/>
        <v>96919.5</v>
      </c>
    </row>
    <row r="41" spans="1:17" x14ac:dyDescent="0.25">
      <c r="A41" s="73" t="s">
        <v>89</v>
      </c>
      <c r="B41" s="73">
        <v>34</v>
      </c>
      <c r="C41" s="73">
        <f>IF(C$3+$B41&lt;=2020, HLOOKUP(C$3, CBStafelMan!$B$5:$CW$106, MATCH($A41,CBStafelMan!$A$5:$A$106,0),FALSE), ".")</f>
        <v>96211</v>
      </c>
      <c r="D41" s="73">
        <f t="shared" si="7"/>
        <v>96211</v>
      </c>
      <c r="E41" s="54" t="str">
        <f>IF(C41 &lt;&gt;".", ".", VLOOKUP($B41-1,AGtafelMan!$A$1:$FQ$122, MATCH(C$3+$B41-1,AGtafelMan!$A$1:$FQ$1,0),FALSE) )</f>
        <v>.</v>
      </c>
      <c r="F41" s="73">
        <f>IF(C$3+$B41&lt;=2020, HLOOKUP(C$3, CBStafelVrouw!$B$5:$CW$106, MATCH($A41,CBStafelVrouw!$A$5:$A$106,0),FALSE), ".")</f>
        <v>97501</v>
      </c>
      <c r="G41" s="73">
        <f t="shared" si="1"/>
        <v>97501</v>
      </c>
      <c r="H41" s="54" t="str">
        <f>IF(F41 &lt;&gt;".", ".", VLOOKUP($B41-1,AGtafelVrouw!$A$1:$FQ$122, MATCH(C$3+$B41,AGtafelVrouw!$A$1:$FQ$1,0),FALSE) )</f>
        <v>.</v>
      </c>
      <c r="I41" s="73">
        <f t="shared" si="2"/>
        <v>96856</v>
      </c>
      <c r="K41" s="73">
        <f>IF(K$3+$B41&lt;=2020, HLOOKUP(K$3, CBStafelMan!$B$5:$CW$106, MATCH($A41,CBStafelMan!$A$5:$A$106,0),FALSE), ".")</f>
        <v>96211</v>
      </c>
      <c r="L41" s="73">
        <f t="shared" si="3"/>
        <v>96211</v>
      </c>
      <c r="M41" s="54" t="str">
        <f>IF(K41 &lt;&gt;".", ".", VLOOKUP($B41-1,AGtafelMan!$A$1:$FQ$122, MATCH(K$3+$B41,AGtafelMan!$A$1:$FQ$1,0),FALSE) )</f>
        <v>.</v>
      </c>
      <c r="N41" s="73">
        <f>IF(K$3+$B41&lt;=2020, HLOOKUP(K$3, CBStafelVrouw!$B$5:$CW$106, MATCH($A41,CBStafelVrouw!$A$5:$A$106,0),FALSE), ".")</f>
        <v>97501</v>
      </c>
      <c r="O41" s="73">
        <f t="shared" si="4"/>
        <v>97501</v>
      </c>
      <c r="P41" s="54" t="str">
        <f>IF(N41 &lt;&gt;".", ".", VLOOKUP($B41-1,AGtafelVrouw!$A$1:$FQ$122, MATCH(K$3+$B41,AGtafelVrouw!$A$1:$FQ$1,0),FALSE) )</f>
        <v>.</v>
      </c>
      <c r="Q41" s="73">
        <f t="shared" si="5"/>
        <v>96856</v>
      </c>
    </row>
    <row r="42" spans="1:17" x14ac:dyDescent="0.25">
      <c r="A42" s="73" t="s">
        <v>88</v>
      </c>
      <c r="B42" s="73">
        <v>35</v>
      </c>
      <c r="C42" s="73">
        <f>IF(C$3+$B42&lt;=2020, HLOOKUP(C$3, CBStafelMan!$B$5:$CW$106, MATCH($A42,CBStafelMan!$A$5:$A$106,0),FALSE), ".")</f>
        <v>96138</v>
      </c>
      <c r="D42" s="73">
        <f t="shared" si="7"/>
        <v>96138</v>
      </c>
      <c r="E42" s="54" t="str">
        <f>IF(C42 &lt;&gt;".", ".", VLOOKUP($B42-1,AGtafelMan!$A$1:$FQ$122, MATCH(C$3+$B42-1,AGtafelMan!$A$1:$FQ$1,0),FALSE) )</f>
        <v>.</v>
      </c>
      <c r="F42" s="73">
        <f>IF(C$3+$B42&lt;=2020, HLOOKUP(C$3, CBStafelVrouw!$B$5:$CW$106, MATCH($A42,CBStafelVrouw!$A$5:$A$106,0),FALSE), ".")</f>
        <v>97441</v>
      </c>
      <c r="G42" s="73">
        <f t="shared" si="1"/>
        <v>97441</v>
      </c>
      <c r="H42" s="54" t="str">
        <f>IF(F42 &lt;&gt;".", ".", VLOOKUP($B42-1,AGtafelVrouw!$A$1:$FQ$122, MATCH(C$3+$B42,AGtafelVrouw!$A$1:$FQ$1,0),FALSE) )</f>
        <v>.</v>
      </c>
      <c r="I42" s="73">
        <f t="shared" si="2"/>
        <v>96789.5</v>
      </c>
      <c r="K42" s="73">
        <f>IF(K$3+$B42&lt;=2020, HLOOKUP(K$3, CBStafelMan!$B$5:$CW$106, MATCH($A42,CBStafelMan!$A$5:$A$106,0),FALSE), ".")</f>
        <v>96138</v>
      </c>
      <c r="L42" s="73">
        <f t="shared" si="3"/>
        <v>96138</v>
      </c>
      <c r="M42" s="54" t="str">
        <f>IF(K42 &lt;&gt;".", ".", VLOOKUP($B42-1,AGtafelMan!$A$1:$FQ$122, MATCH(K$3+$B42,AGtafelMan!$A$1:$FQ$1,0),FALSE) )</f>
        <v>.</v>
      </c>
      <c r="N42" s="73">
        <f>IF(K$3+$B42&lt;=2020, HLOOKUP(K$3, CBStafelVrouw!$B$5:$CW$106, MATCH($A42,CBStafelVrouw!$A$5:$A$106,0),FALSE), ".")</f>
        <v>97441</v>
      </c>
      <c r="O42" s="73">
        <f t="shared" si="4"/>
        <v>97441</v>
      </c>
      <c r="P42" s="54" t="str">
        <f>IF(N42 &lt;&gt;".", ".", VLOOKUP($B42-1,AGtafelVrouw!$A$1:$FQ$122, MATCH(K$3+$B42,AGtafelVrouw!$A$1:$FQ$1,0),FALSE) )</f>
        <v>.</v>
      </c>
      <c r="Q42" s="73">
        <f t="shared" si="5"/>
        <v>96789.5</v>
      </c>
    </row>
    <row r="43" spans="1:17" x14ac:dyDescent="0.25">
      <c r="A43" s="73" t="s">
        <v>87</v>
      </c>
      <c r="B43" s="73">
        <v>36</v>
      </c>
      <c r="C43" s="73">
        <f>IF(C$3+$B43&lt;=2020, HLOOKUP(C$3, CBStafelMan!$B$5:$CW$106, MATCH($A43,CBStafelMan!$A$5:$A$106,0),FALSE), ".")</f>
        <v>96063</v>
      </c>
      <c r="D43" s="73">
        <f t="shared" si="7"/>
        <v>96063</v>
      </c>
      <c r="E43" s="54" t="str">
        <f>IF(C43 &lt;&gt;".", ".", VLOOKUP($B43-1,AGtafelMan!$A$1:$FQ$122, MATCH(C$3+$B43-1,AGtafelMan!$A$1:$FQ$1,0),FALSE) )</f>
        <v>.</v>
      </c>
      <c r="F43" s="73">
        <f>IF(C$3+$B43&lt;=2020, HLOOKUP(C$3, CBStafelVrouw!$B$5:$CW$106, MATCH($A43,CBStafelVrouw!$A$5:$A$106,0),FALSE), ".")</f>
        <v>97391</v>
      </c>
      <c r="G43" s="73">
        <f t="shared" si="1"/>
        <v>97391</v>
      </c>
      <c r="H43" s="54" t="str">
        <f>IF(F43 &lt;&gt;".", ".", VLOOKUP($B43-1,AGtafelVrouw!$A$1:$FQ$122, MATCH(C$3+$B43,AGtafelVrouw!$A$1:$FQ$1,0),FALSE) )</f>
        <v>.</v>
      </c>
      <c r="I43" s="73">
        <f t="shared" si="2"/>
        <v>96727</v>
      </c>
      <c r="K43" s="73">
        <f>IF(K$3+$B43&lt;=2020, HLOOKUP(K$3, CBStafelMan!$B$5:$CW$106, MATCH($A43,CBStafelMan!$A$5:$A$106,0),FALSE), ".")</f>
        <v>96063</v>
      </c>
      <c r="L43" s="73">
        <f t="shared" si="3"/>
        <v>96063</v>
      </c>
      <c r="M43" s="54" t="str">
        <f>IF(K43 &lt;&gt;".", ".", VLOOKUP($B43-1,AGtafelMan!$A$1:$FQ$122, MATCH(K$3+$B43,AGtafelMan!$A$1:$FQ$1,0),FALSE) )</f>
        <v>.</v>
      </c>
      <c r="N43" s="73">
        <f>IF(K$3+$B43&lt;=2020, HLOOKUP(K$3, CBStafelVrouw!$B$5:$CW$106, MATCH($A43,CBStafelVrouw!$A$5:$A$106,0),FALSE), ".")</f>
        <v>97391</v>
      </c>
      <c r="O43" s="73">
        <f t="shared" si="4"/>
        <v>97391</v>
      </c>
      <c r="P43" s="54" t="str">
        <f>IF(N43 &lt;&gt;".", ".", VLOOKUP($B43-1,AGtafelVrouw!$A$1:$FQ$122, MATCH(K$3+$B43,AGtafelVrouw!$A$1:$FQ$1,0),FALSE) )</f>
        <v>.</v>
      </c>
      <c r="Q43" s="73">
        <f t="shared" si="5"/>
        <v>96727</v>
      </c>
    </row>
    <row r="44" spans="1:17" x14ac:dyDescent="0.25">
      <c r="A44" s="73" t="s">
        <v>86</v>
      </c>
      <c r="B44" s="73">
        <v>37</v>
      </c>
      <c r="C44" s="73">
        <f>IF(C$3+$B44&lt;=2020, HLOOKUP(C$3, CBStafelMan!$B$5:$CW$106, MATCH($A44,CBStafelMan!$A$5:$A$106,0),FALSE), ".")</f>
        <v>95979</v>
      </c>
      <c r="D44" s="73">
        <f t="shared" si="7"/>
        <v>95979</v>
      </c>
      <c r="E44" s="54" t="str">
        <f>IF(C44 &lt;&gt;".", ".", VLOOKUP($B44-1,AGtafelMan!$A$1:$FQ$122, MATCH(C$3+$B44-1,AGtafelMan!$A$1:$FQ$1,0),FALSE) )</f>
        <v>.</v>
      </c>
      <c r="F44" s="73">
        <f>IF(C$3+$B44&lt;=2020, HLOOKUP(C$3, CBStafelVrouw!$B$5:$CW$106, MATCH($A44,CBStafelVrouw!$A$5:$A$106,0),FALSE), ".")</f>
        <v>97325</v>
      </c>
      <c r="G44" s="73">
        <f t="shared" si="1"/>
        <v>97325</v>
      </c>
      <c r="H44" s="54" t="str">
        <f>IF(F44 &lt;&gt;".", ".", VLOOKUP($B44-1,AGtafelVrouw!$A$1:$FQ$122, MATCH(C$3+$B44,AGtafelVrouw!$A$1:$FQ$1,0),FALSE) )</f>
        <v>.</v>
      </c>
      <c r="I44" s="73">
        <f t="shared" si="2"/>
        <v>96652</v>
      </c>
      <c r="K44" s="73">
        <f>IF(K$3+$B44&lt;=2020, HLOOKUP(K$3, CBStafelMan!$B$5:$CW$106, MATCH($A44,CBStafelMan!$A$5:$A$106,0),FALSE), ".")</f>
        <v>95979</v>
      </c>
      <c r="L44" s="73">
        <f t="shared" si="3"/>
        <v>95979</v>
      </c>
      <c r="M44" s="54" t="str">
        <f>IF(K44 &lt;&gt;".", ".", VLOOKUP($B44-1,AGtafelMan!$A$1:$FQ$122, MATCH(K$3+$B44,AGtafelMan!$A$1:$FQ$1,0),FALSE) )</f>
        <v>.</v>
      </c>
      <c r="N44" s="73">
        <f>IF(K$3+$B44&lt;=2020, HLOOKUP(K$3, CBStafelVrouw!$B$5:$CW$106, MATCH($A44,CBStafelVrouw!$A$5:$A$106,0),FALSE), ".")</f>
        <v>97325</v>
      </c>
      <c r="O44" s="73">
        <f t="shared" si="4"/>
        <v>97325</v>
      </c>
      <c r="P44" s="54" t="str">
        <f>IF(N44 &lt;&gt;".", ".", VLOOKUP($B44-1,AGtafelVrouw!$A$1:$FQ$122, MATCH(K$3+$B44,AGtafelVrouw!$A$1:$FQ$1,0),FALSE) )</f>
        <v>.</v>
      </c>
      <c r="Q44" s="73">
        <f t="shared" si="5"/>
        <v>96652</v>
      </c>
    </row>
    <row r="45" spans="1:17" x14ac:dyDescent="0.25">
      <c r="A45" s="73" t="s">
        <v>85</v>
      </c>
      <c r="B45" s="73">
        <v>38</v>
      </c>
      <c r="C45" s="73">
        <f>IF(C$3+$B45&lt;=2020, HLOOKUP(C$3, CBStafelMan!$B$5:$CW$106, MATCH($A45,CBStafelMan!$A$5:$A$106,0),FALSE), ".")</f>
        <v>95879</v>
      </c>
      <c r="D45" s="73">
        <f t="shared" si="7"/>
        <v>95879</v>
      </c>
      <c r="E45" s="54" t="str">
        <f>IF(C45 &lt;&gt;".", ".", VLOOKUP($B45-1,AGtafelMan!$A$1:$FQ$122, MATCH(C$3+$B45-1,AGtafelMan!$A$1:$FQ$1,0),FALSE) )</f>
        <v>.</v>
      </c>
      <c r="F45" s="73">
        <f>IF(C$3+$B45&lt;=2020, HLOOKUP(C$3, CBStafelVrouw!$B$5:$CW$106, MATCH($A45,CBStafelVrouw!$A$5:$A$106,0),FALSE), ".")</f>
        <v>97262</v>
      </c>
      <c r="G45" s="73">
        <f t="shared" si="1"/>
        <v>97262</v>
      </c>
      <c r="H45" s="54" t="str">
        <f>IF(F45 &lt;&gt;".", ".", VLOOKUP($B45-1,AGtafelVrouw!$A$1:$FQ$122, MATCH(C$3+$B45,AGtafelVrouw!$A$1:$FQ$1,0),FALSE) )</f>
        <v>.</v>
      </c>
      <c r="I45" s="73">
        <f t="shared" si="2"/>
        <v>96570.5</v>
      </c>
      <c r="K45" s="73">
        <f>IF(K$3+$B45&lt;=2020, HLOOKUP(K$3, CBStafelMan!$B$5:$CW$106, MATCH($A45,CBStafelMan!$A$5:$A$106,0),FALSE), ".")</f>
        <v>95879</v>
      </c>
      <c r="L45" s="73">
        <f t="shared" si="3"/>
        <v>95879</v>
      </c>
      <c r="M45" s="54" t="str">
        <f>IF(K45 &lt;&gt;".", ".", VLOOKUP($B45-1,AGtafelMan!$A$1:$FQ$122, MATCH(K$3+$B45,AGtafelMan!$A$1:$FQ$1,0),FALSE) )</f>
        <v>.</v>
      </c>
      <c r="N45" s="73">
        <f>IF(K$3+$B45&lt;=2020, HLOOKUP(K$3, CBStafelVrouw!$B$5:$CW$106, MATCH($A45,CBStafelVrouw!$A$5:$A$106,0),FALSE), ".")</f>
        <v>97262</v>
      </c>
      <c r="O45" s="73">
        <f t="shared" si="4"/>
        <v>97262</v>
      </c>
      <c r="P45" s="54" t="str">
        <f>IF(N45 &lt;&gt;".", ".", VLOOKUP($B45-1,AGtafelVrouw!$A$1:$FQ$122, MATCH(K$3+$B45,AGtafelVrouw!$A$1:$FQ$1,0),FALSE) )</f>
        <v>.</v>
      </c>
      <c r="Q45" s="73">
        <f t="shared" si="5"/>
        <v>96570.5</v>
      </c>
    </row>
    <row r="46" spans="1:17" x14ac:dyDescent="0.25">
      <c r="A46" s="73" t="s">
        <v>84</v>
      </c>
      <c r="B46" s="73">
        <v>39</v>
      </c>
      <c r="C46" s="73">
        <f>IF(C$3+$B46&lt;=2020, HLOOKUP(C$3, CBStafelMan!$B$5:$CW$106, MATCH($A46,CBStafelMan!$A$5:$A$106,0),FALSE), ".")</f>
        <v>95796</v>
      </c>
      <c r="D46" s="73">
        <f t="shared" si="7"/>
        <v>95796</v>
      </c>
      <c r="E46" s="54" t="str">
        <f>IF(C46 &lt;&gt;".", ".", VLOOKUP($B46-1,AGtafelMan!$A$1:$FQ$122, MATCH(C$3+$B46-1,AGtafelMan!$A$1:$FQ$1,0),FALSE) )</f>
        <v>.</v>
      </c>
      <c r="F46" s="73">
        <f>IF(C$3+$B46&lt;=2020, HLOOKUP(C$3, CBStafelVrouw!$B$5:$CW$106, MATCH($A46,CBStafelVrouw!$A$5:$A$106,0),FALSE), ".")</f>
        <v>97189</v>
      </c>
      <c r="G46" s="73">
        <f t="shared" si="1"/>
        <v>97189</v>
      </c>
      <c r="H46" s="54" t="str">
        <f>IF(F46 &lt;&gt;".", ".", VLOOKUP($B46-1,AGtafelVrouw!$A$1:$FQ$122, MATCH(C$3+$B46,AGtafelVrouw!$A$1:$FQ$1,0),FALSE) )</f>
        <v>.</v>
      </c>
      <c r="I46" s="73">
        <f t="shared" si="2"/>
        <v>96492.5</v>
      </c>
      <c r="K46" s="73">
        <f>IF(K$3+$B46&lt;=2020, HLOOKUP(K$3, CBStafelMan!$B$5:$CW$106, MATCH($A46,CBStafelMan!$A$5:$A$106,0),FALSE), ".")</f>
        <v>95796</v>
      </c>
      <c r="L46" s="73">
        <f t="shared" si="3"/>
        <v>95796</v>
      </c>
      <c r="M46" s="54" t="str">
        <f>IF(K46 &lt;&gt;".", ".", VLOOKUP($B46-1,AGtafelMan!$A$1:$FQ$122, MATCH(K$3+$B46,AGtafelMan!$A$1:$FQ$1,0),FALSE) )</f>
        <v>.</v>
      </c>
      <c r="N46" s="73">
        <f>IF(K$3+$B46&lt;=2020, HLOOKUP(K$3, CBStafelVrouw!$B$5:$CW$106, MATCH($A46,CBStafelVrouw!$A$5:$A$106,0),FALSE), ".")</f>
        <v>97189</v>
      </c>
      <c r="O46" s="73">
        <f t="shared" si="4"/>
        <v>97189</v>
      </c>
      <c r="P46" s="54" t="str">
        <f>IF(N46 &lt;&gt;".", ".", VLOOKUP($B46-1,AGtafelVrouw!$A$1:$FQ$122, MATCH(K$3+$B46,AGtafelVrouw!$A$1:$FQ$1,0),FALSE) )</f>
        <v>.</v>
      </c>
      <c r="Q46" s="73">
        <f t="shared" si="5"/>
        <v>96492.5</v>
      </c>
    </row>
    <row r="47" spans="1:17" x14ac:dyDescent="0.25">
      <c r="A47" s="73" t="s">
        <v>83</v>
      </c>
      <c r="B47" s="73">
        <v>40</v>
      </c>
      <c r="C47" s="73">
        <f>IF(C$3+$B47&lt;=2020, HLOOKUP(C$3, CBStafelMan!$B$5:$CW$106, MATCH($A47,CBStafelMan!$A$5:$A$106,0),FALSE), ".")</f>
        <v>95697</v>
      </c>
      <c r="D47" s="73">
        <f t="shared" si="7"/>
        <v>95697</v>
      </c>
      <c r="E47" s="54" t="str">
        <f>IF(C47 &lt;&gt;".", ".", VLOOKUP($B47-1,AGtafelMan!$A$1:$FQ$122, MATCH(C$3+$B47-1,AGtafelMan!$A$1:$FQ$1,0),FALSE) )</f>
        <v>.</v>
      </c>
      <c r="F47" s="73">
        <f>IF(C$3+$B47&lt;=2020, HLOOKUP(C$3, CBStafelVrouw!$B$5:$CW$106, MATCH($A47,CBStafelVrouw!$A$5:$A$106,0),FALSE), ".")</f>
        <v>97113</v>
      </c>
      <c r="G47" s="73">
        <f t="shared" ref="G47:G50" si="8">IF(F47 &lt;&gt;".", F47, G46*(1-H47))</f>
        <v>97113</v>
      </c>
      <c r="H47" s="54" t="str">
        <f>IF(F47 &lt;&gt;".", ".", VLOOKUP($B47-1,AGtafelVrouw!$A$1:$FQ$122, MATCH(C$3+$B47,AGtafelVrouw!$A$1:$FQ$1,0),FALSE) )</f>
        <v>.</v>
      </c>
      <c r="I47" s="73">
        <f t="shared" si="2"/>
        <v>96405</v>
      </c>
      <c r="K47" s="73">
        <f>IF(K$3+$B47&lt;=2020, HLOOKUP(K$3, CBStafelMan!$B$5:$CW$106, MATCH($A47,CBStafelMan!$A$5:$A$106,0),FALSE), ".")</f>
        <v>95697</v>
      </c>
      <c r="L47" s="73">
        <f t="shared" si="3"/>
        <v>95697</v>
      </c>
      <c r="M47" s="54" t="str">
        <f>IF(K47 &lt;&gt;".", ".", VLOOKUP($B47-1,AGtafelMan!$A$1:$FQ$122, MATCH(K$3+$B47,AGtafelMan!$A$1:$FQ$1,0),FALSE) )</f>
        <v>.</v>
      </c>
      <c r="N47" s="73">
        <f>IF(K$3+$B47&lt;=2020, HLOOKUP(K$3, CBStafelVrouw!$B$5:$CW$106, MATCH($A47,CBStafelVrouw!$A$5:$A$106,0),FALSE), ".")</f>
        <v>97113</v>
      </c>
      <c r="O47" s="73">
        <f t="shared" si="4"/>
        <v>97113</v>
      </c>
      <c r="P47" s="54" t="str">
        <f>IF(N47 &lt;&gt;".", ".", VLOOKUP($B47-1,AGtafelVrouw!$A$1:$FQ$122, MATCH(K$3+$B47,AGtafelVrouw!$A$1:$FQ$1,0),FALSE) )</f>
        <v>.</v>
      </c>
      <c r="Q47" s="73">
        <f t="shared" si="5"/>
        <v>96405</v>
      </c>
    </row>
    <row r="48" spans="1:17" x14ac:dyDescent="0.25">
      <c r="A48" s="73" t="s">
        <v>82</v>
      </c>
      <c r="B48" s="73">
        <v>41</v>
      </c>
      <c r="C48" s="73">
        <f>IF(C$3+$B48&lt;=2020, HLOOKUP(C$3, CBStafelMan!$B$5:$CW$106, MATCH($A48,CBStafelMan!$A$5:$A$106,0),FALSE), ".")</f>
        <v>95591</v>
      </c>
      <c r="D48" s="73">
        <f t="shared" si="7"/>
        <v>95591</v>
      </c>
      <c r="E48" s="54" t="str">
        <f>IF(C48 &lt;&gt;".", ".", VLOOKUP($B48-1,AGtafelMan!$A$1:$FQ$122, MATCH(C$3+$B48-1,AGtafelMan!$A$1:$FQ$1,0),FALSE) )</f>
        <v>.</v>
      </c>
      <c r="F48" s="73">
        <f>IF(C$3+$B48&lt;=2020, HLOOKUP(C$3, CBStafelVrouw!$B$5:$CW$106, MATCH($A48,CBStafelVrouw!$A$5:$A$106,0),FALSE), ".")</f>
        <v>97024</v>
      </c>
      <c r="G48" s="73">
        <f t="shared" si="8"/>
        <v>97024</v>
      </c>
      <c r="H48" s="54" t="str">
        <f>IF(F48 &lt;&gt;".", ".", VLOOKUP($B48-1,AGtafelVrouw!$A$1:$FQ$122, MATCH(C$3+$B48,AGtafelVrouw!$A$1:$FQ$1,0),FALSE) )</f>
        <v>.</v>
      </c>
      <c r="I48" s="73">
        <f t="shared" si="2"/>
        <v>96307.5</v>
      </c>
      <c r="K48" s="73">
        <f>IF(K$3+$B48&lt;=2020, HLOOKUP(K$3, CBStafelMan!$B$5:$CW$106, MATCH($A48,CBStafelMan!$A$5:$A$106,0),FALSE), ".")</f>
        <v>95591</v>
      </c>
      <c r="L48" s="73">
        <f t="shared" si="3"/>
        <v>95591</v>
      </c>
      <c r="M48" s="54" t="str">
        <f>IF(K48 &lt;&gt;".", ".", VLOOKUP($B48-1,AGtafelMan!$A$1:$FQ$122, MATCH(K$3+$B48,AGtafelMan!$A$1:$FQ$1,0),FALSE) )</f>
        <v>.</v>
      </c>
      <c r="N48" s="73">
        <f>IF(K$3+$B48&lt;=2020, HLOOKUP(K$3, CBStafelVrouw!$B$5:$CW$106, MATCH($A48,CBStafelVrouw!$A$5:$A$106,0),FALSE), ".")</f>
        <v>97024</v>
      </c>
      <c r="O48" s="73">
        <f t="shared" si="4"/>
        <v>97024</v>
      </c>
      <c r="P48" s="54" t="str">
        <f>IF(N48 &lt;&gt;".", ".", VLOOKUP($B48-1,AGtafelVrouw!$A$1:$FQ$122, MATCH(K$3+$B48,AGtafelVrouw!$A$1:$FQ$1,0),FALSE) )</f>
        <v>.</v>
      </c>
      <c r="Q48" s="73">
        <f t="shared" si="5"/>
        <v>96307.5</v>
      </c>
    </row>
    <row r="49" spans="1:17" x14ac:dyDescent="0.25">
      <c r="A49" s="73" t="s">
        <v>81</v>
      </c>
      <c r="B49" s="73">
        <v>42</v>
      </c>
      <c r="C49" s="73">
        <f>IF(C$3+$B49&lt;=2020, HLOOKUP(C$3, CBStafelMan!$B$5:$CW$106, MATCH($A49,CBStafelMan!$A$5:$A$106,0),FALSE), ".")</f>
        <v>95480</v>
      </c>
      <c r="D49" s="73">
        <f t="shared" si="7"/>
        <v>95480</v>
      </c>
      <c r="E49" s="54" t="str">
        <f>IF(C49 &lt;&gt;".", ".", VLOOKUP($B49-1,AGtafelMan!$A$1:$FQ$122, MATCH(C$3+$B49-1,AGtafelMan!$A$1:$FQ$1,0),FALSE) )</f>
        <v>.</v>
      </c>
      <c r="F49" s="73">
        <f>IF(C$3+$B49&lt;=2020, HLOOKUP(C$3, CBStafelVrouw!$B$5:$CW$106, MATCH($A49,CBStafelVrouw!$A$5:$A$106,0),FALSE), ".")</f>
        <v>96919</v>
      </c>
      <c r="G49" s="73">
        <f t="shared" si="8"/>
        <v>96919</v>
      </c>
      <c r="H49" s="54" t="str">
        <f>IF(F49 &lt;&gt;".", ".", VLOOKUP($B49-1,AGtafelVrouw!$A$1:$FQ$122, MATCH(C$3+$B49,AGtafelVrouw!$A$1:$FQ$1,0),FALSE) )</f>
        <v>.</v>
      </c>
      <c r="I49" s="73">
        <f t="shared" si="2"/>
        <v>96199.5</v>
      </c>
      <c r="K49" s="73">
        <f>IF(K$3+$B49&lt;=2020, HLOOKUP(K$3, CBStafelMan!$B$5:$CW$106, MATCH($A49,CBStafelMan!$A$5:$A$106,0),FALSE), ".")</f>
        <v>95480</v>
      </c>
      <c r="L49" s="73">
        <f t="shared" si="3"/>
        <v>95480</v>
      </c>
      <c r="M49" s="54" t="str">
        <f>IF(K49 &lt;&gt;".", ".", VLOOKUP($B49-1,AGtafelMan!$A$1:$FQ$122, MATCH(K$3+$B49,AGtafelMan!$A$1:$FQ$1,0),FALSE) )</f>
        <v>.</v>
      </c>
      <c r="N49" s="73">
        <f>IF(K$3+$B49&lt;=2020, HLOOKUP(K$3, CBStafelVrouw!$B$5:$CW$106, MATCH($A49,CBStafelVrouw!$A$5:$A$106,0),FALSE), ".")</f>
        <v>96919</v>
      </c>
      <c r="O49" s="73">
        <f t="shared" si="4"/>
        <v>96919</v>
      </c>
      <c r="P49" s="54" t="str">
        <f>IF(N49 &lt;&gt;".", ".", VLOOKUP($B49-1,AGtafelVrouw!$A$1:$FQ$122, MATCH(K$3+$B49,AGtafelVrouw!$A$1:$FQ$1,0),FALSE) )</f>
        <v>.</v>
      </c>
      <c r="Q49" s="73">
        <f t="shared" si="5"/>
        <v>96199.5</v>
      </c>
    </row>
    <row r="50" spans="1:17" x14ac:dyDescent="0.25">
      <c r="A50" s="73" t="s">
        <v>80</v>
      </c>
      <c r="B50" s="73">
        <v>43</v>
      </c>
      <c r="C50" s="73">
        <f>IF(C$3+$B50&lt;=2020, HLOOKUP(C$3, CBStafelMan!$B$5:$CW$106, MATCH($A50,CBStafelMan!$A$5:$A$106,0),FALSE), ".")</f>
        <v>95381</v>
      </c>
      <c r="D50" s="73">
        <f t="shared" si="7"/>
        <v>95381</v>
      </c>
      <c r="E50" s="54" t="str">
        <f>IF(C50 &lt;&gt;".", ".", VLOOKUP($B50-1,AGtafelMan!$A$1:$FQ$122, MATCH(C$3+$B50-1,AGtafelMan!$A$1:$FQ$1,0),FALSE) )</f>
        <v>.</v>
      </c>
      <c r="F50" s="73">
        <f>IF(C$3+$B50&lt;=2020, HLOOKUP(C$3, CBStafelVrouw!$B$5:$CW$106, MATCH($A50,CBStafelVrouw!$A$5:$A$106,0),FALSE), ".")</f>
        <v>96834</v>
      </c>
      <c r="G50" s="73">
        <f t="shared" si="8"/>
        <v>96834</v>
      </c>
      <c r="H50" s="54" t="str">
        <f>IF(F50 &lt;&gt;".", ".", VLOOKUP($B50-1,AGtafelVrouw!$A$1:$FQ$122, MATCH(C$3+$B50,AGtafelVrouw!$A$1:$FQ$1,0),FALSE) )</f>
        <v>.</v>
      </c>
      <c r="I50" s="73">
        <f t="shared" si="2"/>
        <v>96107.5</v>
      </c>
      <c r="K50" s="73">
        <f>IF(K$3+$B50&lt;=2020, HLOOKUP(K$3, CBStafelMan!$B$5:$CW$106, MATCH($A50,CBStafelMan!$A$5:$A$106,0),FALSE), ".")</f>
        <v>95381</v>
      </c>
      <c r="L50" s="73">
        <f t="shared" si="3"/>
        <v>95381</v>
      </c>
      <c r="M50" s="54" t="str">
        <f>IF(K50 &lt;&gt;".", ".", VLOOKUP($B50-1,AGtafelMan!$A$1:$FQ$122, MATCH(K$3+$B50,AGtafelMan!$A$1:$FQ$1,0),FALSE) )</f>
        <v>.</v>
      </c>
      <c r="N50" s="73">
        <f>IF(K$3+$B50&lt;=2020, HLOOKUP(K$3, CBStafelVrouw!$B$5:$CW$106, MATCH($A50,CBStafelVrouw!$A$5:$A$106,0),FALSE), ".")</f>
        <v>96834</v>
      </c>
      <c r="O50" s="73">
        <f t="shared" si="4"/>
        <v>96834</v>
      </c>
      <c r="P50" s="54" t="str">
        <f>IF(N50 &lt;&gt;".", ".", VLOOKUP($B50-1,AGtafelVrouw!$A$1:$FQ$122, MATCH(K$3+$B50,AGtafelVrouw!$A$1:$FQ$1,0),FALSE) )</f>
        <v>.</v>
      </c>
      <c r="Q50" s="73">
        <f t="shared" si="5"/>
        <v>96107.5</v>
      </c>
    </row>
    <row r="51" spans="1:17" x14ac:dyDescent="0.25">
      <c r="A51" s="73" t="s">
        <v>79</v>
      </c>
      <c r="B51" s="73">
        <v>44</v>
      </c>
      <c r="C51" s="73">
        <f>IF(C$3+$B51&lt;=2020, HLOOKUP(C$3, CBStafelMan!$B$5:$CW$106, MATCH($A51,CBStafelMan!$A$5:$A$106,0),FALSE), ".")</f>
        <v>95242</v>
      </c>
      <c r="D51" s="73">
        <f t="shared" si="7"/>
        <v>95242</v>
      </c>
      <c r="E51" s="54" t="str">
        <f>IF(C51 &lt;&gt;".", ".", VLOOKUP($B51-1,AGtafelMan!$A$1:$FQ$122, MATCH(C$3+$B51-1,AGtafelMan!$A$1:$FQ$1,0),FALSE) )</f>
        <v>.</v>
      </c>
      <c r="F51" s="73">
        <f>IF(C$3+$B51&lt;=2020, HLOOKUP(C$3, CBStafelVrouw!$B$5:$CW$106, MATCH($A51,CBStafelVrouw!$A$5:$A$106,0),FALSE), ".")</f>
        <v>96737</v>
      </c>
      <c r="G51" s="73">
        <f t="shared" ref="G51:G102" si="9">IF(F51 &lt;&gt;".", F51, G50*(1-H51))</f>
        <v>96737</v>
      </c>
      <c r="H51" s="54" t="str">
        <f>IF(F51 &lt;&gt;".", ".", VLOOKUP($B51-1,AGtafelVrouw!$A$1:$FQ$122, MATCH(C$3+$B51,AGtafelVrouw!$A$1:$FQ$1,0),FALSE) )</f>
        <v>.</v>
      </c>
      <c r="I51" s="73">
        <f t="shared" si="2"/>
        <v>95989.5</v>
      </c>
      <c r="K51" s="73">
        <f>IF(K$3+$B51&lt;=2020, HLOOKUP(K$3, CBStafelMan!$B$5:$CW$106, MATCH($A51,CBStafelMan!$A$5:$A$106,0),FALSE), ".")</f>
        <v>95242</v>
      </c>
      <c r="L51" s="73">
        <f t="shared" si="3"/>
        <v>95242</v>
      </c>
      <c r="M51" s="54" t="str">
        <f>IF(K51 &lt;&gt;".", ".", VLOOKUP($B51-1,AGtafelMan!$A$1:$FQ$122, MATCH(K$3+$B51,AGtafelMan!$A$1:$FQ$1,0),FALSE) )</f>
        <v>.</v>
      </c>
      <c r="N51" s="73">
        <f>IF(K$3+$B51&lt;=2020, HLOOKUP(K$3, CBStafelVrouw!$B$5:$CW$106, MATCH($A51,CBStafelVrouw!$A$5:$A$106,0),FALSE), ".")</f>
        <v>96737</v>
      </c>
      <c r="O51" s="73">
        <f t="shared" si="4"/>
        <v>96737</v>
      </c>
      <c r="P51" s="54" t="str">
        <f>IF(N51 &lt;&gt;".", ".", VLOOKUP($B51-1,AGtafelVrouw!$A$1:$FQ$122, MATCH(K$3+$B51,AGtafelVrouw!$A$1:$FQ$1,0),FALSE) )</f>
        <v>.</v>
      </c>
      <c r="Q51" s="73">
        <f t="shared" si="5"/>
        <v>95989.5</v>
      </c>
    </row>
    <row r="52" spans="1:17" x14ac:dyDescent="0.25">
      <c r="A52" s="73" t="s">
        <v>78</v>
      </c>
      <c r="B52" s="73">
        <v>45</v>
      </c>
      <c r="C52" s="73">
        <f>IF(C$3+$B52&lt;=2020, HLOOKUP(C$3, CBStafelMan!$B$5:$CW$106, MATCH($A52,CBStafelMan!$A$5:$A$106,0),FALSE), ".")</f>
        <v>95093</v>
      </c>
      <c r="D52" s="73">
        <f t="shared" si="7"/>
        <v>95093</v>
      </c>
      <c r="E52" s="54" t="str">
        <f>IF(C52 &lt;&gt;".", ".", VLOOKUP($B52-1,AGtafelMan!$A$1:$FQ$122, MATCH(C$3+$B52-1,AGtafelMan!$A$1:$FQ$1,0),FALSE) )</f>
        <v>.</v>
      </c>
      <c r="F52" s="73">
        <f>IF(C$3+$B52&lt;=2020, HLOOKUP(C$3, CBStafelVrouw!$B$5:$CW$106, MATCH($A52,CBStafelVrouw!$A$5:$A$106,0),FALSE), ".")</f>
        <v>96613</v>
      </c>
      <c r="G52" s="73">
        <f t="shared" si="9"/>
        <v>96613</v>
      </c>
      <c r="H52" s="54" t="str">
        <f>IF(F52 &lt;&gt;".", ".", VLOOKUP($B52-1,AGtafelVrouw!$A$1:$FQ$122, MATCH(C$3+$B52,AGtafelVrouw!$A$1:$FQ$1,0),FALSE) )</f>
        <v>.</v>
      </c>
      <c r="I52" s="73">
        <f t="shared" si="2"/>
        <v>95853</v>
      </c>
      <c r="K52" s="73">
        <f>IF(K$3+$B52&lt;=2020, HLOOKUP(K$3, CBStafelMan!$B$5:$CW$106, MATCH($A52,CBStafelMan!$A$5:$A$106,0),FALSE), ".")</f>
        <v>95093</v>
      </c>
      <c r="L52" s="73">
        <f t="shared" si="3"/>
        <v>95093</v>
      </c>
      <c r="M52" s="54" t="str">
        <f>IF(K52 &lt;&gt;".", ".", VLOOKUP($B52-1,AGtafelMan!$A$1:$FQ$122, MATCH(K$3+$B52,AGtafelMan!$A$1:$FQ$1,0),FALSE) )</f>
        <v>.</v>
      </c>
      <c r="N52" s="73">
        <f>IF(K$3+$B52&lt;=2020, HLOOKUP(K$3, CBStafelVrouw!$B$5:$CW$106, MATCH($A52,CBStafelVrouw!$A$5:$A$106,0),FALSE), ".")</f>
        <v>96613</v>
      </c>
      <c r="O52" s="73">
        <f t="shared" si="4"/>
        <v>96613</v>
      </c>
      <c r="P52" s="54" t="str">
        <f>IF(N52 &lt;&gt;".", ".", VLOOKUP($B52-1,AGtafelVrouw!$A$1:$FQ$122, MATCH(K$3+$B52,AGtafelVrouw!$A$1:$FQ$1,0),FALSE) )</f>
        <v>.</v>
      </c>
      <c r="Q52" s="73">
        <f t="shared" si="5"/>
        <v>95853</v>
      </c>
    </row>
    <row r="53" spans="1:17" x14ac:dyDescent="0.25">
      <c r="A53" s="73" t="s">
        <v>77</v>
      </c>
      <c r="B53" s="73">
        <v>46</v>
      </c>
      <c r="C53" s="73">
        <f>IF(C$3+$B53&lt;=2020, HLOOKUP(C$3, CBStafelMan!$B$5:$CW$106, MATCH($A53,CBStafelMan!$A$5:$A$106,0),FALSE), ".")</f>
        <v>94939</v>
      </c>
      <c r="D53" s="73">
        <f t="shared" si="7"/>
        <v>94939</v>
      </c>
      <c r="E53" s="54" t="str">
        <f>IF(C53 &lt;&gt;".", ".", VLOOKUP($B53-1,AGtafelMan!$A$1:$FQ$122, MATCH(C$3+$B53-1,AGtafelMan!$A$1:$FQ$1,0),FALSE) )</f>
        <v>.</v>
      </c>
      <c r="F53" s="73">
        <f>IF(C$3+$B53&lt;=2020, HLOOKUP(C$3, CBStafelVrouw!$B$5:$CW$106, MATCH($A53,CBStafelVrouw!$A$5:$A$106,0),FALSE), ".")</f>
        <v>96495</v>
      </c>
      <c r="G53" s="73">
        <f t="shared" si="9"/>
        <v>96495</v>
      </c>
      <c r="H53" s="54" t="str">
        <f>IF(F53 &lt;&gt;".", ".", VLOOKUP($B53-1,AGtafelVrouw!$A$1:$FQ$122, MATCH(C$3+$B53,AGtafelVrouw!$A$1:$FQ$1,0),FALSE) )</f>
        <v>.</v>
      </c>
      <c r="I53" s="73">
        <f t="shared" si="2"/>
        <v>95717</v>
      </c>
      <c r="K53" s="73">
        <f>IF(K$3+$B53&lt;=2020, HLOOKUP(K$3, CBStafelMan!$B$5:$CW$106, MATCH($A53,CBStafelMan!$A$5:$A$106,0),FALSE), ".")</f>
        <v>94939</v>
      </c>
      <c r="L53" s="73">
        <f t="shared" si="3"/>
        <v>94939</v>
      </c>
      <c r="M53" s="54" t="str">
        <f>IF(K53 &lt;&gt;".", ".", VLOOKUP($B53-1,AGtafelMan!$A$1:$FQ$122, MATCH(K$3+$B53,AGtafelMan!$A$1:$FQ$1,0),FALSE) )</f>
        <v>.</v>
      </c>
      <c r="N53" s="73">
        <f>IF(K$3+$B53&lt;=2020, HLOOKUP(K$3, CBStafelVrouw!$B$5:$CW$106, MATCH($A53,CBStafelVrouw!$A$5:$A$106,0),FALSE), ".")</f>
        <v>96495</v>
      </c>
      <c r="O53" s="73">
        <f t="shared" si="4"/>
        <v>96495</v>
      </c>
      <c r="P53" s="54" t="str">
        <f>IF(N53 &lt;&gt;".", ".", VLOOKUP($B53-1,AGtafelVrouw!$A$1:$FQ$122, MATCH(K$3+$B53,AGtafelVrouw!$A$1:$FQ$1,0),FALSE) )</f>
        <v>.</v>
      </c>
      <c r="Q53" s="73">
        <f t="shared" si="5"/>
        <v>95717</v>
      </c>
    </row>
    <row r="54" spans="1:17" x14ac:dyDescent="0.25">
      <c r="A54" s="73" t="s">
        <v>76</v>
      </c>
      <c r="B54" s="73">
        <v>47</v>
      </c>
      <c r="C54" s="73">
        <f>IF(C$3+$B54&lt;=2020, HLOOKUP(C$3, CBStafelMan!$B$5:$CW$106, MATCH($A54,CBStafelMan!$A$5:$A$106,0),FALSE), ".")</f>
        <v>94775</v>
      </c>
      <c r="D54" s="73">
        <f t="shared" si="7"/>
        <v>94775</v>
      </c>
      <c r="E54" s="54" t="str">
        <f>IF(C54 &lt;&gt;".", ".", VLOOKUP($B54-1,AGtafelMan!$A$1:$FQ$122, MATCH(C$3+$B54-1,AGtafelMan!$A$1:$FQ$1,0),FALSE) )</f>
        <v>.</v>
      </c>
      <c r="F54" s="73">
        <f>IF(C$3+$B54&lt;=2020, HLOOKUP(C$3, CBStafelVrouw!$B$5:$CW$106, MATCH($A54,CBStafelVrouw!$A$5:$A$106,0),FALSE), ".")</f>
        <v>96366</v>
      </c>
      <c r="G54" s="73">
        <f t="shared" si="9"/>
        <v>96366</v>
      </c>
      <c r="H54" s="54" t="str">
        <f>IF(F54 &lt;&gt;".", ".", VLOOKUP($B54-1,AGtafelVrouw!$A$1:$FQ$122, MATCH(C$3+$B54,AGtafelVrouw!$A$1:$FQ$1,0),FALSE) )</f>
        <v>.</v>
      </c>
      <c r="I54" s="73">
        <f t="shared" si="2"/>
        <v>95570.5</v>
      </c>
      <c r="K54" s="73">
        <f>IF(K$3+$B54&lt;=2020, HLOOKUP(K$3, CBStafelMan!$B$5:$CW$106, MATCH($A54,CBStafelMan!$A$5:$A$106,0),FALSE), ".")</f>
        <v>94775</v>
      </c>
      <c r="L54" s="73">
        <f t="shared" si="3"/>
        <v>94775</v>
      </c>
      <c r="M54" s="54" t="str">
        <f>IF(K54 &lt;&gt;".", ".", VLOOKUP($B54-1,AGtafelMan!$A$1:$FQ$122, MATCH(K$3+$B54,AGtafelMan!$A$1:$FQ$1,0),FALSE) )</f>
        <v>.</v>
      </c>
      <c r="N54" s="73">
        <f>IF(K$3+$B54&lt;=2020, HLOOKUP(K$3, CBStafelVrouw!$B$5:$CW$106, MATCH($A54,CBStafelVrouw!$A$5:$A$106,0),FALSE), ".")</f>
        <v>96366</v>
      </c>
      <c r="O54" s="73">
        <f t="shared" si="4"/>
        <v>96366</v>
      </c>
      <c r="P54" s="54" t="str">
        <f>IF(N54 &lt;&gt;".", ".", VLOOKUP($B54-1,AGtafelVrouw!$A$1:$FQ$122, MATCH(K$3+$B54,AGtafelVrouw!$A$1:$FQ$1,0),FALSE) )</f>
        <v>.</v>
      </c>
      <c r="Q54" s="73">
        <f t="shared" si="5"/>
        <v>95570.5</v>
      </c>
    </row>
    <row r="55" spans="1:17" x14ac:dyDescent="0.25">
      <c r="A55" s="73" t="s">
        <v>75</v>
      </c>
      <c r="B55" s="73">
        <v>48</v>
      </c>
      <c r="C55" s="73">
        <f>IF(C$3+$B55&lt;=2020, HLOOKUP(C$3, CBStafelMan!$B$5:$CW$106, MATCH($A55,CBStafelMan!$A$5:$A$106,0),FALSE), ".")</f>
        <v>94594</v>
      </c>
      <c r="D55" s="73">
        <f t="shared" si="7"/>
        <v>94594</v>
      </c>
      <c r="E55" s="54" t="str">
        <f>IF(C55 &lt;&gt;".", ".", VLOOKUP($B55-1,AGtafelMan!$A$1:$FQ$122, MATCH(C$3+$B55-1,AGtafelMan!$A$1:$FQ$1,0),FALSE) )</f>
        <v>.</v>
      </c>
      <c r="F55" s="73">
        <f>IF(C$3+$B55&lt;=2020, HLOOKUP(C$3, CBStafelVrouw!$B$5:$CW$106, MATCH($A55,CBStafelVrouw!$A$5:$A$106,0),FALSE), ".")</f>
        <v>96193</v>
      </c>
      <c r="G55" s="73">
        <f t="shared" si="9"/>
        <v>96193</v>
      </c>
      <c r="H55" s="54" t="str">
        <f>IF(F55 &lt;&gt;".", ".", VLOOKUP($B55-1,AGtafelVrouw!$A$1:$FQ$122, MATCH(C$3+$B55,AGtafelVrouw!$A$1:$FQ$1,0),FALSE) )</f>
        <v>.</v>
      </c>
      <c r="I55" s="73">
        <f t="shared" si="2"/>
        <v>95393.5</v>
      </c>
      <c r="K55" s="73">
        <f>IF(K$3+$B55&lt;=2020, HLOOKUP(K$3, CBStafelMan!$B$5:$CW$106, MATCH($A55,CBStafelMan!$A$5:$A$106,0),FALSE), ".")</f>
        <v>94594</v>
      </c>
      <c r="L55" s="73">
        <f t="shared" si="3"/>
        <v>94594</v>
      </c>
      <c r="M55" s="54" t="str">
        <f>IF(K55 &lt;&gt;".", ".", VLOOKUP($B55-1,AGtafelMan!$A$1:$FQ$122, MATCH(K$3+$B55,AGtafelMan!$A$1:$FQ$1,0),FALSE) )</f>
        <v>.</v>
      </c>
      <c r="N55" s="73">
        <f>IF(K$3+$B55&lt;=2020, HLOOKUP(K$3, CBStafelVrouw!$B$5:$CW$106, MATCH($A55,CBStafelVrouw!$A$5:$A$106,0),FALSE), ".")</f>
        <v>96193</v>
      </c>
      <c r="O55" s="73">
        <f t="shared" si="4"/>
        <v>96193</v>
      </c>
      <c r="P55" s="54" t="str">
        <f>IF(N55 &lt;&gt;".", ".", VLOOKUP($B55-1,AGtafelVrouw!$A$1:$FQ$122, MATCH(K$3+$B55,AGtafelVrouw!$A$1:$FQ$1,0),FALSE) )</f>
        <v>.</v>
      </c>
      <c r="Q55" s="73">
        <f t="shared" si="5"/>
        <v>95393.5</v>
      </c>
    </row>
    <row r="56" spans="1:17" x14ac:dyDescent="0.25">
      <c r="A56" s="73" t="s">
        <v>74</v>
      </c>
      <c r="B56" s="73">
        <v>49</v>
      </c>
      <c r="C56" s="73">
        <f>IF(C$3+$B56&lt;=2020, HLOOKUP(C$3, CBStafelMan!$B$5:$CW$106, MATCH($A56,CBStafelMan!$A$5:$A$106,0),FALSE), ".")</f>
        <v>94405</v>
      </c>
      <c r="D56" s="73">
        <f t="shared" si="7"/>
        <v>94405</v>
      </c>
      <c r="E56" s="54" t="str">
        <f>IF(C56 &lt;&gt;".", ".", VLOOKUP($B56-1,AGtafelMan!$A$1:$FQ$122, MATCH(C$3+$B56-1,AGtafelMan!$A$1:$FQ$1,0),FALSE) )</f>
        <v>.</v>
      </c>
      <c r="F56" s="73">
        <f>IF(C$3+$B56&lt;=2020, HLOOKUP(C$3, CBStafelVrouw!$B$5:$CW$106, MATCH($A56,CBStafelVrouw!$A$5:$A$106,0),FALSE), ".")</f>
        <v>96042</v>
      </c>
      <c r="G56" s="73">
        <f t="shared" si="9"/>
        <v>96042</v>
      </c>
      <c r="H56" s="54" t="str">
        <f>IF(F56 &lt;&gt;".", ".", VLOOKUP($B56-1,AGtafelVrouw!$A$1:$FQ$122, MATCH(C$3+$B56,AGtafelVrouw!$A$1:$FQ$1,0),FALSE) )</f>
        <v>.</v>
      </c>
      <c r="I56" s="73">
        <f t="shared" si="2"/>
        <v>95223.5</v>
      </c>
      <c r="K56" s="73">
        <f>IF(K$3+$B56&lt;=2020, HLOOKUP(K$3, CBStafelMan!$B$5:$CW$106, MATCH($A56,CBStafelMan!$A$5:$A$106,0),FALSE), ".")</f>
        <v>94405</v>
      </c>
      <c r="L56" s="73">
        <f t="shared" si="3"/>
        <v>94405</v>
      </c>
      <c r="M56" s="54" t="str">
        <f>IF(K56 &lt;&gt;".", ".", VLOOKUP($B56-1,AGtafelMan!$A$1:$FQ$122, MATCH(K$3+$B56,AGtafelMan!$A$1:$FQ$1,0),FALSE) )</f>
        <v>.</v>
      </c>
      <c r="N56" s="73">
        <f>IF(K$3+$B56&lt;=2020, HLOOKUP(K$3, CBStafelVrouw!$B$5:$CW$106, MATCH($A56,CBStafelVrouw!$A$5:$A$106,0),FALSE), ".")</f>
        <v>96042</v>
      </c>
      <c r="O56" s="73">
        <f t="shared" si="4"/>
        <v>96042</v>
      </c>
      <c r="P56" s="54" t="str">
        <f>IF(N56 &lt;&gt;".", ".", VLOOKUP($B56-1,AGtafelVrouw!$A$1:$FQ$122, MATCH(K$3+$B56,AGtafelVrouw!$A$1:$FQ$1,0),FALSE) )</f>
        <v>.</v>
      </c>
      <c r="Q56" s="73">
        <f t="shared" si="5"/>
        <v>95223.5</v>
      </c>
    </row>
    <row r="57" spans="1:17" x14ac:dyDescent="0.25">
      <c r="A57" s="73" t="s">
        <v>73</v>
      </c>
      <c r="B57" s="73">
        <v>50</v>
      </c>
      <c r="C57" s="73">
        <f>IF(C$3+$B57&lt;=2020, HLOOKUP(C$3, CBStafelMan!$B$5:$CW$106, MATCH($A57,CBStafelMan!$A$5:$A$106,0),FALSE), ".")</f>
        <v>94195</v>
      </c>
      <c r="D57" s="73">
        <f t="shared" si="7"/>
        <v>94195</v>
      </c>
      <c r="E57" s="54" t="str">
        <f>IF(C57 &lt;&gt;".", ".", VLOOKUP($B57-1,AGtafelMan!$A$1:$FQ$122, MATCH(C$3+$B57-1,AGtafelMan!$A$1:$FQ$1,0),FALSE) )</f>
        <v>.</v>
      </c>
      <c r="F57" s="73">
        <f>IF(C$3+$B57&lt;=2020, HLOOKUP(C$3, CBStafelVrouw!$B$5:$CW$106, MATCH($A57,CBStafelVrouw!$A$5:$A$106,0),FALSE), ".")</f>
        <v>95867</v>
      </c>
      <c r="G57" s="73">
        <f t="shared" si="9"/>
        <v>95867</v>
      </c>
      <c r="H57" s="54" t="str">
        <f>IF(F57 &lt;&gt;".", ".", VLOOKUP($B57-1,AGtafelVrouw!$A$1:$FQ$122, MATCH(C$3+$B57,AGtafelVrouw!$A$1:$FQ$1,0),FALSE) )</f>
        <v>.</v>
      </c>
      <c r="I57" s="73">
        <f t="shared" si="2"/>
        <v>95031</v>
      </c>
      <c r="K57" s="73">
        <f>IF(K$3+$B57&lt;=2020, HLOOKUP(K$3, CBStafelMan!$B$5:$CW$106, MATCH($A57,CBStafelMan!$A$5:$A$106,0),FALSE), ".")</f>
        <v>94195</v>
      </c>
      <c r="L57" s="73">
        <f t="shared" si="3"/>
        <v>94195</v>
      </c>
      <c r="M57" s="54" t="str">
        <f>IF(K57 &lt;&gt;".", ".", VLOOKUP($B57-1,AGtafelMan!$A$1:$FQ$122, MATCH(K$3+$B57,AGtafelMan!$A$1:$FQ$1,0),FALSE) )</f>
        <v>.</v>
      </c>
      <c r="N57" s="73">
        <f>IF(K$3+$B57&lt;=2020, HLOOKUP(K$3, CBStafelVrouw!$B$5:$CW$106, MATCH($A57,CBStafelVrouw!$A$5:$A$106,0),FALSE), ".")</f>
        <v>95867</v>
      </c>
      <c r="O57" s="73">
        <f t="shared" si="4"/>
        <v>95867</v>
      </c>
      <c r="P57" s="54" t="str">
        <f>IF(N57 &lt;&gt;".", ".", VLOOKUP($B57-1,AGtafelVrouw!$A$1:$FQ$122, MATCH(K$3+$B57,AGtafelVrouw!$A$1:$FQ$1,0),FALSE) )</f>
        <v>.</v>
      </c>
      <c r="Q57" s="73">
        <f t="shared" si="5"/>
        <v>95031</v>
      </c>
    </row>
    <row r="58" spans="1:17" x14ac:dyDescent="0.25">
      <c r="A58" s="73" t="s">
        <v>72</v>
      </c>
      <c r="B58" s="73">
        <v>51</v>
      </c>
      <c r="C58" s="73">
        <f>IF(C$3+$B58&lt;=2020, HLOOKUP(C$3, CBStafelMan!$B$5:$CW$106, MATCH($A58,CBStafelMan!$A$5:$A$106,0),FALSE), ".")</f>
        <v>93955</v>
      </c>
      <c r="D58" s="73">
        <f t="shared" si="7"/>
        <v>93955</v>
      </c>
      <c r="E58" s="54" t="str">
        <f>IF(C58 &lt;&gt;".", ".", VLOOKUP($B58-1,AGtafelMan!$A$1:$FQ$122, MATCH(C$3+$B58-1,AGtafelMan!$A$1:$FQ$1,0),FALSE) )</f>
        <v>.</v>
      </c>
      <c r="F58" s="73">
        <f>IF(C$3+$B58&lt;=2020, HLOOKUP(C$3, CBStafelVrouw!$B$5:$CW$106, MATCH($A58,CBStafelVrouw!$A$5:$A$106,0),FALSE), ".")</f>
        <v>95676</v>
      </c>
      <c r="G58" s="73">
        <f t="shared" si="9"/>
        <v>95676</v>
      </c>
      <c r="H58" s="54" t="str">
        <f>IF(F58 &lt;&gt;".", ".", VLOOKUP($B58-1,AGtafelVrouw!$A$1:$FQ$122, MATCH(C$3+$B58,AGtafelVrouw!$A$1:$FQ$1,0),FALSE) )</f>
        <v>.</v>
      </c>
      <c r="I58" s="73">
        <f t="shared" si="2"/>
        <v>94815.5</v>
      </c>
      <c r="K58" s="73">
        <f>IF(K$3+$B58&lt;=2020, HLOOKUP(K$3, CBStafelMan!$B$5:$CW$106, MATCH($A58,CBStafelMan!$A$5:$A$106,0),FALSE), ".")</f>
        <v>93955</v>
      </c>
      <c r="L58" s="73">
        <f t="shared" si="3"/>
        <v>93955</v>
      </c>
      <c r="M58" s="54" t="str">
        <f>IF(K58 &lt;&gt;".", ".", VLOOKUP($B58-1,AGtafelMan!$A$1:$FQ$122, MATCH(K$3+$B58,AGtafelMan!$A$1:$FQ$1,0),FALSE) )</f>
        <v>.</v>
      </c>
      <c r="N58" s="73">
        <f>IF(K$3+$B58&lt;=2020, HLOOKUP(K$3, CBStafelVrouw!$B$5:$CW$106, MATCH($A58,CBStafelVrouw!$A$5:$A$106,0),FALSE), ".")</f>
        <v>95676</v>
      </c>
      <c r="O58" s="73">
        <f t="shared" si="4"/>
        <v>95676</v>
      </c>
      <c r="P58" s="54" t="str">
        <f>IF(N58 &lt;&gt;".", ".", VLOOKUP($B58-1,AGtafelVrouw!$A$1:$FQ$122, MATCH(K$3+$B58,AGtafelVrouw!$A$1:$FQ$1,0),FALSE) )</f>
        <v>.</v>
      </c>
      <c r="Q58" s="73">
        <f t="shared" si="5"/>
        <v>94815.5</v>
      </c>
    </row>
    <row r="59" spans="1:17" x14ac:dyDescent="0.25">
      <c r="A59" s="73" t="s">
        <v>71</v>
      </c>
      <c r="B59" s="73">
        <v>52</v>
      </c>
      <c r="C59" s="73">
        <f>IF(C$3+$B59&lt;=2020, HLOOKUP(C$3, CBStafelMan!$B$5:$CW$106, MATCH($A59,CBStafelMan!$A$5:$A$106,0),FALSE), ".")</f>
        <v>93728</v>
      </c>
      <c r="D59" s="73">
        <f t="shared" si="7"/>
        <v>93728</v>
      </c>
      <c r="E59" s="54" t="str">
        <f>IF(C59 &lt;&gt;".", ".", VLOOKUP($B59-1,AGtafelMan!$A$1:$FQ$122, MATCH(C$3+$B59-1,AGtafelMan!$A$1:$FQ$1,0),FALSE) )</f>
        <v>.</v>
      </c>
      <c r="F59" s="73">
        <f>IF(C$3+$B59&lt;=2020, HLOOKUP(C$3, CBStafelVrouw!$B$5:$CW$106, MATCH($A59,CBStafelVrouw!$A$5:$A$106,0),FALSE), ".")</f>
        <v>95463</v>
      </c>
      <c r="G59" s="73">
        <f t="shared" si="9"/>
        <v>95463</v>
      </c>
      <c r="H59" s="54" t="str">
        <f>IF(F59 &lt;&gt;".", ".", VLOOKUP($B59-1,AGtafelVrouw!$A$1:$FQ$122, MATCH(C$3+$B59,AGtafelVrouw!$A$1:$FQ$1,0),FALSE) )</f>
        <v>.</v>
      </c>
      <c r="I59" s="73">
        <f t="shared" si="2"/>
        <v>94595.5</v>
      </c>
      <c r="K59" s="73">
        <f>IF(K$3+$B59&lt;=2020, HLOOKUP(K$3, CBStafelMan!$B$5:$CW$106, MATCH($A59,CBStafelMan!$A$5:$A$106,0),FALSE), ".")</f>
        <v>93728</v>
      </c>
      <c r="L59" s="73">
        <f t="shared" si="3"/>
        <v>93728</v>
      </c>
      <c r="M59" s="54" t="str">
        <f>IF(K59 &lt;&gt;".", ".", VLOOKUP($B59-1,AGtafelMan!$A$1:$FQ$122, MATCH(K$3+$B59,AGtafelMan!$A$1:$FQ$1,0),FALSE) )</f>
        <v>.</v>
      </c>
      <c r="N59" s="73">
        <f>IF(K$3+$B59&lt;=2020, HLOOKUP(K$3, CBStafelVrouw!$B$5:$CW$106, MATCH($A59,CBStafelVrouw!$A$5:$A$106,0),FALSE), ".")</f>
        <v>95463</v>
      </c>
      <c r="O59" s="73">
        <f t="shared" si="4"/>
        <v>95463</v>
      </c>
      <c r="P59" s="54" t="str">
        <f>IF(N59 &lt;&gt;".", ".", VLOOKUP($B59-1,AGtafelVrouw!$A$1:$FQ$122, MATCH(K$3+$B59,AGtafelVrouw!$A$1:$FQ$1,0),FALSE) )</f>
        <v>.</v>
      </c>
      <c r="Q59" s="73">
        <f t="shared" si="5"/>
        <v>94595.5</v>
      </c>
    </row>
    <row r="60" spans="1:17" x14ac:dyDescent="0.25">
      <c r="A60" s="73" t="s">
        <v>70</v>
      </c>
      <c r="B60" s="73">
        <v>53</v>
      </c>
      <c r="C60" s="73">
        <f>IF(C$3+$B60&lt;=2020, HLOOKUP(C$3, CBStafelMan!$B$5:$CW$106, MATCH($A60,CBStafelMan!$A$5:$A$106,0),FALSE), ".")</f>
        <v>93476</v>
      </c>
      <c r="D60" s="73">
        <f t="shared" si="7"/>
        <v>93476</v>
      </c>
      <c r="E60" s="54" t="str">
        <f>IF(C60 &lt;&gt;".", ".", VLOOKUP($B60-1,AGtafelMan!$A$1:$FQ$122, MATCH(C$3+$B60-1,AGtafelMan!$A$1:$FQ$1,0),FALSE) )</f>
        <v>.</v>
      </c>
      <c r="F60" s="73">
        <f>IF(C$3+$B60&lt;=2020, HLOOKUP(C$3, CBStafelVrouw!$B$5:$CW$106, MATCH($A60,CBStafelVrouw!$A$5:$A$106,0),FALSE), ".")</f>
        <v>95278</v>
      </c>
      <c r="G60" s="73">
        <f t="shared" si="9"/>
        <v>95278</v>
      </c>
      <c r="H60" s="54" t="str">
        <f>IF(F60 &lt;&gt;".", ".", VLOOKUP($B60-1,AGtafelVrouw!$A$1:$FQ$122, MATCH(C$3+$B60,AGtafelVrouw!$A$1:$FQ$1,0),FALSE) )</f>
        <v>.</v>
      </c>
      <c r="I60" s="73">
        <f t="shared" si="2"/>
        <v>94377</v>
      </c>
      <c r="K60" s="73">
        <f>IF(K$3+$B60&lt;=2020, HLOOKUP(K$3, CBStafelMan!$B$5:$CW$106, MATCH($A60,CBStafelMan!$A$5:$A$106,0),FALSE), ".")</f>
        <v>93476</v>
      </c>
      <c r="L60" s="73">
        <f t="shared" si="3"/>
        <v>93476</v>
      </c>
      <c r="M60" s="54" t="str">
        <f>IF(K60 &lt;&gt;".", ".", VLOOKUP($B60-1,AGtafelMan!$A$1:$FQ$122, MATCH(K$3+$B60,AGtafelMan!$A$1:$FQ$1,0),FALSE) )</f>
        <v>.</v>
      </c>
      <c r="N60" s="73">
        <f>IF(K$3+$B60&lt;=2020, HLOOKUP(K$3, CBStafelVrouw!$B$5:$CW$106, MATCH($A60,CBStafelVrouw!$A$5:$A$106,0),FALSE), ".")</f>
        <v>95278</v>
      </c>
      <c r="O60" s="73">
        <f t="shared" si="4"/>
        <v>95278</v>
      </c>
      <c r="P60" s="54" t="str">
        <f>IF(N60 &lt;&gt;".", ".", VLOOKUP($B60-1,AGtafelVrouw!$A$1:$FQ$122, MATCH(K$3+$B60,AGtafelVrouw!$A$1:$FQ$1,0),FALSE) )</f>
        <v>.</v>
      </c>
      <c r="Q60" s="73">
        <f t="shared" si="5"/>
        <v>94377</v>
      </c>
    </row>
    <row r="61" spans="1:17" x14ac:dyDescent="0.25">
      <c r="A61" s="73" t="s">
        <v>69</v>
      </c>
      <c r="B61" s="73">
        <v>54</v>
      </c>
      <c r="C61" s="73">
        <f>IF(C$3+$B61&lt;=2020, HLOOKUP(C$3, CBStafelMan!$B$5:$CW$106, MATCH($A61,CBStafelMan!$A$5:$A$106,0),FALSE), ".")</f>
        <v>93215</v>
      </c>
      <c r="D61" s="73">
        <f t="shared" si="7"/>
        <v>93215</v>
      </c>
      <c r="E61" s="54" t="str">
        <f>IF(C61 &lt;&gt;".", ".", VLOOKUP($B61-1,AGtafelMan!$A$1:$FQ$122, MATCH(C$3+$B61-1,AGtafelMan!$A$1:$FQ$1,0),FALSE) )</f>
        <v>.</v>
      </c>
      <c r="F61" s="73">
        <f>IF(C$3+$B61&lt;=2020, HLOOKUP(C$3, CBStafelVrouw!$B$5:$CW$106, MATCH($A61,CBStafelVrouw!$A$5:$A$106,0),FALSE), ".")</f>
        <v>95062</v>
      </c>
      <c r="G61" s="73">
        <f t="shared" si="9"/>
        <v>95062</v>
      </c>
      <c r="H61" s="54" t="str">
        <f>IF(F61 &lt;&gt;".", ".", VLOOKUP($B61-1,AGtafelVrouw!$A$1:$FQ$122, MATCH(C$3+$B61,AGtafelVrouw!$A$1:$FQ$1,0),FALSE) )</f>
        <v>.</v>
      </c>
      <c r="I61" s="73">
        <f t="shared" si="2"/>
        <v>94138.5</v>
      </c>
      <c r="K61" s="73">
        <f>IF(K$3+$B61&lt;=2020, HLOOKUP(K$3, CBStafelMan!$B$5:$CW$106, MATCH($A61,CBStafelMan!$A$5:$A$106,0),FALSE), ".")</f>
        <v>93215</v>
      </c>
      <c r="L61" s="73">
        <f t="shared" si="3"/>
        <v>93215</v>
      </c>
      <c r="M61" s="54" t="str">
        <f>IF(K61 &lt;&gt;".", ".", VLOOKUP($B61-1,AGtafelMan!$A$1:$FQ$122, MATCH(K$3+$B61,AGtafelMan!$A$1:$FQ$1,0),FALSE) )</f>
        <v>.</v>
      </c>
      <c r="N61" s="73">
        <f>IF(K$3+$B61&lt;=2020, HLOOKUP(K$3, CBStafelVrouw!$B$5:$CW$106, MATCH($A61,CBStafelVrouw!$A$5:$A$106,0),FALSE), ".")</f>
        <v>95062</v>
      </c>
      <c r="O61" s="73">
        <f t="shared" si="4"/>
        <v>95062</v>
      </c>
      <c r="P61" s="54" t="str">
        <f>IF(N61 &lt;&gt;".", ".", VLOOKUP($B61-1,AGtafelVrouw!$A$1:$FQ$122, MATCH(K$3+$B61,AGtafelVrouw!$A$1:$FQ$1,0),FALSE) )</f>
        <v>.</v>
      </c>
      <c r="Q61" s="73">
        <f t="shared" si="5"/>
        <v>94138.5</v>
      </c>
    </row>
    <row r="62" spans="1:17" x14ac:dyDescent="0.25">
      <c r="A62" s="73" t="s">
        <v>68</v>
      </c>
      <c r="B62" s="73">
        <v>55</v>
      </c>
      <c r="C62" s="73">
        <f>IF(C$3+$B62&lt;=2020, HLOOKUP(C$3, CBStafelMan!$B$5:$CW$106, MATCH($A62,CBStafelMan!$A$5:$A$106,0),FALSE), ".")</f>
        <v>92924</v>
      </c>
      <c r="D62" s="73">
        <f t="shared" si="7"/>
        <v>92924</v>
      </c>
      <c r="E62" s="54" t="str">
        <f>IF(C62 &lt;&gt;".", ".", VLOOKUP($B62-1,AGtafelMan!$A$1:$FQ$122, MATCH(C$3+$B62-1,AGtafelMan!$A$1:$FQ$1,0),FALSE) )</f>
        <v>.</v>
      </c>
      <c r="F62" s="73">
        <f>IF(C$3+$B62&lt;=2020, HLOOKUP(C$3, CBStafelVrouw!$B$5:$CW$106, MATCH($A62,CBStafelVrouw!$A$5:$A$106,0),FALSE), ".")</f>
        <v>94829</v>
      </c>
      <c r="G62" s="73">
        <f t="shared" si="9"/>
        <v>94829</v>
      </c>
      <c r="H62" s="54" t="str">
        <f>IF(F62 &lt;&gt;".", ".", VLOOKUP($B62-1,AGtafelVrouw!$A$1:$FQ$122, MATCH(C$3+$B62,AGtafelVrouw!$A$1:$FQ$1,0),FALSE) )</f>
        <v>.</v>
      </c>
      <c r="I62" s="73">
        <f t="shared" si="2"/>
        <v>93876.5</v>
      </c>
      <c r="K62" s="73">
        <f>IF(K$3+$B62&lt;=2020, HLOOKUP(K$3, CBStafelMan!$B$5:$CW$106, MATCH($A62,CBStafelMan!$A$5:$A$106,0),FALSE), ".")</f>
        <v>92924</v>
      </c>
      <c r="L62" s="73">
        <f t="shared" si="3"/>
        <v>92924</v>
      </c>
      <c r="M62" s="54" t="str">
        <f>IF(K62 &lt;&gt;".", ".", VLOOKUP($B62-1,AGtafelMan!$A$1:$FQ$122, MATCH(K$3+$B62,AGtafelMan!$A$1:$FQ$1,0),FALSE) )</f>
        <v>.</v>
      </c>
      <c r="N62" s="73">
        <f>IF(K$3+$B62&lt;=2020, HLOOKUP(K$3, CBStafelVrouw!$B$5:$CW$106, MATCH($A62,CBStafelVrouw!$A$5:$A$106,0),FALSE), ".")</f>
        <v>94829</v>
      </c>
      <c r="O62" s="73">
        <f t="shared" si="4"/>
        <v>94829</v>
      </c>
      <c r="P62" s="54" t="str">
        <f>IF(N62 &lt;&gt;".", ".", VLOOKUP($B62-1,AGtafelVrouw!$A$1:$FQ$122, MATCH(K$3+$B62,AGtafelVrouw!$A$1:$FQ$1,0),FALSE) )</f>
        <v>.</v>
      </c>
      <c r="Q62" s="73">
        <f t="shared" si="5"/>
        <v>93876.5</v>
      </c>
    </row>
    <row r="63" spans="1:17" x14ac:dyDescent="0.25">
      <c r="A63" s="73" t="s">
        <v>67</v>
      </c>
      <c r="B63" s="73">
        <v>56</v>
      </c>
      <c r="C63" s="73" t="str">
        <f>IF(C$3+$B63&lt;=2020, HLOOKUP(C$3, CBStafelMan!$B$5:$CW$106, MATCH($A63,CBStafelMan!$A$5:$A$106,0),FALSE), ".")</f>
        <v>.</v>
      </c>
      <c r="D63" s="73">
        <f t="shared" si="7"/>
        <v>92534.048615580003</v>
      </c>
      <c r="E63" s="54">
        <f>IF(C63 &lt;&gt;".", ".", VLOOKUP($B63-1,AGtafelMan!$A$1:$FQ$122, MATCH(C$3+$B63-1,AGtafelMan!$A$1:$FQ$1,0),FALSE) )</f>
        <v>4.196455E-3</v>
      </c>
      <c r="F63" s="73" t="str">
        <f>IF(C$3+$B63&lt;=2020, HLOOKUP(C$3, CBStafelVrouw!$B$5:$CW$106, MATCH($A63,CBStafelVrouw!$A$5:$A$106,0),FALSE), ".")</f>
        <v>.</v>
      </c>
      <c r="G63" s="73">
        <f t="shared" si="9"/>
        <v>94530.505732546808</v>
      </c>
      <c r="H63" s="54">
        <f>IF(F63 &lt;&gt;".", ".", VLOOKUP($B63-1,AGtafelVrouw!$A$1:$FQ$122, MATCH(C$3+$B63,AGtafelVrouw!$A$1:$FQ$1,0),FALSE) )</f>
        <v>3.1477108E-3</v>
      </c>
      <c r="I63" s="73">
        <f t="shared" si="2"/>
        <v>93532.277174063405</v>
      </c>
      <c r="K63" s="73" t="str">
        <f>IF(K$3+$B63&lt;=2020, HLOOKUP(K$3, CBStafelMan!$B$5:$CW$106, MATCH($A63,CBStafelMan!$A$5:$A$106,0),FALSE), ".")</f>
        <v>.</v>
      </c>
      <c r="L63" s="73">
        <f t="shared" si="3"/>
        <v>92541.204609188397</v>
      </c>
      <c r="M63" s="54">
        <f>IF(K63 &lt;&gt;".", ".", VLOOKUP($B63-1,AGtafelMan!$A$1:$FQ$122, MATCH(K$3+$B63,AGtafelMan!$A$1:$FQ$1,0),FALSE) )</f>
        <v>4.1194459000000001E-3</v>
      </c>
      <c r="N63" s="73" t="str">
        <f>IF(K$3+$B63&lt;=2020, HLOOKUP(K$3, CBStafelVrouw!$B$5:$CW$106, MATCH($A63,CBStafelVrouw!$A$5:$A$106,0),FALSE), ".")</f>
        <v>.</v>
      </c>
      <c r="O63" s="73">
        <f t="shared" si="4"/>
        <v>94530.505732546808</v>
      </c>
      <c r="P63" s="54">
        <f>IF(N63 &lt;&gt;".", ".", VLOOKUP($B63-1,AGtafelVrouw!$A$1:$FQ$122, MATCH(K$3+$B63,AGtafelVrouw!$A$1:$FQ$1,0),FALSE) )</f>
        <v>3.1477108E-3</v>
      </c>
      <c r="Q63" s="73">
        <f t="shared" si="5"/>
        <v>93535.85517086761</v>
      </c>
    </row>
    <row r="64" spans="1:17" x14ac:dyDescent="0.25">
      <c r="A64" s="73" t="s">
        <v>66</v>
      </c>
      <c r="B64" s="73">
        <v>57</v>
      </c>
      <c r="C64" s="73" t="str">
        <f>IF(C$3+$B64&lt;=2020, HLOOKUP(C$3, CBStafelMan!$B$5:$CW$106, MATCH($A64,CBStafelMan!$A$5:$A$106,0),FALSE), ".")</f>
        <v>.</v>
      </c>
      <c r="D64" s="73">
        <f t="shared" si="7"/>
        <v>92114.388411126944</v>
      </c>
      <c r="E64" s="54">
        <f>IF(C64 &lt;&gt;".", ".", VLOOKUP($B64-1,AGtafelMan!$A$1:$FQ$122, MATCH(C$3+$B64-1,AGtafelMan!$A$1:$FQ$1,0),FALSE) )</f>
        <v>4.5351977000000002E-3</v>
      </c>
      <c r="F64" s="73" t="str">
        <f>IF(C$3+$B64&lt;=2020, HLOOKUP(C$3, CBStafelVrouw!$B$5:$CW$106, MATCH($A64,CBStafelVrouw!$A$5:$A$106,0),FALSE), ".")</f>
        <v>.</v>
      </c>
      <c r="G64" s="73">
        <f t="shared" si="9"/>
        <v>94211.764285142141</v>
      </c>
      <c r="H64" s="54">
        <f>IF(F64 &lt;&gt;".", ".", VLOOKUP($B64-1,AGtafelVrouw!$A$1:$FQ$122, MATCH(C$3+$B64,AGtafelVrouw!$A$1:$FQ$1,0),FALSE) )</f>
        <v>3.3718368999999999E-3</v>
      </c>
      <c r="I64" s="73">
        <f t="shared" si="2"/>
        <v>93163.076348134549</v>
      </c>
      <c r="K64" s="73" t="str">
        <f>IF(K$3+$B64&lt;=2020, HLOOKUP(K$3, CBStafelMan!$B$5:$CW$106, MATCH($A64,CBStafelMan!$A$5:$A$106,0),FALSE), ".")</f>
        <v>.</v>
      </c>
      <c r="L64" s="73">
        <f t="shared" si="3"/>
        <v>92129.243065221512</v>
      </c>
      <c r="M64" s="54">
        <f>IF(K64 &lt;&gt;".", ".", VLOOKUP($B64-1,AGtafelMan!$A$1:$FQ$122, MATCH(K$3+$B64,AGtafelMan!$A$1:$FQ$1,0),FALSE) )</f>
        <v>4.4516553000000002E-3</v>
      </c>
      <c r="N64" s="73" t="str">
        <f>IF(K$3+$B64&lt;=2020, HLOOKUP(K$3, CBStafelVrouw!$B$5:$CW$106, MATCH($A64,CBStafelVrouw!$A$5:$A$106,0),FALSE), ".")</f>
        <v>.</v>
      </c>
      <c r="O64" s="73">
        <f t="shared" si="4"/>
        <v>94211.764285142141</v>
      </c>
      <c r="P64" s="54">
        <f>IF(N64 &lt;&gt;".", ".", VLOOKUP($B64-1,AGtafelVrouw!$A$1:$FQ$122, MATCH(K$3+$B64,AGtafelVrouw!$A$1:$FQ$1,0),FALSE) )</f>
        <v>3.3718368999999999E-3</v>
      </c>
      <c r="Q64" s="73">
        <f t="shared" si="5"/>
        <v>93170.503675181826</v>
      </c>
    </row>
    <row r="65" spans="1:17" x14ac:dyDescent="0.25">
      <c r="A65" s="73" t="s">
        <v>65</v>
      </c>
      <c r="B65" s="73">
        <v>58</v>
      </c>
      <c r="C65" s="73" t="str">
        <f>IF(C$3+$B65&lt;=2020, HLOOKUP(C$3, CBStafelMan!$B$5:$CW$106, MATCH($A65,CBStafelMan!$A$5:$A$106,0),FALSE), ".")</f>
        <v>.</v>
      </c>
      <c r="D65" s="73">
        <f t="shared" si="7"/>
        <v>91651.988376130335</v>
      </c>
      <c r="E65" s="54">
        <f>IF(C65 &lt;&gt;".", ".", VLOOKUP($B65-1,AGtafelMan!$A$1:$FQ$122, MATCH(C$3+$B65-1,AGtafelMan!$A$1:$FQ$1,0),FALSE) )</f>
        <v>5.0198459000000001E-3</v>
      </c>
      <c r="F65" s="73" t="str">
        <f>IF(C$3+$B65&lt;=2020, HLOOKUP(C$3, CBStafelVrouw!$B$5:$CW$106, MATCH($A65,CBStafelVrouw!$A$5:$A$106,0),FALSE), ".")</f>
        <v>.</v>
      </c>
      <c r="G65" s="73">
        <f t="shared" si="9"/>
        <v>93870.145107590128</v>
      </c>
      <c r="H65" s="54">
        <f>IF(F65 &lt;&gt;".", ".", VLOOKUP($B65-1,AGtafelVrouw!$A$1:$FQ$122, MATCH(C$3+$B65,AGtafelVrouw!$A$1:$FQ$1,0),FALSE) )</f>
        <v>3.6260776999999999E-3</v>
      </c>
      <c r="I65" s="73">
        <f t="shared" si="2"/>
        <v>92761.066741860239</v>
      </c>
      <c r="K65" s="73" t="str">
        <f>IF(K$3+$B65&lt;=2020, HLOOKUP(K$3, CBStafelMan!$B$5:$CW$106, MATCH($A65,CBStafelMan!$A$5:$A$106,0),FALSE), ".")</f>
        <v>.</v>
      </c>
      <c r="L65" s="73">
        <f t="shared" si="3"/>
        <v>91675.849678491097</v>
      </c>
      <c r="M65" s="54">
        <f>IF(K65 &lt;&gt;".", ".", VLOOKUP($B65-1,AGtafelMan!$A$1:$FQ$122, MATCH(K$3+$B65,AGtafelMan!$A$1:$FQ$1,0),FALSE) )</f>
        <v>4.9212754999999999E-3</v>
      </c>
      <c r="N65" s="73" t="str">
        <f>IF(K$3+$B65&lt;=2020, HLOOKUP(K$3, CBStafelVrouw!$B$5:$CW$106, MATCH($A65,CBStafelVrouw!$A$5:$A$106,0),FALSE), ".")</f>
        <v>.</v>
      </c>
      <c r="O65" s="73">
        <f t="shared" si="4"/>
        <v>93870.145107590128</v>
      </c>
      <c r="P65" s="54">
        <f>IF(N65 &lt;&gt;".", ".", VLOOKUP($B65-1,AGtafelVrouw!$A$1:$FQ$122, MATCH(K$3+$B65,AGtafelVrouw!$A$1:$FQ$1,0),FALSE) )</f>
        <v>3.6260776999999999E-3</v>
      </c>
      <c r="Q65" s="73">
        <f t="shared" si="5"/>
        <v>92772.997393040612</v>
      </c>
    </row>
    <row r="66" spans="1:17" x14ac:dyDescent="0.25">
      <c r="A66" s="73" t="s">
        <v>64</v>
      </c>
      <c r="B66" s="73">
        <v>59</v>
      </c>
      <c r="C66" s="73" t="str">
        <f>IF(C$3+$B66&lt;=2020, HLOOKUP(C$3, CBStafelMan!$B$5:$CW$106, MATCH($A66,CBStafelMan!$A$5:$A$106,0),FALSE), ".")</f>
        <v>.</v>
      </c>
      <c r="D66" s="73">
        <f t="shared" si="7"/>
        <v>91155.705653691155</v>
      </c>
      <c r="E66" s="54">
        <f>IF(C66 &lt;&gt;".", ".", VLOOKUP($B66-1,AGtafelMan!$A$1:$FQ$122, MATCH(C$3+$B66-1,AGtafelMan!$A$1:$FQ$1,0),FALSE) )</f>
        <v>5.4148603999999998E-3</v>
      </c>
      <c r="F66" s="73" t="str">
        <f>IF(C$3+$B66&lt;=2020, HLOOKUP(C$3, CBStafelVrouw!$B$5:$CW$106, MATCH($A66,CBStafelVrouw!$A$5:$A$106,0),FALSE), ".")</f>
        <v>.</v>
      </c>
      <c r="G66" s="73">
        <f t="shared" si="9"/>
        <v>93502.883553003005</v>
      </c>
      <c r="H66" s="54">
        <f>IF(F66 &lt;&gt;".", ".", VLOOKUP($B66-1,AGtafelVrouw!$A$1:$FQ$122, MATCH(C$3+$B66,AGtafelVrouw!$A$1:$FQ$1,0),FALSE) )</f>
        <v>3.9124425999999997E-3</v>
      </c>
      <c r="I66" s="73">
        <f t="shared" si="2"/>
        <v>92329.29460334708</v>
      </c>
      <c r="K66" s="73" t="str">
        <f>IF(K$3+$B66&lt;=2020, HLOOKUP(K$3, CBStafelMan!$B$5:$CW$106, MATCH($A66,CBStafelMan!$A$5:$A$106,0),FALSE), ".")</f>
        <v>.</v>
      </c>
      <c r="L66" s="73">
        <f t="shared" si="3"/>
        <v>91188.868793455345</v>
      </c>
      <c r="M66" s="54">
        <f>IF(K66 &lt;&gt;".", ".", VLOOKUP($B66-1,AGtafelMan!$A$1:$FQ$122, MATCH(K$3+$B66,AGtafelMan!$A$1:$FQ$1,0),FALSE) )</f>
        <v>5.3119865999999996E-3</v>
      </c>
      <c r="N66" s="73" t="str">
        <f>IF(K$3+$B66&lt;=2020, HLOOKUP(K$3, CBStafelVrouw!$B$5:$CW$106, MATCH($A66,CBStafelVrouw!$A$5:$A$106,0),FALSE), ".")</f>
        <v>.</v>
      </c>
      <c r="O66" s="73">
        <f t="shared" si="4"/>
        <v>93502.883553003005</v>
      </c>
      <c r="P66" s="54">
        <f>IF(N66 &lt;&gt;".", ".", VLOOKUP($B66-1,AGtafelVrouw!$A$1:$FQ$122, MATCH(K$3+$B66,AGtafelVrouw!$A$1:$FQ$1,0),FALSE) )</f>
        <v>3.9124425999999997E-3</v>
      </c>
      <c r="Q66" s="73">
        <f t="shared" si="5"/>
        <v>92345.876173229175</v>
      </c>
    </row>
    <row r="67" spans="1:17" x14ac:dyDescent="0.25">
      <c r="A67" s="73" t="s">
        <v>63</v>
      </c>
      <c r="B67" s="73">
        <v>60</v>
      </c>
      <c r="C67" s="73" t="str">
        <f>IF(C$3+$B67&lt;=2020, HLOOKUP(C$3, CBStafelMan!$B$5:$CW$106, MATCH($A67,CBStafelMan!$A$5:$A$106,0),FALSE), ".")</f>
        <v>.</v>
      </c>
      <c r="D67" s="73">
        <f t="shared" si="7"/>
        <v>90626.031980523796</v>
      </c>
      <c r="E67" s="54">
        <f>IF(C67 &lt;&gt;".", ".", VLOOKUP($B67-1,AGtafelMan!$A$1:$FQ$122, MATCH(C$3+$B67-1,AGtafelMan!$A$1:$FQ$1,0),FALSE) )</f>
        <v>5.8106475000000001E-3</v>
      </c>
      <c r="F67" s="73" t="str">
        <f>IF(C$3+$B67&lt;=2020, HLOOKUP(C$3, CBStafelVrouw!$B$5:$CW$106, MATCH($A67,CBStafelVrouw!$A$5:$A$106,0),FALSE), ".")</f>
        <v>.</v>
      </c>
      <c r="G67" s="73">
        <f t="shared" si="9"/>
        <v>93112.998473713757</v>
      </c>
      <c r="H67" s="54">
        <f>IF(F67 &lt;&gt;".", ".", VLOOKUP($B67-1,AGtafelVrouw!$A$1:$FQ$122, MATCH(C$3+$B67,AGtafelVrouw!$A$1:$FQ$1,0),FALSE) )</f>
        <v>4.1697653000000003E-3</v>
      </c>
      <c r="I67" s="73">
        <f t="shared" si="2"/>
        <v>91869.515227118769</v>
      </c>
      <c r="K67" s="73" t="str">
        <f>IF(K$3+$B67&lt;=2020, HLOOKUP(K$3, CBStafelMan!$B$5:$CW$106, MATCH($A67,CBStafelMan!$A$5:$A$106,0),FALSE), ".")</f>
        <v>.</v>
      </c>
      <c r="L67" s="73">
        <f t="shared" si="3"/>
        <v>90669.327763942958</v>
      </c>
      <c r="M67" s="54">
        <f>IF(K67 &lt;&gt;".", ".", VLOOKUP($B67-1,AGtafelMan!$A$1:$FQ$122, MATCH(K$3+$B67,AGtafelMan!$A$1:$FQ$1,0),FALSE) )</f>
        <v>5.6974171999999998E-3</v>
      </c>
      <c r="N67" s="73" t="str">
        <f>IF(K$3+$B67&lt;=2020, HLOOKUP(K$3, CBStafelVrouw!$B$5:$CW$106, MATCH($A67,CBStafelVrouw!$A$5:$A$106,0),FALSE), ".")</f>
        <v>.</v>
      </c>
      <c r="O67" s="73">
        <f t="shared" si="4"/>
        <v>93112.998473713757</v>
      </c>
      <c r="P67" s="54">
        <f>IF(N67 &lt;&gt;".", ".", VLOOKUP($B67-1,AGtafelVrouw!$A$1:$FQ$122, MATCH(K$3+$B67,AGtafelVrouw!$A$1:$FQ$1,0),FALSE) )</f>
        <v>4.1697653000000003E-3</v>
      </c>
      <c r="Q67" s="73">
        <f t="shared" si="5"/>
        <v>91891.16311882835</v>
      </c>
    </row>
    <row r="68" spans="1:17" x14ac:dyDescent="0.25">
      <c r="A68" s="73" t="s">
        <v>62</v>
      </c>
      <c r="B68" s="73">
        <v>61</v>
      </c>
      <c r="C68" s="73" t="str">
        <f>IF(C$3+$B68&lt;=2020, HLOOKUP(C$3, CBStafelMan!$B$5:$CW$106, MATCH($A68,CBStafelMan!$A$5:$A$106,0),FALSE), ".")</f>
        <v>.</v>
      </c>
      <c r="D68" s="73">
        <f t="shared" si="7"/>
        <v>90051.477329181158</v>
      </c>
      <c r="E68" s="54">
        <f>IF(C68 &lt;&gt;".", ".", VLOOKUP($B68-1,AGtafelMan!$A$1:$FQ$122, MATCH(C$3+$B68-1,AGtafelMan!$A$1:$FQ$1,0),FALSE) )</f>
        <v>6.3398411999999998E-3</v>
      </c>
      <c r="F68" s="73" t="str">
        <f>IF(C$3+$B68&lt;=2020, HLOOKUP(C$3, CBStafelVrouw!$B$5:$CW$106, MATCH($A68,CBStafelVrouw!$A$5:$A$106,0),FALSE), ".")</f>
        <v>.</v>
      </c>
      <c r="G68" s="73">
        <f t="shared" si="9"/>
        <v>92687.539084113887</v>
      </c>
      <c r="H68" s="54">
        <f>IF(F68 &lt;&gt;".", ".", VLOOKUP($B68-1,AGtafelVrouw!$A$1:$FQ$122, MATCH(C$3+$B68,AGtafelVrouw!$A$1:$FQ$1,0),FALSE) )</f>
        <v>4.5692802999999999E-3</v>
      </c>
      <c r="I68" s="73">
        <f t="shared" si="2"/>
        <v>91369.50820664753</v>
      </c>
      <c r="K68" s="73" t="str">
        <f>IF(K$3+$B68&lt;=2020, HLOOKUP(K$3, CBStafelMan!$B$5:$CW$106, MATCH($A68,CBStafelMan!$A$5:$A$106,0),FALSE), ".")</f>
        <v>.</v>
      </c>
      <c r="L68" s="73">
        <f t="shared" si="3"/>
        <v>90105.604964040729</v>
      </c>
      <c r="M68" s="54">
        <f>IF(K68 &lt;&gt;".", ".", VLOOKUP($B68-1,AGtafelMan!$A$1:$FQ$122, MATCH(K$3+$B68,AGtafelMan!$A$1:$FQ$1,0),FALSE) )</f>
        <v>6.2173484000000003E-3</v>
      </c>
      <c r="N68" s="73" t="str">
        <f>IF(K$3+$B68&lt;=2020, HLOOKUP(K$3, CBStafelVrouw!$B$5:$CW$106, MATCH($A68,CBStafelVrouw!$A$5:$A$106,0),FALSE), ".")</f>
        <v>.</v>
      </c>
      <c r="O68" s="73">
        <f t="shared" si="4"/>
        <v>92687.539084113887</v>
      </c>
      <c r="P68" s="54">
        <f>IF(N68 &lt;&gt;".", ".", VLOOKUP($B68-1,AGtafelVrouw!$A$1:$FQ$122, MATCH(K$3+$B68,AGtafelVrouw!$A$1:$FQ$1,0),FALSE) )</f>
        <v>4.5692802999999999E-3</v>
      </c>
      <c r="Q68" s="73">
        <f t="shared" si="5"/>
        <v>91396.572024077308</v>
      </c>
    </row>
    <row r="69" spans="1:17" x14ac:dyDescent="0.25">
      <c r="A69" s="73" t="s">
        <v>61</v>
      </c>
      <c r="B69" s="73">
        <v>62</v>
      </c>
      <c r="C69" s="73" t="str">
        <f>IF(C$3+$B69&lt;=2020, HLOOKUP(C$3, CBStafelMan!$B$5:$CW$106, MATCH($A69,CBStafelMan!$A$5:$A$106,0),FALSE), ".")</f>
        <v>.</v>
      </c>
      <c r="D69" s="73">
        <f t="shared" si="7"/>
        <v>89440.071635175176</v>
      </c>
      <c r="E69" s="54">
        <f>IF(C69 &lt;&gt;".", ".", VLOOKUP($B69-1,AGtafelMan!$A$1:$FQ$122, MATCH(C$3+$B69-1,AGtafelMan!$A$1:$FQ$1,0),FALSE) )</f>
        <v>6.7895131999999997E-3</v>
      </c>
      <c r="F69" s="73" t="str">
        <f>IF(C$3+$B69&lt;=2020, HLOOKUP(C$3, CBStafelVrouw!$B$5:$CW$106, MATCH($A69,CBStafelVrouw!$A$5:$A$106,0),FALSE), ".")</f>
        <v>.</v>
      </c>
      <c r="G69" s="73">
        <f t="shared" si="9"/>
        <v>92235.32276318135</v>
      </c>
      <c r="H69" s="54">
        <f>IF(F69 &lt;&gt;".", ".", VLOOKUP($B69-1,AGtafelVrouw!$A$1:$FQ$122, MATCH(C$3+$B69,AGtafelVrouw!$A$1:$FQ$1,0),FALSE) )</f>
        <v>4.8789332999999999E-3</v>
      </c>
      <c r="I69" s="73">
        <f t="shared" si="2"/>
        <v>90837.697199178263</v>
      </c>
      <c r="K69" s="73" t="str">
        <f>IF(K$3+$B69&lt;=2020, HLOOKUP(K$3, CBStafelMan!$B$5:$CW$106, MATCH($A69,CBStafelMan!$A$5:$A$106,0),FALSE), ".")</f>
        <v>.</v>
      </c>
      <c r="L69" s="73">
        <f t="shared" si="3"/>
        <v>89505.526558190555</v>
      </c>
      <c r="M69" s="54">
        <f>IF(K69 &lt;&gt;".", ".", VLOOKUP($B69-1,AGtafelMan!$A$1:$FQ$122, MATCH(K$3+$B69,AGtafelMan!$A$1:$FQ$1,0),FALSE) )</f>
        <v>6.6597234000000003E-3</v>
      </c>
      <c r="N69" s="73" t="str">
        <f>IF(K$3+$B69&lt;=2020, HLOOKUP(K$3, CBStafelVrouw!$B$5:$CW$106, MATCH($A69,CBStafelVrouw!$A$5:$A$106,0),FALSE), ".")</f>
        <v>.</v>
      </c>
      <c r="O69" s="73">
        <f t="shared" si="4"/>
        <v>92235.32276318135</v>
      </c>
      <c r="P69" s="54">
        <f>IF(N69 &lt;&gt;".", ".", VLOOKUP($B69-1,AGtafelVrouw!$A$1:$FQ$122, MATCH(K$3+$B69,AGtafelVrouw!$A$1:$FQ$1,0),FALSE) )</f>
        <v>4.8789332999999999E-3</v>
      </c>
      <c r="Q69" s="73">
        <f t="shared" si="5"/>
        <v>90870.424660685952</v>
      </c>
    </row>
    <row r="70" spans="1:17" x14ac:dyDescent="0.25">
      <c r="A70" s="73" t="s">
        <v>60</v>
      </c>
      <c r="B70" s="73">
        <v>63</v>
      </c>
      <c r="C70" s="73" t="str">
        <f>IF(C$3+$B70&lt;=2020, HLOOKUP(C$3, CBStafelMan!$B$5:$CW$106, MATCH($A70,CBStafelMan!$A$5:$A$106,0),FALSE), ".")</f>
        <v>.</v>
      </c>
      <c r="D70" s="73">
        <f t="shared" si="7"/>
        <v>88783.193929766567</v>
      </c>
      <c r="E70" s="54">
        <f>IF(C70 &lt;&gt;".", ".", VLOOKUP($B70-1,AGtafelMan!$A$1:$FQ$122, MATCH(C$3+$B70-1,AGtafelMan!$A$1:$FQ$1,0),FALSE) )</f>
        <v>7.3443333999999999E-3</v>
      </c>
      <c r="F70" s="73" t="str">
        <f>IF(C$3+$B70&lt;=2020, HLOOKUP(C$3, CBStafelVrouw!$B$5:$CW$106, MATCH($A70,CBStafelVrouw!$A$5:$A$106,0),FALSE), ".")</f>
        <v>.</v>
      </c>
      <c r="G70" s="73">
        <f t="shared" si="9"/>
        <v>91758.37583689118</v>
      </c>
      <c r="H70" s="54">
        <f>IF(F70 &lt;&gt;".", ".", VLOOKUP($B70-1,AGtafelVrouw!$A$1:$FQ$122, MATCH(C$3+$B70,AGtafelVrouw!$A$1:$FQ$1,0),FALSE) )</f>
        <v>5.1709790999999996E-3</v>
      </c>
      <c r="I70" s="73">
        <f t="shared" si="2"/>
        <v>90270.784883328874</v>
      </c>
      <c r="K70" s="73" t="str">
        <f>IF(K$3+$B70&lt;=2020, HLOOKUP(K$3, CBStafelMan!$B$5:$CW$106, MATCH($A70,CBStafelMan!$A$5:$A$106,0),FALSE), ".")</f>
        <v>.</v>
      </c>
      <c r="L70" s="73">
        <f t="shared" si="3"/>
        <v>88861.063692446842</v>
      </c>
      <c r="M70" s="54">
        <f>IF(K70 &lt;&gt;".", ".", VLOOKUP($B70-1,AGtafelMan!$A$1:$FQ$122, MATCH(K$3+$B70,AGtafelMan!$A$1:$FQ$1,0),FALSE) )</f>
        <v>7.2002578000000001E-3</v>
      </c>
      <c r="N70" s="73" t="str">
        <f>IF(K$3+$B70&lt;=2020, HLOOKUP(K$3, CBStafelVrouw!$B$5:$CW$106, MATCH($A70,CBStafelVrouw!$A$5:$A$106,0),FALSE), ".")</f>
        <v>.</v>
      </c>
      <c r="O70" s="73">
        <f t="shared" si="4"/>
        <v>91758.37583689118</v>
      </c>
      <c r="P70" s="54">
        <f>IF(N70 &lt;&gt;".", ".", VLOOKUP($B70-1,AGtafelVrouw!$A$1:$FQ$122, MATCH(K$3+$B70,AGtafelVrouw!$A$1:$FQ$1,0),FALSE) )</f>
        <v>5.1709790999999996E-3</v>
      </c>
      <c r="Q70" s="73">
        <f t="shared" si="5"/>
        <v>90309.719764669018</v>
      </c>
    </row>
    <row r="71" spans="1:17" x14ac:dyDescent="0.25">
      <c r="A71" s="73" t="s">
        <v>59</v>
      </c>
      <c r="B71" s="73">
        <v>64</v>
      </c>
      <c r="C71" s="73" t="str">
        <f>IF(C$3+$B71&lt;=2020, HLOOKUP(C$3, CBStafelMan!$B$5:$CW$106, MATCH($A71,CBStafelMan!$A$5:$A$106,0),FALSE), ".")</f>
        <v>.</v>
      </c>
      <c r="D71" s="73">
        <f t="shared" si="7"/>
        <v>88077.021967199194</v>
      </c>
      <c r="E71" s="54">
        <f>IF(C71 &lt;&gt;".", ".", VLOOKUP($B71-1,AGtafelMan!$A$1:$FQ$122, MATCH(C$3+$B71-1,AGtafelMan!$A$1:$FQ$1,0),FALSE) )</f>
        <v>7.9538922999999994E-3</v>
      </c>
      <c r="F71" s="73" t="str">
        <f>IF(C$3+$B71&lt;=2020, HLOOKUP(C$3, CBStafelVrouw!$B$5:$CW$106, MATCH($A71,CBStafelVrouw!$A$5:$A$106,0),FALSE), ".")</f>
        <v>.</v>
      </c>
      <c r="G71" s="73">
        <f t="shared" si="9"/>
        <v>91258.403789621589</v>
      </c>
      <c r="H71" s="54">
        <f>IF(F71 &lt;&gt;".", ".", VLOOKUP($B71-1,AGtafelVrouw!$A$1:$FQ$122, MATCH(C$3+$B71,AGtafelVrouw!$A$1:$FQ$1,0),FALSE) )</f>
        <v>5.4487892E-3</v>
      </c>
      <c r="I71" s="73">
        <f t="shared" ref="I71:I127" si="10">AVERAGE(D71,G71)</f>
        <v>89667.712878410384</v>
      </c>
      <c r="K71" s="73" t="str">
        <f>IF(K$3+$B71&lt;=2020, HLOOKUP(K$3, CBStafelMan!$B$5:$CW$106, MATCH($A71,CBStafelMan!$A$5:$A$106,0),FALSE), ".")</f>
        <v>.</v>
      </c>
      <c r="L71" s="73">
        <f t="shared" ref="L71:L127" si="11">IF(K71 &lt;&gt;".", K71, L70*(1-M71))</f>
        <v>88168.056463715344</v>
      </c>
      <c r="M71" s="54">
        <f>IF(K71 &lt;&gt;".", ".", VLOOKUP($B71-1,AGtafelMan!$A$1:$FQ$122, MATCH(K$3+$B71,AGtafelMan!$A$1:$FQ$1,0),FALSE) )</f>
        <v>7.7987726E-3</v>
      </c>
      <c r="N71" s="73" t="str">
        <f>IF(K$3+$B71&lt;=2020, HLOOKUP(K$3, CBStafelVrouw!$B$5:$CW$106, MATCH($A71,CBStafelVrouw!$A$5:$A$106,0),FALSE), ".")</f>
        <v>.</v>
      </c>
      <c r="O71" s="73">
        <f t="shared" ref="O71:O127" si="12">IF(N71 &lt;&gt;".", N71, O70*(1-P71))</f>
        <v>91258.403789621589</v>
      </c>
      <c r="P71" s="54">
        <f>IF(N71 &lt;&gt;".", ".", VLOOKUP($B71-1,AGtafelVrouw!$A$1:$FQ$122, MATCH(K$3+$B71,AGtafelVrouw!$A$1:$FQ$1,0),FALSE) )</f>
        <v>5.4487892E-3</v>
      </c>
      <c r="Q71" s="73">
        <f t="shared" ref="Q71:Q127" si="13">AVERAGE(L71,O71)</f>
        <v>89713.230126668466</v>
      </c>
    </row>
    <row r="72" spans="1:17" x14ac:dyDescent="0.25">
      <c r="A72" s="73" t="s">
        <v>58</v>
      </c>
      <c r="B72" s="73">
        <v>65</v>
      </c>
      <c r="C72" s="73" t="str">
        <f>IF(C$3+$B72&lt;=2020, HLOOKUP(C$3, CBStafelMan!$B$5:$CW$106, MATCH($A72,CBStafelMan!$A$5:$A$106,0),FALSE), ".")</f>
        <v>.</v>
      </c>
      <c r="D72" s="73">
        <f t="shared" si="7"/>
        <v>87325.523845939315</v>
      </c>
      <c r="E72" s="54">
        <f>IF(C72 &lt;&gt;".", ".", VLOOKUP($B72-1,AGtafelMan!$A$1:$FQ$122, MATCH(C$3+$B72-1,AGtafelMan!$A$1:$FQ$1,0),FALSE) )</f>
        <v>8.5322834999999996E-3</v>
      </c>
      <c r="F72" s="73" t="str">
        <f>IF(C$3+$B72&lt;=2020, HLOOKUP(C$3, CBStafelVrouw!$B$5:$CW$106, MATCH($A72,CBStafelVrouw!$A$5:$A$106,0),FALSE), ".")</f>
        <v>.</v>
      </c>
      <c r="G72" s="73">
        <f t="shared" si="9"/>
        <v>90732.332483224367</v>
      </c>
      <c r="H72" s="54">
        <f>IF(F72 &lt;&gt;".", ".", VLOOKUP($B72-1,AGtafelVrouw!$A$1:$FQ$122, MATCH(C$3+$B72,AGtafelVrouw!$A$1:$FQ$1,0),FALSE) )</f>
        <v>5.7646340999999999E-3</v>
      </c>
      <c r="I72" s="73">
        <f t="shared" si="10"/>
        <v>89028.928164581841</v>
      </c>
      <c r="K72" s="73" t="str">
        <f>IF(K$3+$B72&lt;=2020, HLOOKUP(K$3, CBStafelMan!$B$5:$CW$106, MATCH($A72,CBStafelMan!$A$5:$A$106,0),FALSE), ".")</f>
        <v>.</v>
      </c>
      <c r="L72" s="73">
        <f t="shared" si="11"/>
        <v>87430.411247763885</v>
      </c>
      <c r="M72" s="54">
        <f>IF(K72 &lt;&gt;".", ".", VLOOKUP($B72-1,AGtafelMan!$A$1:$FQ$122, MATCH(K$3+$B72,AGtafelMan!$A$1:$FQ$1,0),FALSE) )</f>
        <v>8.3663544999999992E-3</v>
      </c>
      <c r="N72" s="73" t="str">
        <f>IF(K$3+$B72&lt;=2020, HLOOKUP(K$3, CBStafelVrouw!$B$5:$CW$106, MATCH($A72,CBStafelVrouw!$A$5:$A$106,0),FALSE), ".")</f>
        <v>.</v>
      </c>
      <c r="O72" s="73">
        <f t="shared" si="12"/>
        <v>90732.332483224367</v>
      </c>
      <c r="P72" s="54">
        <f>IF(N72 &lt;&gt;".", ".", VLOOKUP($B72-1,AGtafelVrouw!$A$1:$FQ$122, MATCH(K$3+$B72,AGtafelVrouw!$A$1:$FQ$1,0),FALSE) )</f>
        <v>5.7646340999999999E-3</v>
      </c>
      <c r="Q72" s="73">
        <f t="shared" si="13"/>
        <v>89081.371865494119</v>
      </c>
    </row>
    <row r="73" spans="1:17" x14ac:dyDescent="0.25">
      <c r="A73" s="73" t="s">
        <v>57</v>
      </c>
      <c r="B73" s="73">
        <v>66</v>
      </c>
      <c r="C73" s="73" t="str">
        <f>IF(C$3+$B73&lt;=2020, HLOOKUP(C$3, CBStafelMan!$B$5:$CW$106, MATCH($A73,CBStafelMan!$A$5:$A$106,0),FALSE), ".")</f>
        <v>.</v>
      </c>
      <c r="D73" s="73">
        <f t="shared" si="7"/>
        <v>86521.949284430942</v>
      </c>
      <c r="E73" s="54">
        <f>IF(C73 &lt;&gt;".", ".", VLOOKUP($B73-1,AGtafelMan!$A$1:$FQ$122, MATCH(C$3+$B73-1,AGtafelMan!$A$1:$FQ$1,0),FALSE) )</f>
        <v>9.2020582999999996E-3</v>
      </c>
      <c r="F73" s="73" t="str">
        <f>IF(C$3+$B73&lt;=2020, HLOOKUP(C$3, CBStafelVrouw!$B$5:$CW$106, MATCH($A73,CBStafelVrouw!$A$5:$A$106,0),FALSE), ".")</f>
        <v>.</v>
      </c>
      <c r="G73" s="73">
        <f t="shared" si="9"/>
        <v>90175.417136098869</v>
      </c>
      <c r="H73" s="54">
        <f>IF(F73 &lt;&gt;".", ".", VLOOKUP($B73-1,AGtafelVrouw!$A$1:$FQ$122, MATCH(C$3+$B73,AGtafelVrouw!$A$1:$FQ$1,0),FALSE) )</f>
        <v>6.1380031999999996E-3</v>
      </c>
      <c r="I73" s="73">
        <f t="shared" si="10"/>
        <v>88348.683210264906</v>
      </c>
      <c r="K73" s="73" t="str">
        <f>IF(K$3+$B73&lt;=2020, HLOOKUP(K$3, CBStafelMan!$B$5:$CW$106, MATCH($A73,CBStafelMan!$A$5:$A$106,0),FALSE), ".")</f>
        <v>.</v>
      </c>
      <c r="L73" s="73">
        <f t="shared" si="11"/>
        <v>86641.973757455387</v>
      </c>
      <c r="M73" s="54">
        <f>IF(K73 &lt;&gt;".", ".", VLOOKUP($B73-1,AGtafelMan!$A$1:$FQ$122, MATCH(K$3+$B73,AGtafelMan!$A$1:$FQ$1,0),FALSE) )</f>
        <v>9.0178861000000006E-3</v>
      </c>
      <c r="N73" s="73" t="str">
        <f>IF(K$3+$B73&lt;=2020, HLOOKUP(K$3, CBStafelVrouw!$B$5:$CW$106, MATCH($A73,CBStafelVrouw!$A$5:$A$106,0),FALSE), ".")</f>
        <v>.</v>
      </c>
      <c r="O73" s="73">
        <f t="shared" si="12"/>
        <v>90175.417136098869</v>
      </c>
      <c r="P73" s="54">
        <f>IF(N73 &lt;&gt;".", ".", VLOOKUP($B73-1,AGtafelVrouw!$A$1:$FQ$122, MATCH(K$3+$B73,AGtafelVrouw!$A$1:$FQ$1,0),FALSE) )</f>
        <v>6.1380031999999996E-3</v>
      </c>
      <c r="Q73" s="73">
        <f t="shared" si="13"/>
        <v>88408.695446777128</v>
      </c>
    </row>
    <row r="74" spans="1:17" x14ac:dyDescent="0.25">
      <c r="A74" s="73" t="s">
        <v>56</v>
      </c>
      <c r="B74" s="73">
        <v>67</v>
      </c>
      <c r="C74" s="73" t="str">
        <f>IF(C$3+$B74&lt;=2020, HLOOKUP(C$3, CBStafelMan!$B$5:$CW$106, MATCH($A74,CBStafelMan!$A$5:$A$106,0),FALSE), ".")</f>
        <v>.</v>
      </c>
      <c r="D74" s="73">
        <f t="shared" si="7"/>
        <v>85660.428734701462</v>
      </c>
      <c r="E74" s="54">
        <f>IF(C74 &lt;&gt;".", ".", VLOOKUP($B74-1,AGtafelMan!$A$1:$FQ$122, MATCH(C$3+$B74-1,AGtafelMan!$A$1:$FQ$1,0),FALSE) )</f>
        <v>9.9572484999999999E-3</v>
      </c>
      <c r="F74" s="73" t="str">
        <f>IF(C$3+$B74&lt;=2020, HLOOKUP(C$3, CBStafelVrouw!$B$5:$CW$106, MATCH($A74,CBStafelVrouw!$A$5:$A$106,0),FALSE), ".")</f>
        <v>.</v>
      </c>
      <c r="G74" s="73">
        <f t="shared" si="9"/>
        <v>89582.909566369912</v>
      </c>
      <c r="H74" s="54">
        <f>IF(F74 &lt;&gt;".", ".", VLOOKUP($B74-1,AGtafelVrouw!$A$1:$FQ$122, MATCH(C$3+$B74,AGtafelVrouw!$A$1:$FQ$1,0),FALSE) )</f>
        <v>6.5706107999999996E-3</v>
      </c>
      <c r="I74" s="73">
        <f t="shared" si="10"/>
        <v>87621.669150535687</v>
      </c>
      <c r="K74" s="73" t="str">
        <f>IF(K$3+$B74&lt;=2020, HLOOKUP(K$3, CBStafelMan!$B$5:$CW$106, MATCH($A74,CBStafelMan!$A$5:$A$106,0),FALSE), ".")</f>
        <v>.</v>
      </c>
      <c r="L74" s="73">
        <f t="shared" si="11"/>
        <v>85796.314831728901</v>
      </c>
      <c r="M74" s="54">
        <f>IF(K74 &lt;&gt;".", ".", VLOOKUP($B74-1,AGtafelMan!$A$1:$FQ$122, MATCH(K$3+$B74,AGtafelMan!$A$1:$FQ$1,0),FALSE) )</f>
        <v>9.7603839000000008E-3</v>
      </c>
      <c r="N74" s="73" t="str">
        <f>IF(K$3+$B74&lt;=2020, HLOOKUP(K$3, CBStafelVrouw!$B$5:$CW$106, MATCH($A74,CBStafelVrouw!$A$5:$A$106,0),FALSE), ".")</f>
        <v>.</v>
      </c>
      <c r="O74" s="73">
        <f t="shared" si="12"/>
        <v>89582.909566369912</v>
      </c>
      <c r="P74" s="54">
        <f>IF(N74 &lt;&gt;".", ".", VLOOKUP($B74-1,AGtafelVrouw!$A$1:$FQ$122, MATCH(K$3+$B74,AGtafelVrouw!$A$1:$FQ$1,0),FALSE) )</f>
        <v>6.5706107999999996E-3</v>
      </c>
      <c r="Q74" s="73">
        <f t="shared" si="13"/>
        <v>87689.612199049414</v>
      </c>
    </row>
    <row r="75" spans="1:17" x14ac:dyDescent="0.25">
      <c r="A75" s="73" t="s">
        <v>55</v>
      </c>
      <c r="B75" s="73">
        <v>68</v>
      </c>
      <c r="C75" s="73" t="str">
        <f>IF(C$3+$B75&lt;=2020, HLOOKUP(C$3, CBStafelMan!$B$5:$CW$106, MATCH($A75,CBStafelMan!$A$5:$A$106,0),FALSE), ".")</f>
        <v>.</v>
      </c>
      <c r="D75" s="73">
        <f t="shared" si="7"/>
        <v>84752.555130302964</v>
      </c>
      <c r="E75" s="54">
        <f>IF(C75 &lt;&gt;".", ".", VLOOKUP($B75-1,AGtafelMan!$A$1:$FQ$122, MATCH(C$3+$B75-1,AGtafelMan!$A$1:$FQ$1,0),FALSE) )</f>
        <v>1.0598518100000001E-2</v>
      </c>
      <c r="F75" s="73" t="str">
        <f>IF(C$3+$B75&lt;=2020, HLOOKUP(C$3, CBStafelVrouw!$B$5:$CW$106, MATCH($A75,CBStafelVrouw!$A$5:$A$106,0),FALSE), ".")</f>
        <v>.</v>
      </c>
      <c r="G75" s="73">
        <f t="shared" si="9"/>
        <v>88964.259551401017</v>
      </c>
      <c r="H75" s="54">
        <f>IF(F75 &lt;&gt;".", ".", VLOOKUP($B75-1,AGtafelVrouw!$A$1:$FQ$122, MATCH(C$3+$B75,AGtafelVrouw!$A$1:$FQ$1,0),FALSE) )</f>
        <v>6.9058933000000003E-3</v>
      </c>
      <c r="I75" s="73">
        <f t="shared" si="10"/>
        <v>86858.407340851991</v>
      </c>
      <c r="K75" s="73" t="str">
        <f>IF(K$3+$B75&lt;=2020, HLOOKUP(K$3, CBStafelMan!$B$5:$CW$106, MATCH($A75,CBStafelMan!$A$5:$A$106,0),FALSE), ".")</f>
        <v>.</v>
      </c>
      <c r="L75" s="73">
        <f t="shared" si="11"/>
        <v>84905.395242613929</v>
      </c>
      <c r="M75" s="54">
        <f>IF(K75 &lt;&gt;".", ".", VLOOKUP($B75-1,AGtafelMan!$A$1:$FQ$122, MATCH(K$3+$B75,AGtafelMan!$A$1:$FQ$1,0),FALSE) )</f>
        <v>1.0384124200000001E-2</v>
      </c>
      <c r="N75" s="73" t="str">
        <f>IF(K$3+$B75&lt;=2020, HLOOKUP(K$3, CBStafelVrouw!$B$5:$CW$106, MATCH($A75,CBStafelVrouw!$A$5:$A$106,0),FALSE), ".")</f>
        <v>.</v>
      </c>
      <c r="O75" s="73">
        <f t="shared" si="12"/>
        <v>88964.259551401017</v>
      </c>
      <c r="P75" s="54">
        <f>IF(N75 &lt;&gt;".", ".", VLOOKUP($B75-1,AGtafelVrouw!$A$1:$FQ$122, MATCH(K$3+$B75,AGtafelVrouw!$A$1:$FQ$1,0),FALSE) )</f>
        <v>6.9058933000000003E-3</v>
      </c>
      <c r="Q75" s="73">
        <f t="shared" si="13"/>
        <v>86934.827397007466</v>
      </c>
    </row>
    <row r="76" spans="1:17" x14ac:dyDescent="0.25">
      <c r="A76" s="73" t="s">
        <v>54</v>
      </c>
      <c r="B76" s="73">
        <v>69</v>
      </c>
      <c r="C76" s="73" t="str">
        <f>IF(C$3+$B76&lt;=2020, HLOOKUP(C$3, CBStafelMan!$B$5:$CW$106, MATCH($A76,CBStafelMan!$A$5:$A$106,0),FALSE), ".")</f>
        <v>.</v>
      </c>
      <c r="D76" s="73">
        <f t="shared" si="7"/>
        <v>83779.390789451485</v>
      </c>
      <c r="E76" s="54">
        <f>IF(C76 &lt;&gt;".", ".", VLOOKUP($B76-1,AGtafelMan!$A$1:$FQ$122, MATCH(C$3+$B76-1,AGtafelMan!$A$1:$FQ$1,0),FALSE) )</f>
        <v>1.1482418899999999E-2</v>
      </c>
      <c r="F76" s="73" t="str">
        <f>IF(C$3+$B76&lt;=2020, HLOOKUP(C$3, CBStafelVrouw!$B$5:$CW$106, MATCH($A76,CBStafelVrouw!$A$5:$A$106,0),FALSE), ".")</f>
        <v>.</v>
      </c>
      <c r="G76" s="73">
        <f t="shared" si="9"/>
        <v>88294.787982909853</v>
      </c>
      <c r="H76" s="54">
        <f>IF(F76 &lt;&gt;".", ".", VLOOKUP($B76-1,AGtafelVrouw!$A$1:$FQ$122, MATCH(C$3+$B76,AGtafelVrouw!$A$1:$FQ$1,0),FALSE) )</f>
        <v>7.5251744000000001E-3</v>
      </c>
      <c r="I76" s="73">
        <f t="shared" si="10"/>
        <v>86037.089386180669</v>
      </c>
      <c r="K76" s="73" t="str">
        <f>IF(K$3+$B76&lt;=2020, HLOOKUP(K$3, CBStafelMan!$B$5:$CW$106, MATCH($A76,CBStafelMan!$A$5:$A$106,0),FALSE), ".")</f>
        <v>.</v>
      </c>
      <c r="L76" s="73">
        <f t="shared" si="11"/>
        <v>83950.257016741001</v>
      </c>
      <c r="M76" s="54">
        <f>IF(K76 &lt;&gt;".", ".", VLOOKUP($B76-1,AGtafelMan!$A$1:$FQ$122, MATCH(K$3+$B76,AGtafelMan!$A$1:$FQ$1,0),FALSE) )</f>
        <v>1.1249440899999999E-2</v>
      </c>
      <c r="N76" s="73" t="str">
        <f>IF(K$3+$B76&lt;=2020, HLOOKUP(K$3, CBStafelVrouw!$B$5:$CW$106, MATCH($A76,CBStafelVrouw!$A$5:$A$106,0),FALSE), ".")</f>
        <v>.</v>
      </c>
      <c r="O76" s="73">
        <f t="shared" si="12"/>
        <v>88294.787982909853</v>
      </c>
      <c r="P76" s="54">
        <f>IF(N76 &lt;&gt;".", ".", VLOOKUP($B76-1,AGtafelVrouw!$A$1:$FQ$122, MATCH(K$3+$B76,AGtafelVrouw!$A$1:$FQ$1,0),FALSE) )</f>
        <v>7.5251744000000001E-3</v>
      </c>
      <c r="Q76" s="73">
        <f t="shared" si="13"/>
        <v>86122.522499825427</v>
      </c>
    </row>
    <row r="77" spans="1:17" x14ac:dyDescent="0.25">
      <c r="A77" s="73" t="s">
        <v>53</v>
      </c>
      <c r="B77" s="73">
        <v>70</v>
      </c>
      <c r="C77" s="73" t="str">
        <f>IF(C$3+$B77&lt;=2020, HLOOKUP(C$3, CBStafelMan!$B$5:$CW$106, MATCH($A77,CBStafelMan!$A$5:$A$106,0),FALSE), ".")</f>
        <v>.</v>
      </c>
      <c r="D77" s="73">
        <f t="shared" si="7"/>
        <v>82737.178871079785</v>
      </c>
      <c r="E77" s="54">
        <f>IF(C77 &lt;&gt;".", ".", VLOOKUP($B77-1,AGtafelMan!$A$1:$FQ$122, MATCH(C$3+$B77-1,AGtafelMan!$A$1:$FQ$1,0),FALSE) )</f>
        <v>1.2439955799999999E-2</v>
      </c>
      <c r="F77" s="73" t="str">
        <f>IF(C$3+$B77&lt;=2020, HLOOKUP(C$3, CBStafelVrouw!$B$5:$CW$106, MATCH($A77,CBStafelVrouw!$A$5:$A$106,0),FALSE), ".")</f>
        <v>.</v>
      </c>
      <c r="G77" s="73">
        <f t="shared" si="9"/>
        <v>87584.942237999261</v>
      </c>
      <c r="H77" s="54">
        <f>IF(F77 &lt;&gt;".", ".", VLOOKUP($B77-1,AGtafelVrouw!$A$1:$FQ$122, MATCH(C$3+$B77,AGtafelVrouw!$A$1:$FQ$1,0),FALSE) )</f>
        <v>8.0394977000000003E-3</v>
      </c>
      <c r="I77" s="73">
        <f t="shared" si="10"/>
        <v>85161.060554539523</v>
      </c>
      <c r="K77" s="73" t="str">
        <f>IF(K$3+$B77&lt;=2020, HLOOKUP(K$3, CBStafelMan!$B$5:$CW$106, MATCH($A77,CBStafelMan!$A$5:$A$106,0),FALSE), ".")</f>
        <v>.</v>
      </c>
      <c r="L77" s="73">
        <f t="shared" si="11"/>
        <v>82927.009815842772</v>
      </c>
      <c r="M77" s="54">
        <f>IF(K77 &lt;&gt;".", ".", VLOOKUP($B77-1,AGtafelMan!$A$1:$FQ$122, MATCH(K$3+$B77,AGtafelMan!$A$1:$FQ$1,0),FALSE) )</f>
        <v>1.21887322E-2</v>
      </c>
      <c r="N77" s="73" t="str">
        <f>IF(K$3+$B77&lt;=2020, HLOOKUP(K$3, CBStafelVrouw!$B$5:$CW$106, MATCH($A77,CBStafelVrouw!$A$5:$A$106,0),FALSE), ".")</f>
        <v>.</v>
      </c>
      <c r="O77" s="73">
        <f t="shared" si="12"/>
        <v>87584.942237999261</v>
      </c>
      <c r="P77" s="54">
        <f>IF(N77 &lt;&gt;".", ".", VLOOKUP($B77-1,AGtafelVrouw!$A$1:$FQ$122, MATCH(K$3+$B77,AGtafelVrouw!$A$1:$FQ$1,0),FALSE) )</f>
        <v>8.0394977000000003E-3</v>
      </c>
      <c r="Q77" s="73">
        <f t="shared" si="13"/>
        <v>85255.976026921009</v>
      </c>
    </row>
    <row r="78" spans="1:17" x14ac:dyDescent="0.25">
      <c r="A78" s="73" t="s">
        <v>52</v>
      </c>
      <c r="B78" s="73">
        <v>71</v>
      </c>
      <c r="C78" s="73" t="str">
        <f>IF(C$3+$B78&lt;=2020, HLOOKUP(C$3, CBStafelMan!$B$5:$CW$106, MATCH($A78,CBStafelMan!$A$5:$A$106,0),FALSE), ".")</f>
        <v>.</v>
      </c>
      <c r="D78" s="73">
        <f t="shared" si="7"/>
        <v>81633.517757449445</v>
      </c>
      <c r="E78" s="54">
        <f>IF(C78 &lt;&gt;".", ".", VLOOKUP($B78-1,AGtafelMan!$A$1:$FQ$122, MATCH(C$3+$B78-1,AGtafelMan!$A$1:$FQ$1,0),FALSE) )</f>
        <v>1.33393612E-2</v>
      </c>
      <c r="F78" s="73" t="str">
        <f>IF(C$3+$B78&lt;=2020, HLOOKUP(C$3, CBStafelVrouw!$B$5:$CW$106, MATCH($A78,CBStafelVrouw!$A$5:$A$106,0),FALSE), ".")</f>
        <v>.</v>
      </c>
      <c r="G78" s="73">
        <f t="shared" si="9"/>
        <v>86829.393702912712</v>
      </c>
      <c r="H78" s="54">
        <f>IF(F78 &lt;&gt;".", ".", VLOOKUP($B78-1,AGtafelVrouw!$A$1:$FQ$122, MATCH(C$3+$B78,AGtafelVrouw!$A$1:$FQ$1,0),FALSE) )</f>
        <v>8.6264661000000006E-3</v>
      </c>
      <c r="I78" s="73">
        <f t="shared" si="10"/>
        <v>84231.455730181071</v>
      </c>
      <c r="K78" s="73" t="str">
        <f>IF(K$3+$B78&lt;=2020, HLOOKUP(K$3, CBStafelMan!$B$5:$CW$106, MATCH($A78,CBStafelMan!$A$5:$A$106,0),FALSE), ".")</f>
        <v>.</v>
      </c>
      <c r="L78" s="73">
        <f t="shared" si="11"/>
        <v>81843.253757767336</v>
      </c>
      <c r="M78" s="54">
        <f>IF(K78 &lt;&gt;".", ".", VLOOKUP($B78-1,AGtafelMan!$A$1:$FQ$122, MATCH(K$3+$B78,AGtafelMan!$A$1:$FQ$1,0),FALSE) )</f>
        <v>1.3068794599999999E-2</v>
      </c>
      <c r="N78" s="73" t="str">
        <f>IF(K$3+$B78&lt;=2020, HLOOKUP(K$3, CBStafelVrouw!$B$5:$CW$106, MATCH($A78,CBStafelVrouw!$A$5:$A$106,0),FALSE), ".")</f>
        <v>.</v>
      </c>
      <c r="O78" s="73">
        <f t="shared" si="12"/>
        <v>86829.393702912712</v>
      </c>
      <c r="P78" s="54">
        <f>IF(N78 &lt;&gt;".", ".", VLOOKUP($B78-1,AGtafelVrouw!$A$1:$FQ$122, MATCH(K$3+$B78,AGtafelVrouw!$A$1:$FQ$1,0),FALSE) )</f>
        <v>8.6264661000000006E-3</v>
      </c>
      <c r="Q78" s="73">
        <f t="shared" si="13"/>
        <v>84336.323730340024</v>
      </c>
    </row>
    <row r="79" spans="1:17" x14ac:dyDescent="0.25">
      <c r="A79" s="73" t="s">
        <v>51</v>
      </c>
      <c r="B79" s="73">
        <v>72</v>
      </c>
      <c r="C79" s="73" t="str">
        <f>IF(C$3+$B79&lt;=2020, HLOOKUP(C$3, CBStafelMan!$B$5:$CW$106, MATCH($A79,CBStafelMan!$A$5:$A$106,0),FALSE), ".")</f>
        <v>.</v>
      </c>
      <c r="D79" s="73">
        <f t="shared" si="7"/>
        <v>80433.115564738371</v>
      </c>
      <c r="E79" s="54">
        <f>IF(C79 &lt;&gt;".", ".", VLOOKUP($B79-1,AGtafelMan!$A$1:$FQ$122, MATCH(C$3+$B79-1,AGtafelMan!$A$1:$FQ$1,0),FALSE) )</f>
        <v>1.47047711E-2</v>
      </c>
      <c r="F79" s="73" t="str">
        <f>IF(C$3+$B79&lt;=2020, HLOOKUP(C$3, CBStafelVrouw!$B$5:$CW$106, MATCH($A79,CBStafelVrouw!$A$5:$A$106,0),FALSE), ".")</f>
        <v>.</v>
      </c>
      <c r="G79" s="73">
        <f t="shared" si="9"/>
        <v>86019.348761038695</v>
      </c>
      <c r="H79" s="54">
        <f>IF(F79 &lt;&gt;".", ".", VLOOKUP($B79-1,AGtafelVrouw!$A$1:$FQ$122, MATCH(C$3+$B79,AGtafelVrouw!$A$1:$FQ$1,0),FALSE) )</f>
        <v>9.3291558000000007E-3</v>
      </c>
      <c r="I79" s="73">
        <f t="shared" si="10"/>
        <v>83226.23216288854</v>
      </c>
      <c r="K79" s="73" t="str">
        <f>IF(K$3+$B79&lt;=2020, HLOOKUP(K$3, CBStafelMan!$B$5:$CW$106, MATCH($A79,CBStafelMan!$A$5:$A$106,0),FALSE), ".")</f>
        <v>.</v>
      </c>
      <c r="L79" s="73">
        <f t="shared" si="11"/>
        <v>80663.53085488551</v>
      </c>
      <c r="M79" s="54">
        <f>IF(K79 &lt;&gt;".", ".", VLOOKUP($B79-1,AGtafelMan!$A$1:$FQ$122, MATCH(K$3+$B79,AGtafelMan!$A$1:$FQ$1,0),FALSE) )</f>
        <v>1.44144184E-2</v>
      </c>
      <c r="N79" s="73" t="str">
        <f>IF(K$3+$B79&lt;=2020, HLOOKUP(K$3, CBStafelVrouw!$B$5:$CW$106, MATCH($A79,CBStafelVrouw!$A$5:$A$106,0),FALSE), ".")</f>
        <v>.</v>
      </c>
      <c r="O79" s="73">
        <f t="shared" si="12"/>
        <v>86019.348761038695</v>
      </c>
      <c r="P79" s="54">
        <f>IF(N79 &lt;&gt;".", ".", VLOOKUP($B79-1,AGtafelVrouw!$A$1:$FQ$122, MATCH(K$3+$B79,AGtafelVrouw!$A$1:$FQ$1,0),FALSE) )</f>
        <v>9.3291558000000007E-3</v>
      </c>
      <c r="Q79" s="73">
        <f t="shared" si="13"/>
        <v>83341.439807962102</v>
      </c>
    </row>
    <row r="80" spans="1:17" x14ac:dyDescent="0.25">
      <c r="A80" s="73" t="s">
        <v>50</v>
      </c>
      <c r="B80" s="73">
        <v>73</v>
      </c>
      <c r="C80" s="73" t="str">
        <f>IF(C$3+$B80&lt;=2020, HLOOKUP(C$3, CBStafelMan!$B$5:$CW$106, MATCH($A80,CBStafelMan!$A$5:$A$106,0),FALSE), ".")</f>
        <v>.</v>
      </c>
      <c r="D80" s="73">
        <f t="shared" si="7"/>
        <v>79142.441497869833</v>
      </c>
      <c r="E80" s="54">
        <f>IF(C80 &lt;&gt;".", ".", VLOOKUP($B80-1,AGtafelMan!$A$1:$FQ$122, MATCH(C$3+$B80-1,AGtafelMan!$A$1:$FQ$1,0),FALSE) )</f>
        <v>1.6046550699999999E-2</v>
      </c>
      <c r="F80" s="73" t="str">
        <f>IF(C$3+$B80&lt;=2020, HLOOKUP(C$3, CBStafelVrouw!$B$5:$CW$106, MATCH($A80,CBStafelVrouw!$A$5:$A$106,0),FALSE), ".")</f>
        <v>.</v>
      </c>
      <c r="G80" s="73">
        <f t="shared" si="9"/>
        <v>85161.234533126568</v>
      </c>
      <c r="H80" s="54">
        <f>IF(F80 &lt;&gt;".", ".", VLOOKUP($B80-1,AGtafelVrouw!$A$1:$FQ$122, MATCH(C$3+$B80,AGtafelVrouw!$A$1:$FQ$1,0),FALSE) )</f>
        <v>9.9758280000000008E-3</v>
      </c>
      <c r="I80" s="73">
        <f t="shared" si="10"/>
        <v>82151.838015498201</v>
      </c>
      <c r="K80" s="73" t="str">
        <f>IF(K$3+$B80&lt;=2020, HLOOKUP(K$3, CBStafelMan!$B$5:$CW$106, MATCH($A80,CBStafelMan!$A$5:$A$106,0),FALSE), ".")</f>
        <v>.</v>
      </c>
      <c r="L80" s="73">
        <f t="shared" si="11"/>
        <v>79394.787350423605</v>
      </c>
      <c r="M80" s="54">
        <f>IF(K80 &lt;&gt;".", ".", VLOOKUP($B80-1,AGtafelMan!$A$1:$FQ$122, MATCH(K$3+$B80,AGtafelMan!$A$1:$FQ$1,0),FALSE) )</f>
        <v>1.5728836699999998E-2</v>
      </c>
      <c r="N80" s="73" t="str">
        <f>IF(K$3+$B80&lt;=2020, HLOOKUP(K$3, CBStafelVrouw!$B$5:$CW$106, MATCH($A80,CBStafelVrouw!$A$5:$A$106,0),FALSE), ".")</f>
        <v>.</v>
      </c>
      <c r="O80" s="73">
        <f t="shared" si="12"/>
        <v>85161.234533126568</v>
      </c>
      <c r="P80" s="54">
        <f>IF(N80 &lt;&gt;".", ".", VLOOKUP($B80-1,AGtafelVrouw!$A$1:$FQ$122, MATCH(K$3+$B80,AGtafelVrouw!$A$1:$FQ$1,0),FALSE) )</f>
        <v>9.9758280000000008E-3</v>
      </c>
      <c r="Q80" s="73">
        <f t="shared" si="13"/>
        <v>82278.010941775079</v>
      </c>
    </row>
    <row r="81" spans="1:17" x14ac:dyDescent="0.25">
      <c r="A81" s="73" t="s">
        <v>49</v>
      </c>
      <c r="B81" s="73">
        <v>74</v>
      </c>
      <c r="C81" s="73" t="str">
        <f>IF(C$3+$B81&lt;=2020, HLOOKUP(C$3, CBStafelMan!$B$5:$CW$106, MATCH($A81,CBStafelMan!$A$5:$A$106,0),FALSE), ".")</f>
        <v>.</v>
      </c>
      <c r="D81" s="73">
        <f t="shared" si="7"/>
        <v>77749.257133249877</v>
      </c>
      <c r="E81" s="54">
        <f>IF(C81 &lt;&gt;".", ".", VLOOKUP($B81-1,AGtafelMan!$A$1:$FQ$122, MATCH(C$3+$B81-1,AGtafelMan!$A$1:$FQ$1,0),FALSE) )</f>
        <v>1.7603504999999998E-2</v>
      </c>
      <c r="F81" s="73" t="str">
        <f>IF(C$3+$B81&lt;=2020, HLOOKUP(C$3, CBStafelVrouw!$B$5:$CW$106, MATCH($A81,CBStafelVrouw!$A$5:$A$106,0),FALSE), ".")</f>
        <v>.</v>
      </c>
      <c r="G81" s="73">
        <f t="shared" si="9"/>
        <v>84237.957535646317</v>
      </c>
      <c r="H81" s="54">
        <f>IF(F81 &lt;&gt;".", ".", VLOOKUP($B81-1,AGtafelVrouw!$A$1:$FQ$122, MATCH(C$3+$B81,AGtafelVrouw!$A$1:$FQ$1,0),FALSE) )</f>
        <v>1.0841517300000001E-2</v>
      </c>
      <c r="I81" s="73">
        <f t="shared" si="10"/>
        <v>80993.607334448097</v>
      </c>
      <c r="K81" s="73" t="str">
        <f>IF(K$3+$B81&lt;=2020, HLOOKUP(K$3, CBStafelMan!$B$5:$CW$106, MATCH($A81,CBStafelMan!$A$5:$A$106,0),FALSE), ".")</f>
        <v>.</v>
      </c>
      <c r="L81" s="73">
        <f t="shared" si="11"/>
        <v>78024.459092303267</v>
      </c>
      <c r="M81" s="54">
        <f>IF(K81 &lt;&gt;".", ".", VLOOKUP($B81-1,AGtafelMan!$A$1:$FQ$122, MATCH(K$3+$B81,AGtafelMan!$A$1:$FQ$1,0),FALSE) )</f>
        <v>1.7259675400000001E-2</v>
      </c>
      <c r="N81" s="73" t="str">
        <f>IF(K$3+$B81&lt;=2020, HLOOKUP(K$3, CBStafelVrouw!$B$5:$CW$106, MATCH($A81,CBStafelVrouw!$A$5:$A$106,0),FALSE), ".")</f>
        <v>.</v>
      </c>
      <c r="O81" s="73">
        <f t="shared" si="12"/>
        <v>84237.957535646317</v>
      </c>
      <c r="P81" s="54">
        <f>IF(N81 &lt;&gt;".", ".", VLOOKUP($B81-1,AGtafelVrouw!$A$1:$FQ$122, MATCH(K$3+$B81,AGtafelVrouw!$A$1:$FQ$1,0),FALSE) )</f>
        <v>1.0841517300000001E-2</v>
      </c>
      <c r="Q81" s="73">
        <f t="shared" si="13"/>
        <v>81131.208313974785</v>
      </c>
    </row>
    <row r="82" spans="1:17" x14ac:dyDescent="0.25">
      <c r="A82" s="73" t="s">
        <v>48</v>
      </c>
      <c r="B82" s="73">
        <v>75</v>
      </c>
      <c r="C82" s="73" t="str">
        <f>IF(C$3+$B82&lt;=2020, HLOOKUP(C$3, CBStafelMan!$B$5:$CW$106, MATCH($A82,CBStafelMan!$A$5:$A$106,0),FALSE), ".")</f>
        <v>.</v>
      </c>
      <c r="D82" s="73">
        <f t="shared" si="7"/>
        <v>76245.32915025171</v>
      </c>
      <c r="E82" s="54">
        <f>IF(C82 &lt;&gt;".", ".", VLOOKUP($B82-1,AGtafelMan!$A$1:$FQ$122, MATCH(C$3+$B82-1,AGtafelMan!$A$1:$FQ$1,0),FALSE) )</f>
        <v>1.9343309999999999E-2</v>
      </c>
      <c r="F82" s="73" t="str">
        <f>IF(C$3+$B82&lt;=2020, HLOOKUP(C$3, CBStafelVrouw!$B$5:$CW$106, MATCH($A82,CBStafelVrouw!$A$5:$A$106,0),FALSE), ".")</f>
        <v>.</v>
      </c>
      <c r="G82" s="73">
        <f t="shared" si="9"/>
        <v>83248.89021820655</v>
      </c>
      <c r="H82" s="54">
        <f>IF(F82 &lt;&gt;".", ".", VLOOKUP($B82-1,AGtafelVrouw!$A$1:$FQ$122, MATCH(C$3+$B82,AGtafelVrouw!$A$1:$FQ$1,0),FALSE) )</f>
        <v>1.1741349700000001E-2</v>
      </c>
      <c r="I82" s="73">
        <f t="shared" si="10"/>
        <v>79747.10968422913</v>
      </c>
      <c r="K82" s="73" t="str">
        <f>IF(K$3+$B82&lt;=2020, HLOOKUP(K$3, CBStafelMan!$B$5:$CW$106, MATCH($A82,CBStafelMan!$A$5:$A$106,0),FALSE), ".")</f>
        <v>.</v>
      </c>
      <c r="L82" s="73">
        <f t="shared" si="11"/>
        <v>76544.530788665681</v>
      </c>
      <c r="M82" s="54">
        <f>IF(K82 &lt;&gt;".", ".", VLOOKUP($B82-1,AGtafelMan!$A$1:$FQ$122, MATCH(K$3+$B82,AGtafelMan!$A$1:$FQ$1,0),FALSE) )</f>
        <v>1.8967491999999999E-2</v>
      </c>
      <c r="N82" s="73" t="str">
        <f>IF(K$3+$B82&lt;=2020, HLOOKUP(K$3, CBStafelVrouw!$B$5:$CW$106, MATCH($A82,CBStafelVrouw!$A$5:$A$106,0),FALSE), ".")</f>
        <v>.</v>
      </c>
      <c r="O82" s="73">
        <f t="shared" si="12"/>
        <v>83248.89021820655</v>
      </c>
      <c r="P82" s="54">
        <f>IF(N82 &lt;&gt;".", ".", VLOOKUP($B82-1,AGtafelVrouw!$A$1:$FQ$122, MATCH(K$3+$B82,AGtafelVrouw!$A$1:$FQ$1,0),FALSE) )</f>
        <v>1.1741349700000001E-2</v>
      </c>
      <c r="Q82" s="73">
        <f t="shared" si="13"/>
        <v>79896.710503436116</v>
      </c>
    </row>
    <row r="83" spans="1:17" x14ac:dyDescent="0.25">
      <c r="A83" s="73" t="s">
        <v>47</v>
      </c>
      <c r="B83" s="73">
        <v>76</v>
      </c>
      <c r="C83" s="73" t="str">
        <f>IF(C$3+$B83&lt;=2020, HLOOKUP(C$3, CBStafelMan!$B$5:$CW$106, MATCH($A83,CBStafelMan!$A$5:$A$106,0),FALSE), ".")</f>
        <v>.</v>
      </c>
      <c r="D83" s="73">
        <f t="shared" si="7"/>
        <v>74620.751615543777</v>
      </c>
      <c r="E83" s="54">
        <f>IF(C83 &lt;&gt;".", ".", VLOOKUP($B83-1,AGtafelMan!$A$1:$FQ$122, MATCH(C$3+$B83-1,AGtafelMan!$A$1:$FQ$1,0),FALSE) )</f>
        <v>2.1307240099999999E-2</v>
      </c>
      <c r="F83" s="73" t="str">
        <f>IF(C$3+$B83&lt;=2020, HLOOKUP(C$3, CBStafelVrouw!$B$5:$CW$106, MATCH($A83,CBStafelVrouw!$A$5:$A$106,0),FALSE), ".")</f>
        <v>.</v>
      </c>
      <c r="G83" s="73">
        <f t="shared" si="9"/>
        <v>82174.91316005151</v>
      </c>
      <c r="H83" s="54">
        <f>IF(F83 &lt;&gt;".", ".", VLOOKUP($B83-1,AGtafelVrouw!$A$1:$FQ$122, MATCH(C$3+$B83,AGtafelVrouw!$A$1:$FQ$1,0),FALSE) )</f>
        <v>1.2900797300000001E-2</v>
      </c>
      <c r="I83" s="73">
        <f t="shared" si="10"/>
        <v>78397.832387797651</v>
      </c>
      <c r="K83" s="73" t="str">
        <f>IF(K$3+$B83&lt;=2020, HLOOKUP(K$3, CBStafelMan!$B$5:$CW$106, MATCH($A83,CBStafelMan!$A$5:$A$106,0),FALSE), ".")</f>
        <v>.</v>
      </c>
      <c r="L83" s="73">
        <f t="shared" si="11"/>
        <v>74944.87597266346</v>
      </c>
      <c r="M83" s="54">
        <f>IF(K83 &lt;&gt;".", ".", VLOOKUP($B83-1,AGtafelMan!$A$1:$FQ$122, MATCH(K$3+$B83,AGtafelMan!$A$1:$FQ$1,0),FALSE) )</f>
        <v>2.08983555E-2</v>
      </c>
      <c r="N83" s="73" t="str">
        <f>IF(K$3+$B83&lt;=2020, HLOOKUP(K$3, CBStafelVrouw!$B$5:$CW$106, MATCH($A83,CBStafelVrouw!$A$5:$A$106,0),FALSE), ".")</f>
        <v>.</v>
      </c>
      <c r="O83" s="73">
        <f t="shared" si="12"/>
        <v>82174.91316005151</v>
      </c>
      <c r="P83" s="54">
        <f>IF(N83 &lt;&gt;".", ".", VLOOKUP($B83-1,AGtafelVrouw!$A$1:$FQ$122, MATCH(K$3+$B83,AGtafelVrouw!$A$1:$FQ$1,0),FALSE) )</f>
        <v>1.2900797300000001E-2</v>
      </c>
      <c r="Q83" s="73">
        <f t="shared" si="13"/>
        <v>78559.894566357485</v>
      </c>
    </row>
    <row r="84" spans="1:17" x14ac:dyDescent="0.25">
      <c r="A84" s="73" t="s">
        <v>46</v>
      </c>
      <c r="B84" s="73">
        <v>77</v>
      </c>
      <c r="C84" s="73" t="str">
        <f>IF(C$3+$B84&lt;=2020, HLOOKUP(C$3, CBStafelMan!$B$5:$CW$106, MATCH($A84,CBStafelMan!$A$5:$A$106,0),FALSE), ".")</f>
        <v>.</v>
      </c>
      <c r="D84" s="73">
        <f t="shared" si="7"/>
        <v>72850.566431900414</v>
      </c>
      <c r="E84" s="54">
        <f>IF(C84 &lt;&gt;".", ".", VLOOKUP($B84-1,AGtafelMan!$A$1:$FQ$122, MATCH(C$3+$B84-1,AGtafelMan!$A$1:$FQ$1,0),FALSE) )</f>
        <v>2.3722424999999998E-2</v>
      </c>
      <c r="F84" s="73" t="str">
        <f>IF(C$3+$B84&lt;=2020, HLOOKUP(C$3, CBStafelVrouw!$B$5:$CW$106, MATCH($A84,CBStafelVrouw!$A$5:$A$106,0),FALSE), ".")</f>
        <v>.</v>
      </c>
      <c r="G84" s="73">
        <f t="shared" si="9"/>
        <v>81002.961501934376</v>
      </c>
      <c r="H84" s="54">
        <f>IF(F84 &lt;&gt;".", ".", VLOOKUP($B84-1,AGtafelVrouw!$A$1:$FQ$122, MATCH(C$3+$B84,AGtafelVrouw!$A$1:$FQ$1,0),FALSE) )</f>
        <v>1.4261672E-2</v>
      </c>
      <c r="I84" s="73">
        <f t="shared" si="10"/>
        <v>76926.763966917395</v>
      </c>
      <c r="K84" s="73" t="str">
        <f>IF(K$3+$B84&lt;=2020, HLOOKUP(K$3, CBStafelMan!$B$5:$CW$106, MATCH($A84,CBStafelMan!$A$5:$A$106,0),FALSE), ".")</f>
        <v>.</v>
      </c>
      <c r="L84" s="73">
        <f t="shared" si="11"/>
        <v>73200.069461069463</v>
      </c>
      <c r="M84" s="54">
        <f>IF(K84 &lt;&gt;".", ".", VLOOKUP($B84-1,AGtafelMan!$A$1:$FQ$122, MATCH(K$3+$B84,AGtafelMan!$A$1:$FQ$1,0),FALSE) )</f>
        <v>2.3281198199999999E-2</v>
      </c>
      <c r="N84" s="73" t="str">
        <f>IF(K$3+$B84&lt;=2020, HLOOKUP(K$3, CBStafelVrouw!$B$5:$CW$106, MATCH($A84,CBStafelVrouw!$A$5:$A$106,0),FALSE), ".")</f>
        <v>.</v>
      </c>
      <c r="O84" s="73">
        <f t="shared" si="12"/>
        <v>81002.961501934376</v>
      </c>
      <c r="P84" s="54">
        <f>IF(N84 &lt;&gt;".", ".", VLOOKUP($B84-1,AGtafelVrouw!$A$1:$FQ$122, MATCH(K$3+$B84,AGtafelVrouw!$A$1:$FQ$1,0),FALSE) )</f>
        <v>1.4261672E-2</v>
      </c>
      <c r="Q84" s="73">
        <f t="shared" si="13"/>
        <v>77101.51548150192</v>
      </c>
    </row>
    <row r="85" spans="1:17" x14ac:dyDescent="0.25">
      <c r="A85" s="73" t="s">
        <v>45</v>
      </c>
      <c r="B85" s="73">
        <v>78</v>
      </c>
      <c r="C85" s="73" t="str">
        <f>IF(C$3+$B85&lt;=2020, HLOOKUP(C$3, CBStafelMan!$B$5:$CW$106, MATCH($A85,CBStafelMan!$A$5:$A$106,0),FALSE), ".")</f>
        <v>.</v>
      </c>
      <c r="D85" s="73">
        <f t="shared" si="7"/>
        <v>70919.538060397928</v>
      </c>
      <c r="E85" s="54">
        <f>IF(C85 &lt;&gt;".", ".", VLOOKUP($B85-1,AGtafelMan!$A$1:$FQ$122, MATCH(C$3+$B85-1,AGtafelMan!$A$1:$FQ$1,0),FALSE) )</f>
        <v>2.6506703600000001E-2</v>
      </c>
      <c r="F85" s="73" t="str">
        <f>IF(C$3+$B85&lt;=2020, HLOOKUP(C$3, CBStafelVrouw!$B$5:$CW$106, MATCH($A85,CBStafelVrouw!$A$5:$A$106,0),FALSE), ".")</f>
        <v>.</v>
      </c>
      <c r="G85" s="73">
        <f t="shared" si="9"/>
        <v>79727.586989012183</v>
      </c>
      <c r="H85" s="54">
        <f>IF(F85 &lt;&gt;".", ".", VLOOKUP($B85-1,AGtafelVrouw!$A$1:$FQ$122, MATCH(C$3+$B85,AGtafelVrouw!$A$1:$FQ$1,0),FALSE) )</f>
        <v>1.5744788700000002E-2</v>
      </c>
      <c r="I85" s="73">
        <f t="shared" si="10"/>
        <v>75323.562524705048</v>
      </c>
      <c r="K85" s="73" t="str">
        <f>IF(K$3+$B85&lt;=2020, HLOOKUP(K$3, CBStafelMan!$B$5:$CW$106, MATCH($A85,CBStafelMan!$A$5:$A$106,0),FALSE), ".")</f>
        <v>.</v>
      </c>
      <c r="L85" s="73">
        <f t="shared" si="11"/>
        <v>71294.51118380556</v>
      </c>
      <c r="M85" s="54">
        <f>IF(K85 &lt;&gt;".", ".", VLOOKUP($B85-1,AGtafelMan!$A$1:$FQ$122, MATCH(K$3+$B85,AGtafelMan!$A$1:$FQ$1,0),FALSE) )</f>
        <v>2.6032192199999998E-2</v>
      </c>
      <c r="N85" s="73" t="str">
        <f>IF(K$3+$B85&lt;=2020, HLOOKUP(K$3, CBStafelVrouw!$B$5:$CW$106, MATCH($A85,CBStafelVrouw!$A$5:$A$106,0),FALSE), ".")</f>
        <v>.</v>
      </c>
      <c r="O85" s="73">
        <f t="shared" si="12"/>
        <v>79727.586989012183</v>
      </c>
      <c r="P85" s="54">
        <f>IF(N85 &lt;&gt;".", ".", VLOOKUP($B85-1,AGtafelVrouw!$A$1:$FQ$122, MATCH(K$3+$B85,AGtafelVrouw!$A$1:$FQ$1,0),FALSE) )</f>
        <v>1.5744788700000002E-2</v>
      </c>
      <c r="Q85" s="73">
        <f t="shared" si="13"/>
        <v>75511.049086408864</v>
      </c>
    </row>
    <row r="86" spans="1:17" x14ac:dyDescent="0.25">
      <c r="A86" s="73" t="s">
        <v>44</v>
      </c>
      <c r="B86" s="73">
        <v>79</v>
      </c>
      <c r="C86" s="73" t="str">
        <f>IF(C$3+$B86&lt;=2020, HLOOKUP(C$3, CBStafelMan!$B$5:$CW$106, MATCH($A86,CBStafelMan!$A$5:$A$106,0),FALSE), ".")</f>
        <v>.</v>
      </c>
      <c r="D86" s="73">
        <f t="shared" si="7"/>
        <v>68799.4141503922</v>
      </c>
      <c r="E86" s="54">
        <f>IF(C86 &lt;&gt;".", ".", VLOOKUP($B86-1,AGtafelMan!$A$1:$FQ$122, MATCH(C$3+$B86-1,AGtafelMan!$A$1:$FQ$1,0),FALSE) )</f>
        <v>2.9894778899999998E-2</v>
      </c>
      <c r="F86" s="73" t="str">
        <f>IF(C$3+$B86&lt;=2020, HLOOKUP(C$3, CBStafelVrouw!$B$5:$CW$106, MATCH($A86,CBStafelVrouw!$A$5:$A$106,0),FALSE), ".")</f>
        <v>.</v>
      </c>
      <c r="G86" s="73">
        <f t="shared" si="9"/>
        <v>78315.927830338493</v>
      </c>
      <c r="H86" s="54">
        <f>IF(F86 &lt;&gt;".", ".", VLOOKUP($B86-1,AGtafelVrouw!$A$1:$FQ$122, MATCH(C$3+$B86,AGtafelVrouw!$A$1:$FQ$1,0),FALSE) )</f>
        <v>1.7706031399999999E-2</v>
      </c>
      <c r="I86" s="73">
        <f t="shared" si="10"/>
        <v>73557.670990365354</v>
      </c>
      <c r="K86" s="73" t="str">
        <f>IF(K$3+$B86&lt;=2020, HLOOKUP(K$3, CBStafelMan!$B$5:$CW$106, MATCH($A86,CBStafelMan!$A$5:$A$106,0),FALSE), ".")</f>
        <v>.</v>
      </c>
      <c r="L86" s="73">
        <f t="shared" si="11"/>
        <v>69199.964383629136</v>
      </c>
      <c r="M86" s="54">
        <f>IF(K86 &lt;&gt;".", ".", VLOOKUP($B86-1,AGtafelMan!$A$1:$FQ$122, MATCH(K$3+$B86,AGtafelMan!$A$1:$FQ$1,0),FALSE) )</f>
        <v>2.9378794600000001E-2</v>
      </c>
      <c r="N86" s="73" t="str">
        <f>IF(K$3+$B86&lt;=2020, HLOOKUP(K$3, CBStafelVrouw!$B$5:$CW$106, MATCH($A86,CBStafelVrouw!$A$5:$A$106,0),FALSE), ".")</f>
        <v>.</v>
      </c>
      <c r="O86" s="73">
        <f t="shared" si="12"/>
        <v>78315.927830338493</v>
      </c>
      <c r="P86" s="54">
        <f>IF(N86 &lt;&gt;".", ".", VLOOKUP($B86-1,AGtafelVrouw!$A$1:$FQ$122, MATCH(K$3+$B86,AGtafelVrouw!$A$1:$FQ$1,0),FALSE) )</f>
        <v>1.7706031399999999E-2</v>
      </c>
      <c r="Q86" s="73">
        <f t="shared" si="13"/>
        <v>73757.946106983814</v>
      </c>
    </row>
    <row r="87" spans="1:17" x14ac:dyDescent="0.25">
      <c r="A87" s="73" t="s">
        <v>43</v>
      </c>
      <c r="B87" s="73">
        <v>80</v>
      </c>
      <c r="C87" s="73" t="str">
        <f>IF(C$3+$B87&lt;=2020, HLOOKUP(C$3, CBStafelMan!$B$5:$CW$106, MATCH($A87,CBStafelMan!$A$5:$A$106,0),FALSE), ".")</f>
        <v>.</v>
      </c>
      <c r="D87" s="73">
        <f t="shared" si="7"/>
        <v>66514.107663807517</v>
      </c>
      <c r="E87" s="54">
        <f>IF(C87 &lt;&gt;".", ".", VLOOKUP($B87-1,AGtafelMan!$A$1:$FQ$122, MATCH(C$3+$B87-1,AGtafelMan!$A$1:$FQ$1,0),FALSE) )</f>
        <v>3.3216946900000002E-2</v>
      </c>
      <c r="F87" s="73" t="str">
        <f>IF(C$3+$B87&lt;=2020, HLOOKUP(C$3, CBStafelVrouw!$B$5:$CW$106, MATCH($A87,CBStafelVrouw!$A$5:$A$106,0),FALSE), ".")</f>
        <v>.</v>
      </c>
      <c r="G87" s="73">
        <f t="shared" si="9"/>
        <v>76770.769963325729</v>
      </c>
      <c r="H87" s="54">
        <f>IF(F87 &lt;&gt;".", ".", VLOOKUP($B87-1,AGtafelVrouw!$A$1:$FQ$122, MATCH(C$3+$B87,AGtafelVrouw!$A$1:$FQ$1,0),FALSE) )</f>
        <v>1.97298035E-2</v>
      </c>
      <c r="I87" s="73">
        <f t="shared" si="10"/>
        <v>71642.438813566623</v>
      </c>
      <c r="K87" s="73" t="str">
        <f>IF(K$3+$B87&lt;=2020, HLOOKUP(K$3, CBStafelMan!$B$5:$CW$106, MATCH($A87,CBStafelMan!$A$5:$A$106,0),FALSE), ".")</f>
        <v>.</v>
      </c>
      <c r="L87" s="73">
        <f t="shared" si="11"/>
        <v>66940.343429668254</v>
      </c>
      <c r="M87" s="54">
        <f>IF(K87 &lt;&gt;".", ".", VLOOKUP($B87-1,AGtafelMan!$A$1:$FQ$122, MATCH(K$3+$B87,AGtafelMan!$A$1:$FQ$1,0),FALSE) )</f>
        <v>3.26534988E-2</v>
      </c>
      <c r="N87" s="73" t="str">
        <f>IF(K$3+$B87&lt;=2020, HLOOKUP(K$3, CBStafelVrouw!$B$5:$CW$106, MATCH($A87,CBStafelVrouw!$A$5:$A$106,0),FALSE), ".")</f>
        <v>.</v>
      </c>
      <c r="O87" s="73">
        <f t="shared" si="12"/>
        <v>76770.769963325729</v>
      </c>
      <c r="P87" s="54">
        <f>IF(N87 &lt;&gt;".", ".", VLOOKUP($B87-1,AGtafelVrouw!$A$1:$FQ$122, MATCH(K$3+$B87,AGtafelVrouw!$A$1:$FQ$1,0),FALSE) )</f>
        <v>1.97298035E-2</v>
      </c>
      <c r="Q87" s="73">
        <f t="shared" si="13"/>
        <v>71855.556696496991</v>
      </c>
    </row>
    <row r="88" spans="1:17" x14ac:dyDescent="0.25">
      <c r="A88" s="73" t="s">
        <v>42</v>
      </c>
      <c r="B88" s="73">
        <v>81</v>
      </c>
      <c r="C88" s="73" t="str">
        <f>IF(C$3+$B88&lt;=2020, HLOOKUP(C$3, CBStafelMan!$B$5:$CW$106, MATCH($A88,CBStafelMan!$A$5:$A$106,0),FALSE), ".")</f>
        <v>.</v>
      </c>
      <c r="D88" s="73">
        <f t="shared" ref="D88:D127" si="14">IF(C88 &lt;&gt;".", C88, D87*(1-E88))</f>
        <v>64014.900682646265</v>
      </c>
      <c r="E88" s="54">
        <f>IF(C88 &lt;&gt;".", ".", VLOOKUP($B88-1,AGtafelMan!$A$1:$FQ$122, MATCH(C$3+$B88-1,AGtafelMan!$A$1:$FQ$1,0),FALSE) )</f>
        <v>3.7574088700000001E-2</v>
      </c>
      <c r="F88" s="73" t="str">
        <f>IF(C$3+$B88&lt;=2020, HLOOKUP(C$3, CBStafelVrouw!$B$5:$CW$106, MATCH($A88,CBStafelVrouw!$A$5:$A$106,0),FALSE), ".")</f>
        <v>.</v>
      </c>
      <c r="G88" s="73">
        <f t="shared" si="9"/>
        <v>75019.699390987254</v>
      </c>
      <c r="H88" s="54">
        <f>IF(F88 &lt;&gt;".", ".", VLOOKUP($B88-1,AGtafelVrouw!$A$1:$FQ$122, MATCH(C$3+$B88,AGtafelVrouw!$A$1:$FQ$1,0),FALSE) )</f>
        <v>2.2809079199999999E-2</v>
      </c>
      <c r="I88" s="73">
        <f t="shared" si="10"/>
        <v>69517.300036816756</v>
      </c>
      <c r="K88" s="73" t="str">
        <f>IF(K$3+$B88&lt;=2020, HLOOKUP(K$3, CBStafelMan!$B$5:$CW$106, MATCH($A88,CBStafelMan!$A$5:$A$106,0),FALSE), ".")</f>
        <v>.</v>
      </c>
      <c r="L88" s="73">
        <f t="shared" si="11"/>
        <v>64465.819973636651</v>
      </c>
      <c r="M88" s="54">
        <f>IF(K88 &lt;&gt;".", ".", VLOOKUP($B88-1,AGtafelMan!$A$1:$FQ$122, MATCH(K$3+$B88,AGtafelMan!$A$1:$FQ$1,0),FALSE) )</f>
        <v>3.69661004E-2</v>
      </c>
      <c r="N88" s="73" t="str">
        <f>IF(K$3+$B88&lt;=2020, HLOOKUP(K$3, CBStafelVrouw!$B$5:$CW$106, MATCH($A88,CBStafelVrouw!$A$5:$A$106,0),FALSE), ".")</f>
        <v>.</v>
      </c>
      <c r="O88" s="73">
        <f t="shared" si="12"/>
        <v>75019.699390987254</v>
      </c>
      <c r="P88" s="54">
        <f>IF(N88 &lt;&gt;".", ".", VLOOKUP($B88-1,AGtafelVrouw!$A$1:$FQ$122, MATCH(K$3+$B88,AGtafelVrouw!$A$1:$FQ$1,0),FALSE) )</f>
        <v>2.2809079199999999E-2</v>
      </c>
      <c r="Q88" s="73">
        <f t="shared" si="13"/>
        <v>69742.759682311953</v>
      </c>
    </row>
    <row r="89" spans="1:17" x14ac:dyDescent="0.25">
      <c r="A89" s="73" t="s">
        <v>41</v>
      </c>
      <c r="B89" s="73">
        <v>82</v>
      </c>
      <c r="C89" s="73" t="str">
        <f>IF(C$3+$B89&lt;=2020, HLOOKUP(C$3, CBStafelMan!$B$5:$CW$106, MATCH($A89,CBStafelMan!$A$5:$A$106,0),FALSE), ".")</f>
        <v>.</v>
      </c>
      <c r="D89" s="73">
        <f t="shared" si="14"/>
        <v>61256.351659625034</v>
      </c>
      <c r="E89" s="54">
        <f>IF(C89 &lt;&gt;".", ".", VLOOKUP($B89-1,AGtafelMan!$A$1:$FQ$122, MATCH(C$3+$B89-1,AGtafelMan!$A$1:$FQ$1,0),FALSE) )</f>
        <v>4.3092295599999997E-2</v>
      </c>
      <c r="F89" s="73" t="str">
        <f>IF(C$3+$B89&lt;=2020, HLOOKUP(C$3, CBStafelVrouw!$B$5:$CW$106, MATCH($A89,CBStafelVrouw!$A$5:$A$106,0),FALSE), ".")</f>
        <v>.</v>
      </c>
      <c r="G89" s="73">
        <f t="shared" si="9"/>
        <v>73060.55395481961</v>
      </c>
      <c r="H89" s="54">
        <f>IF(F89 &lt;&gt;".", ".", VLOOKUP($B89-1,AGtafelVrouw!$A$1:$FQ$122, MATCH(C$3+$B89,AGtafelVrouw!$A$1:$FQ$1,0),FALSE) )</f>
        <v>2.61150798E-2</v>
      </c>
      <c r="I89" s="73">
        <f t="shared" si="10"/>
        <v>67158.452807222318</v>
      </c>
      <c r="K89" s="73" t="str">
        <f>IF(K$3+$B89&lt;=2020, HLOOKUP(K$3, CBStafelMan!$B$5:$CW$106, MATCH($A89,CBStafelMan!$A$5:$A$106,0),FALSE), ".")</f>
        <v>.</v>
      </c>
      <c r="L89" s="73">
        <f t="shared" si="11"/>
        <v>61729.929375932559</v>
      </c>
      <c r="M89" s="54">
        <f>IF(K89 &lt;&gt;".", ".", VLOOKUP($B89-1,AGtafelMan!$A$1:$FQ$122, MATCH(K$3+$B89,AGtafelMan!$A$1:$FQ$1,0),FALSE) )</f>
        <v>4.2439398099999998E-2</v>
      </c>
      <c r="N89" s="73" t="str">
        <f>IF(K$3+$B89&lt;=2020, HLOOKUP(K$3, CBStafelVrouw!$B$5:$CW$106, MATCH($A89,CBStafelVrouw!$A$5:$A$106,0),FALSE), ".")</f>
        <v>.</v>
      </c>
      <c r="O89" s="73">
        <f t="shared" si="12"/>
        <v>73060.55395481961</v>
      </c>
      <c r="P89" s="54">
        <f>IF(N89 &lt;&gt;".", ".", VLOOKUP($B89-1,AGtafelVrouw!$A$1:$FQ$122, MATCH(K$3+$B89,AGtafelVrouw!$A$1:$FQ$1,0),FALSE) )</f>
        <v>2.61150798E-2</v>
      </c>
      <c r="Q89" s="73">
        <f t="shared" si="13"/>
        <v>67395.241665376088</v>
      </c>
    </row>
    <row r="90" spans="1:17" x14ac:dyDescent="0.25">
      <c r="A90" s="73" t="s">
        <v>40</v>
      </c>
      <c r="B90" s="73">
        <v>83</v>
      </c>
      <c r="C90" s="73" t="str">
        <f>IF(C$3+$B90&lt;=2020, HLOOKUP(C$3, CBStafelMan!$B$5:$CW$106, MATCH($A90,CBStafelMan!$A$5:$A$106,0),FALSE), ".")</f>
        <v>.</v>
      </c>
      <c r="D90" s="73">
        <f t="shared" si="14"/>
        <v>58298.078362446184</v>
      </c>
      <c r="E90" s="54">
        <f>IF(C90 &lt;&gt;".", ".", VLOOKUP($B90-1,AGtafelMan!$A$1:$FQ$122, MATCH(C$3+$B90-1,AGtafelMan!$A$1:$FQ$1,0),FALSE) )</f>
        <v>4.8293331500000002E-2</v>
      </c>
      <c r="F90" s="73" t="str">
        <f>IF(C$3+$B90&lt;=2020, HLOOKUP(C$3, CBStafelVrouw!$B$5:$CW$106, MATCH($A90,CBStafelVrouw!$A$5:$A$106,0),FALSE), ".")</f>
        <v>.</v>
      </c>
      <c r="G90" s="73">
        <f t="shared" si="9"/>
        <v>70862.099361097004</v>
      </c>
      <c r="H90" s="54">
        <f>IF(F90 &lt;&gt;".", ".", VLOOKUP($B90-1,AGtafelVrouw!$A$1:$FQ$122, MATCH(C$3+$B90,AGtafelVrouw!$A$1:$FQ$1,0),FALSE) )</f>
        <v>3.00908558E-2</v>
      </c>
      <c r="I90" s="73">
        <f t="shared" si="10"/>
        <v>64580.088861771597</v>
      </c>
      <c r="K90" s="73" t="str">
        <f>IF(K$3+$B90&lt;=2020, HLOOKUP(K$3, CBStafelMan!$B$5:$CW$106, MATCH($A90,CBStafelMan!$A$5:$A$106,0),FALSE), ".")</f>
        <v>.</v>
      </c>
      <c r="L90" s="73">
        <f t="shared" si="11"/>
        <v>58792.010569209982</v>
      </c>
      <c r="M90" s="54">
        <f>IF(K90 &lt;&gt;".", ".", VLOOKUP($B90-1,AGtafelMan!$A$1:$FQ$122, MATCH(K$3+$B90,AGtafelMan!$A$1:$FQ$1,0),FALSE) )</f>
        <v>4.7593101700000001E-2</v>
      </c>
      <c r="N90" s="73" t="str">
        <f>IF(K$3+$B90&lt;=2020, HLOOKUP(K$3, CBStafelVrouw!$B$5:$CW$106, MATCH($A90,CBStafelVrouw!$A$5:$A$106,0),FALSE), ".")</f>
        <v>.</v>
      </c>
      <c r="O90" s="73">
        <f t="shared" si="12"/>
        <v>70862.099361097004</v>
      </c>
      <c r="P90" s="54">
        <f>IF(N90 &lt;&gt;".", ".", VLOOKUP($B90-1,AGtafelVrouw!$A$1:$FQ$122, MATCH(K$3+$B90,AGtafelVrouw!$A$1:$FQ$1,0),FALSE) )</f>
        <v>3.00908558E-2</v>
      </c>
      <c r="Q90" s="73">
        <f t="shared" si="13"/>
        <v>64827.054965153497</v>
      </c>
    </row>
    <row r="91" spans="1:17" x14ac:dyDescent="0.25">
      <c r="A91" s="73" t="s">
        <v>39</v>
      </c>
      <c r="B91" s="73">
        <v>84</v>
      </c>
      <c r="C91" s="73" t="str">
        <f>IF(C$3+$B91&lt;=2020, HLOOKUP(C$3, CBStafelMan!$B$5:$CW$106, MATCH($A91,CBStafelMan!$A$5:$A$106,0),FALSE), ".")</f>
        <v>.</v>
      </c>
      <c r="D91" s="73">
        <f t="shared" si="14"/>
        <v>55091.186571689745</v>
      </c>
      <c r="E91" s="54">
        <f>IF(C91 &lt;&gt;".", ".", VLOOKUP($B91-1,AGtafelMan!$A$1:$FQ$122, MATCH(C$3+$B91-1,AGtafelMan!$A$1:$FQ$1,0),FALSE) )</f>
        <v>5.5008533399999997E-2</v>
      </c>
      <c r="F91" s="73" t="str">
        <f>IF(C$3+$B91&lt;=2020, HLOOKUP(C$3, CBStafelVrouw!$B$5:$CW$106, MATCH($A91,CBStafelVrouw!$A$5:$A$106,0),FALSE), ".")</f>
        <v>.</v>
      </c>
      <c r="G91" s="73">
        <f t="shared" si="9"/>
        <v>68400.893371525555</v>
      </c>
      <c r="H91" s="54">
        <f>IF(F91 &lt;&gt;".", ".", VLOOKUP($B91-1,AGtafelVrouw!$A$1:$FQ$122, MATCH(C$3+$B91,AGtafelVrouw!$A$1:$FQ$1,0),FALSE) )</f>
        <v>3.4732332400000003E-2</v>
      </c>
      <c r="I91" s="73">
        <f t="shared" si="10"/>
        <v>61746.03997160765</v>
      </c>
      <c r="K91" s="73" t="str">
        <f>IF(K$3+$B91&lt;=2020, HLOOKUP(K$3, CBStafelMan!$B$5:$CW$106, MATCH($A91,CBStafelMan!$A$5:$A$106,0),FALSE), ".")</f>
        <v>.</v>
      </c>
      <c r="L91" s="73">
        <f t="shared" si="11"/>
        <v>55602.099681089661</v>
      </c>
      <c r="M91" s="54">
        <f>IF(K91 &lt;&gt;".", ".", VLOOKUP($B91-1,AGtafelMan!$A$1:$FQ$122, MATCH(K$3+$B91,AGtafelMan!$A$1:$FQ$1,0),FALSE) )</f>
        <v>5.4257557400000003E-2</v>
      </c>
      <c r="N91" s="73" t="str">
        <f>IF(K$3+$B91&lt;=2020, HLOOKUP(K$3, CBStafelVrouw!$B$5:$CW$106, MATCH($A91,CBStafelVrouw!$A$5:$A$106,0),FALSE), ".")</f>
        <v>.</v>
      </c>
      <c r="O91" s="73">
        <f t="shared" si="12"/>
        <v>68400.893371525555</v>
      </c>
      <c r="P91" s="54">
        <f>IF(N91 &lt;&gt;".", ".", VLOOKUP($B91-1,AGtafelVrouw!$A$1:$FQ$122, MATCH(K$3+$B91,AGtafelVrouw!$A$1:$FQ$1,0),FALSE) )</f>
        <v>3.4732332400000003E-2</v>
      </c>
      <c r="Q91" s="73">
        <f t="shared" si="13"/>
        <v>62001.496526307608</v>
      </c>
    </row>
    <row r="92" spans="1:17" x14ac:dyDescent="0.25">
      <c r="A92" s="73" t="s">
        <v>38</v>
      </c>
      <c r="B92" s="73">
        <v>85</v>
      </c>
      <c r="C92" s="73" t="str">
        <f>IF(C$3+$B92&lt;=2020, HLOOKUP(C$3, CBStafelMan!$B$5:$CW$106, MATCH($A92,CBStafelMan!$A$5:$A$106,0),FALSE), ".")</f>
        <v>.</v>
      </c>
      <c r="D92" s="73">
        <f t="shared" si="14"/>
        <v>51664.54690712889</v>
      </c>
      <c r="E92" s="54">
        <f>IF(C92 &lt;&gt;".", ".", VLOOKUP($B92-1,AGtafelMan!$A$1:$FQ$122, MATCH(C$3+$B92-1,AGtafelMan!$A$1:$FQ$1,0),FALSE) )</f>
        <v>6.2199416600000001E-2</v>
      </c>
      <c r="F92" s="73" t="str">
        <f>IF(C$3+$B92&lt;=2020, HLOOKUP(C$3, CBStafelVrouw!$B$5:$CW$106, MATCH($A92,CBStafelVrouw!$A$5:$A$106,0),FALSE), ".")</f>
        <v>.</v>
      </c>
      <c r="G92" s="73">
        <f t="shared" si="9"/>
        <v>65677.34863844722</v>
      </c>
      <c r="H92" s="54">
        <f>IF(F92 &lt;&gt;".", ".", VLOOKUP($B92-1,AGtafelVrouw!$A$1:$FQ$122, MATCH(C$3+$B92,AGtafelVrouw!$A$1:$FQ$1,0),FALSE) )</f>
        <v>3.9817385400000002E-2</v>
      </c>
      <c r="I92" s="73">
        <f t="shared" si="10"/>
        <v>58670.947772788059</v>
      </c>
      <c r="K92" s="73" t="str">
        <f>IF(K$3+$B92&lt;=2020, HLOOKUP(K$3, CBStafelMan!$B$5:$CW$106, MATCH($A92,CBStafelMan!$A$5:$A$106,0),FALSE), ".")</f>
        <v>.</v>
      </c>
      <c r="L92" s="73">
        <f t="shared" si="11"/>
        <v>52188.594270894115</v>
      </c>
      <c r="M92" s="54">
        <f>IF(K92 &lt;&gt;".", ".", VLOOKUP($B92-1,AGtafelMan!$A$1:$FQ$122, MATCH(K$3+$B92,AGtafelMan!$A$1:$FQ$1,0),FALSE) )</f>
        <v>6.1391663800000003E-2</v>
      </c>
      <c r="N92" s="73" t="str">
        <f>IF(K$3+$B92&lt;=2020, HLOOKUP(K$3, CBStafelVrouw!$B$5:$CW$106, MATCH($A92,CBStafelVrouw!$A$5:$A$106,0),FALSE), ".")</f>
        <v>.</v>
      </c>
      <c r="O92" s="73">
        <f t="shared" si="12"/>
        <v>65677.34863844722</v>
      </c>
      <c r="P92" s="54">
        <f>IF(N92 &lt;&gt;".", ".", VLOOKUP($B92-1,AGtafelVrouw!$A$1:$FQ$122, MATCH(K$3+$B92,AGtafelVrouw!$A$1:$FQ$1,0),FALSE) )</f>
        <v>3.9817385400000002E-2</v>
      </c>
      <c r="Q92" s="73">
        <f t="shared" si="13"/>
        <v>58932.971454670667</v>
      </c>
    </row>
    <row r="93" spans="1:17" x14ac:dyDescent="0.25">
      <c r="A93" s="73" t="s">
        <v>37</v>
      </c>
      <c r="B93" s="73">
        <v>86</v>
      </c>
      <c r="C93" s="73" t="str">
        <f>IF(C$3+$B93&lt;=2020, HLOOKUP(C$3, CBStafelMan!$B$5:$CW$106, MATCH($A93,CBStafelMan!$A$5:$A$106,0),FALSE), ".")</f>
        <v>.</v>
      </c>
      <c r="D93" s="73">
        <f t="shared" si="14"/>
        <v>48016.677853262961</v>
      </c>
      <c r="E93" s="54">
        <f>IF(C93 &lt;&gt;".", ".", VLOOKUP($B93-1,AGtafelMan!$A$1:$FQ$122, MATCH(C$3+$B93-1,AGtafelMan!$A$1:$FQ$1,0),FALSE) )</f>
        <v>7.0606814000000004E-2</v>
      </c>
      <c r="F93" s="73" t="str">
        <f>IF(C$3+$B93&lt;=2020, HLOOKUP(C$3, CBStafelVrouw!$B$5:$CW$106, MATCH($A93,CBStafelVrouw!$A$5:$A$106,0),FALSE), ".")</f>
        <v>.</v>
      </c>
      <c r="G93" s="73">
        <f t="shared" si="9"/>
        <v>62599.430344877663</v>
      </c>
      <c r="H93" s="54">
        <f>IF(F93 &lt;&gt;".", ".", VLOOKUP($B93-1,AGtafelVrouw!$A$1:$FQ$122, MATCH(C$3+$B93,AGtafelVrouw!$A$1:$FQ$1,0),FALSE) )</f>
        <v>4.6864228799999998E-2</v>
      </c>
      <c r="I93" s="73">
        <f t="shared" si="10"/>
        <v>55308.054099070316</v>
      </c>
      <c r="K93" s="73" t="str">
        <f>IF(K$3+$B93&lt;=2020, HLOOKUP(K$3, CBStafelMan!$B$5:$CW$106, MATCH($A93,CBStafelMan!$A$5:$A$106,0),FALSE), ".")</f>
        <v>.</v>
      </c>
      <c r="L93" s="73">
        <f t="shared" si="11"/>
        <v>48548.798225670405</v>
      </c>
      <c r="M93" s="54">
        <f>IF(K93 &lt;&gt;".", ".", VLOOKUP($B93-1,AGtafelMan!$A$1:$FQ$122, MATCH(K$3+$B93,AGtafelMan!$A$1:$FQ$1,0),FALSE) )</f>
        <v>6.9743132499999999E-2</v>
      </c>
      <c r="N93" s="73" t="str">
        <f>IF(K$3+$B93&lt;=2020, HLOOKUP(K$3, CBStafelVrouw!$B$5:$CW$106, MATCH($A93,CBStafelVrouw!$A$5:$A$106,0),FALSE), ".")</f>
        <v>.</v>
      </c>
      <c r="O93" s="73">
        <f t="shared" si="12"/>
        <v>62599.430344877663</v>
      </c>
      <c r="P93" s="54">
        <f>IF(N93 &lt;&gt;".", ".", VLOOKUP($B93-1,AGtafelVrouw!$A$1:$FQ$122, MATCH(K$3+$B93,AGtafelVrouw!$A$1:$FQ$1,0),FALSE) )</f>
        <v>4.6864228799999998E-2</v>
      </c>
      <c r="Q93" s="73">
        <f t="shared" si="13"/>
        <v>55574.11428527403</v>
      </c>
    </row>
    <row r="94" spans="1:17" x14ac:dyDescent="0.25">
      <c r="A94" s="73" t="s">
        <v>36</v>
      </c>
      <c r="B94" s="73">
        <v>87</v>
      </c>
      <c r="C94" s="73" t="str">
        <f>IF(C$3+$B94&lt;=2020, HLOOKUP(C$3, CBStafelMan!$B$5:$CW$106, MATCH($A94,CBStafelMan!$A$5:$A$106,0),FALSE), ".")</f>
        <v>.</v>
      </c>
      <c r="D94" s="73">
        <f t="shared" si="14"/>
        <v>44140.791414223851</v>
      </c>
      <c r="E94" s="54">
        <f>IF(C94 &lt;&gt;".", ".", VLOOKUP($B94-1,AGtafelMan!$A$1:$FQ$122, MATCH(C$3+$B94-1,AGtafelMan!$A$1:$FQ$1,0),FALSE) )</f>
        <v>8.0719587699999998E-2</v>
      </c>
      <c r="F94" s="73" t="str">
        <f>IF(C$3+$B94&lt;=2020, HLOOKUP(C$3, CBStafelVrouw!$B$5:$CW$106, MATCH($A94,CBStafelVrouw!$A$5:$A$106,0),FALSE), ".")</f>
        <v>.</v>
      </c>
      <c r="G94" s="73">
        <f t="shared" si="9"/>
        <v>59162.354116468152</v>
      </c>
      <c r="H94" s="54">
        <f>IF(F94 &lt;&gt;".", ".", VLOOKUP($B94-1,AGtafelVrouw!$A$1:$FQ$122, MATCH(C$3+$B94,AGtafelVrouw!$A$1:$FQ$1,0),FALSE) )</f>
        <v>5.4905870699999998E-2</v>
      </c>
      <c r="I94" s="73">
        <f t="shared" si="10"/>
        <v>51651.572765346005</v>
      </c>
      <c r="K94" s="73" t="str">
        <f>IF(K$3+$B94&lt;=2020, HLOOKUP(K$3, CBStafelMan!$B$5:$CW$106, MATCH($A94,CBStafelMan!$A$5:$A$106,0),FALSE), ".")</f>
        <v>.</v>
      </c>
      <c r="L94" s="73">
        <f t="shared" si="11"/>
        <v>44674.012157200501</v>
      </c>
      <c r="M94" s="54">
        <f>IF(K94 &lt;&gt;".", ".", VLOOKUP($B94-1,AGtafelMan!$A$1:$FQ$122, MATCH(K$3+$B94,AGtafelMan!$A$1:$FQ$1,0),FALSE) )</f>
        <v>7.9812193300000001E-2</v>
      </c>
      <c r="N94" s="73" t="str">
        <f>IF(K$3+$B94&lt;=2020, HLOOKUP(K$3, CBStafelVrouw!$B$5:$CW$106, MATCH($A94,CBStafelVrouw!$A$5:$A$106,0),FALSE), ".")</f>
        <v>.</v>
      </c>
      <c r="O94" s="73">
        <f t="shared" si="12"/>
        <v>59162.354116468152</v>
      </c>
      <c r="P94" s="54">
        <f>IF(N94 &lt;&gt;".", ".", VLOOKUP($B94-1,AGtafelVrouw!$A$1:$FQ$122, MATCH(K$3+$B94,AGtafelVrouw!$A$1:$FQ$1,0),FALSE) )</f>
        <v>5.4905870699999998E-2</v>
      </c>
      <c r="Q94" s="73">
        <f t="shared" si="13"/>
        <v>51918.183136834326</v>
      </c>
    </row>
    <row r="95" spans="1:17" x14ac:dyDescent="0.25">
      <c r="A95" s="73" t="s">
        <v>35</v>
      </c>
      <c r="B95" s="73">
        <v>88</v>
      </c>
      <c r="C95" s="73" t="str">
        <f>IF(C$3+$B95&lt;=2020, HLOOKUP(C$3, CBStafelMan!$B$5:$CW$106, MATCH($A95,CBStafelMan!$A$5:$A$106,0),FALSE), ".")</f>
        <v>.</v>
      </c>
      <c r="D95" s="73">
        <f t="shared" si="14"/>
        <v>40089.544815434994</v>
      </c>
      <c r="E95" s="54">
        <f>IF(C95 &lt;&gt;".", ".", VLOOKUP($B95-1,AGtafelMan!$A$1:$FQ$122, MATCH(C$3+$B95-1,AGtafelMan!$A$1:$FQ$1,0),FALSE) )</f>
        <v>9.1780107900000005E-2</v>
      </c>
      <c r="F95" s="73" t="str">
        <f>IF(C$3+$B95&lt;=2020, HLOOKUP(C$3, CBStafelVrouw!$B$5:$CW$106, MATCH($A95,CBStafelVrouw!$A$5:$A$106,0),FALSE), ".")</f>
        <v>.</v>
      </c>
      <c r="G95" s="73">
        <f t="shared" si="9"/>
        <v>55339.293768078671</v>
      </c>
      <c r="H95" s="54">
        <f>IF(F95 &lt;&gt;".", ".", VLOOKUP($B95-1,AGtafelVrouw!$A$1:$FQ$122, MATCH(C$3+$B95,AGtafelVrouw!$A$1:$FQ$1,0),FALSE) )</f>
        <v>6.4619814499999997E-2</v>
      </c>
      <c r="I95" s="73">
        <f t="shared" si="10"/>
        <v>47714.419291756829</v>
      </c>
      <c r="K95" s="73" t="str">
        <f>IF(K$3+$B95&lt;=2020, HLOOKUP(K$3, CBStafelMan!$B$5:$CW$106, MATCH($A95,CBStafelMan!$A$5:$A$106,0),FALSE), ".")</f>
        <v>.</v>
      </c>
      <c r="L95" s="73">
        <f t="shared" si="11"/>
        <v>40616.527967976341</v>
      </c>
      <c r="M95" s="54">
        <f>IF(K95 &lt;&gt;".", ".", VLOOKUP($B95-1,AGtafelMan!$A$1:$FQ$122, MATCH(K$3+$B95,AGtafelMan!$A$1:$FQ$1,0),FALSE) )</f>
        <v>9.0824262099999997E-2</v>
      </c>
      <c r="N95" s="73" t="str">
        <f>IF(K$3+$B95&lt;=2020, HLOOKUP(K$3, CBStafelVrouw!$B$5:$CW$106, MATCH($A95,CBStafelVrouw!$A$5:$A$106,0),FALSE), ".")</f>
        <v>.</v>
      </c>
      <c r="O95" s="73">
        <f t="shared" si="12"/>
        <v>55339.293768078671</v>
      </c>
      <c r="P95" s="54">
        <f>IF(N95 &lt;&gt;".", ".", VLOOKUP($B95-1,AGtafelVrouw!$A$1:$FQ$122, MATCH(K$3+$B95,AGtafelVrouw!$A$1:$FQ$1,0),FALSE) )</f>
        <v>6.4619814499999997E-2</v>
      </c>
      <c r="Q95" s="73">
        <f t="shared" si="13"/>
        <v>47977.910868027509</v>
      </c>
    </row>
    <row r="96" spans="1:17" x14ac:dyDescent="0.25">
      <c r="A96" s="73" t="s">
        <v>34</v>
      </c>
      <c r="B96" s="73">
        <v>89</v>
      </c>
      <c r="C96" s="73" t="str">
        <f>IF(C$3+$B96&lt;=2020, HLOOKUP(C$3, CBStafelMan!$B$5:$CW$106, MATCH($A96,CBStafelMan!$A$5:$A$106,0),FALSE), ".")</f>
        <v>.</v>
      </c>
      <c r="D96" s="73">
        <f t="shared" si="14"/>
        <v>35844.644063545784</v>
      </c>
      <c r="E96" s="54">
        <f>IF(C96 &lt;&gt;".", ".", VLOOKUP($B96-1,AGtafelMan!$A$1:$FQ$122, MATCH(C$3+$B96-1,AGtafelMan!$A$1:$FQ$1,0),FALSE) )</f>
        <v>0.10588548139999999</v>
      </c>
      <c r="F96" s="73" t="str">
        <f>IF(C$3+$B96&lt;=2020, HLOOKUP(C$3, CBStafelVrouw!$B$5:$CW$106, MATCH($A96,CBStafelVrouw!$A$5:$A$106,0),FALSE), ".")</f>
        <v>.</v>
      </c>
      <c r="G96" s="73">
        <f t="shared" si="9"/>
        <v>51208.012636576364</v>
      </c>
      <c r="H96" s="54">
        <f>IF(F96 &lt;&gt;".", ".", VLOOKUP($B96-1,AGtafelVrouw!$A$1:$FQ$122, MATCH(C$3+$B96,AGtafelVrouw!$A$1:$FQ$1,0),FALSE) )</f>
        <v>7.4653665600000002E-2</v>
      </c>
      <c r="I96" s="73">
        <f t="shared" si="10"/>
        <v>43526.328350061071</v>
      </c>
      <c r="K96" s="73" t="str">
        <f>IF(K$3+$B96&lt;=2020, HLOOKUP(K$3, CBStafelMan!$B$5:$CW$106, MATCH($A96,CBStafelMan!$A$5:$A$106,0),FALSE), ".")</f>
        <v>.</v>
      </c>
      <c r="L96" s="73">
        <f t="shared" si="11"/>
        <v>36356.199249972276</v>
      </c>
      <c r="M96" s="54">
        <f>IF(K96 &lt;&gt;".", ".", VLOOKUP($B96-1,AGtafelMan!$A$1:$FQ$122, MATCH(K$3+$B96,AGtafelMan!$A$1:$FQ$1,0),FALSE) )</f>
        <v>0.10489150429999999</v>
      </c>
      <c r="N96" s="73" t="str">
        <f>IF(K$3+$B96&lt;=2020, HLOOKUP(K$3, CBStafelVrouw!$B$5:$CW$106, MATCH($A96,CBStafelVrouw!$A$5:$A$106,0),FALSE), ".")</f>
        <v>.</v>
      </c>
      <c r="O96" s="73">
        <f t="shared" si="12"/>
        <v>51208.012636576364</v>
      </c>
      <c r="P96" s="54">
        <f>IF(N96 &lt;&gt;".", ".", VLOOKUP($B96-1,AGtafelVrouw!$A$1:$FQ$122, MATCH(K$3+$B96,AGtafelVrouw!$A$1:$FQ$1,0),FALSE) )</f>
        <v>7.4653665600000002E-2</v>
      </c>
      <c r="Q96" s="73">
        <f t="shared" si="13"/>
        <v>43782.10594327432</v>
      </c>
    </row>
    <row r="97" spans="1:17" x14ac:dyDescent="0.25">
      <c r="A97" s="73" t="s">
        <v>33</v>
      </c>
      <c r="B97" s="73">
        <v>90</v>
      </c>
      <c r="C97" s="73" t="str">
        <f>IF(C$3+$B97&lt;=2020, HLOOKUP(C$3, CBStafelMan!$B$5:$CW$106, MATCH($A97,CBStafelMan!$A$5:$A$106,0),FALSE), ".")</f>
        <v>.</v>
      </c>
      <c r="D97" s="73">
        <f t="shared" si="14"/>
        <v>31544.599198886961</v>
      </c>
      <c r="E97" s="54">
        <f>IF(C97 &lt;&gt;".", ".", VLOOKUP($B97-1,AGtafelMan!$A$1:$FQ$122, MATCH(C$3+$B97-1,AGtafelMan!$A$1:$FQ$1,0),FALSE) )</f>
        <v>0.1199633858</v>
      </c>
      <c r="F97" s="73" t="str">
        <f>IF(C$3+$B97&lt;=2020, HLOOKUP(C$3, CBStafelVrouw!$B$5:$CW$106, MATCH($A97,CBStafelVrouw!$A$5:$A$106,0),FALSE), ".")</f>
        <v>.</v>
      </c>
      <c r="G97" s="73">
        <f t="shared" si="9"/>
        <v>46729.110166232582</v>
      </c>
      <c r="H97" s="54">
        <f>IF(F97 &lt;&gt;".", ".", VLOOKUP($B97-1,AGtafelVrouw!$A$1:$FQ$122, MATCH(C$3+$B97,AGtafelVrouw!$A$1:$FQ$1,0),FALSE) )</f>
        <v>8.7464875900000003E-2</v>
      </c>
      <c r="I97" s="73">
        <f t="shared" si="10"/>
        <v>39136.854682559773</v>
      </c>
      <c r="K97" s="73" t="str">
        <f>IF(K$3+$B97&lt;=2020, HLOOKUP(K$3, CBStafelMan!$B$5:$CW$106, MATCH($A97,CBStafelMan!$A$5:$A$106,0),FALSE), ".")</f>
        <v>.</v>
      </c>
      <c r="L97" s="73">
        <f t="shared" si="11"/>
        <v>32031.789749103544</v>
      </c>
      <c r="M97" s="54">
        <f>IF(K97 &lt;&gt;".", ".", VLOOKUP($B97-1,AGtafelMan!$A$1:$FQ$122, MATCH(K$3+$B97,AGtafelMan!$A$1:$FQ$1,0),FALSE) )</f>
        <v>0.1189455881</v>
      </c>
      <c r="N97" s="73" t="str">
        <f>IF(K$3+$B97&lt;=2020, HLOOKUP(K$3, CBStafelVrouw!$B$5:$CW$106, MATCH($A97,CBStafelVrouw!$A$5:$A$106,0),FALSE), ".")</f>
        <v>.</v>
      </c>
      <c r="O97" s="73">
        <f t="shared" si="12"/>
        <v>46729.110166232582</v>
      </c>
      <c r="P97" s="54">
        <f>IF(N97 &lt;&gt;".", ".", VLOOKUP($B97-1,AGtafelVrouw!$A$1:$FQ$122, MATCH(K$3+$B97,AGtafelVrouw!$A$1:$FQ$1,0),FALSE) )</f>
        <v>8.7464875900000003E-2</v>
      </c>
      <c r="Q97" s="73">
        <f t="shared" si="13"/>
        <v>39380.449957668061</v>
      </c>
    </row>
    <row r="98" spans="1:17" x14ac:dyDescent="0.25">
      <c r="A98" s="73" t="s">
        <v>32</v>
      </c>
      <c r="B98" s="73">
        <v>91</v>
      </c>
      <c r="C98" s="73" t="str">
        <f>IF(C$3+$B98&lt;=2020, HLOOKUP(C$3, CBStafelMan!$B$5:$CW$106, MATCH($A98,CBStafelMan!$A$5:$A$106,0),FALSE), ".")</f>
        <v>.</v>
      </c>
      <c r="D98" s="73">
        <f t="shared" si="14"/>
        <v>27263.288810403268</v>
      </c>
      <c r="E98" s="54">
        <f>IF(C98 &lt;&gt;".", ".", VLOOKUP($B98-1,AGtafelMan!$A$1:$FQ$122, MATCH(C$3+$B98-1,AGtafelMan!$A$1:$FQ$1,0),FALSE) )</f>
        <v>0.13572245320000001</v>
      </c>
      <c r="F98" s="73" t="str">
        <f>IF(C$3+$B98&lt;=2020, HLOOKUP(C$3, CBStafelVrouw!$B$5:$CW$106, MATCH($A98,CBStafelVrouw!$A$5:$A$106,0),FALSE), ".")</f>
        <v>.</v>
      </c>
      <c r="G98" s="73">
        <f t="shared" si="9"/>
        <v>41907.735397436445</v>
      </c>
      <c r="H98" s="54">
        <f>IF(F98 &lt;&gt;".", ".", VLOOKUP($B98-1,AGtafelVrouw!$A$1:$FQ$122, MATCH(C$3+$B98,AGtafelVrouw!$A$1:$FQ$1,0),FALSE) )</f>
        <v>0.10317711490000001</v>
      </c>
      <c r="I98" s="73">
        <f t="shared" si="10"/>
        <v>34585.512103919857</v>
      </c>
      <c r="K98" s="73" t="str">
        <f>IF(K$3+$B98&lt;=2020, HLOOKUP(K$3, CBStafelMan!$B$5:$CW$106, MATCH($A98,CBStafelMan!$A$5:$A$106,0),FALSE), ".")</f>
        <v>.</v>
      </c>
      <c r="L98" s="73">
        <f t="shared" si="11"/>
        <v>27718.226530705695</v>
      </c>
      <c r="M98" s="54">
        <f>IF(K98 &lt;&gt;".", ".", VLOOKUP($B98-1,AGtafelMan!$A$1:$FQ$122, MATCH(K$3+$B98,AGtafelMan!$A$1:$FQ$1,0),FALSE) )</f>
        <v>0.13466507029999999</v>
      </c>
      <c r="N98" s="73" t="str">
        <f>IF(K$3+$B98&lt;=2020, HLOOKUP(K$3, CBStafelVrouw!$B$5:$CW$106, MATCH($A98,CBStafelVrouw!$A$5:$A$106,0),FALSE), ".")</f>
        <v>.</v>
      </c>
      <c r="O98" s="73">
        <f t="shared" si="12"/>
        <v>41907.735397436445</v>
      </c>
      <c r="P98" s="54">
        <f>IF(N98 &lt;&gt;".", ".", VLOOKUP($B98-1,AGtafelVrouw!$A$1:$FQ$122, MATCH(K$3+$B98,AGtafelVrouw!$A$1:$FQ$1,0),FALSE) )</f>
        <v>0.10317711490000001</v>
      </c>
      <c r="Q98" s="73">
        <f t="shared" si="13"/>
        <v>34812.980964071074</v>
      </c>
    </row>
    <row r="99" spans="1:17" x14ac:dyDescent="0.25">
      <c r="A99" s="73" t="s">
        <v>31</v>
      </c>
      <c r="B99" s="73">
        <v>92</v>
      </c>
      <c r="C99" s="73" t="str">
        <f>IF(C$3+$B99&lt;=2020, HLOOKUP(C$3, CBStafelMan!$B$5:$CW$106, MATCH($A99,CBStafelMan!$A$5:$A$106,0),FALSE), ".")</f>
        <v>.</v>
      </c>
      <c r="D99" s="73">
        <f t="shared" si="14"/>
        <v>23122.264216984087</v>
      </c>
      <c r="E99" s="54">
        <f>IF(C99 &lt;&gt;".", ".", VLOOKUP($B99-1,AGtafelMan!$A$1:$FQ$122, MATCH(C$3+$B99-1,AGtafelMan!$A$1:$FQ$1,0),FALSE) )</f>
        <v>0.15189013409999999</v>
      </c>
      <c r="F99" s="73" t="str">
        <f>IF(C$3+$B99&lt;=2020, HLOOKUP(C$3, CBStafelVrouw!$B$5:$CW$106, MATCH($A99,CBStafelVrouw!$A$5:$A$106,0),FALSE), ".")</f>
        <v>.</v>
      </c>
      <c r="G99" s="73">
        <f t="shared" si="9"/>
        <v>37027.238699359063</v>
      </c>
      <c r="H99" s="54">
        <f>IF(F99 &lt;&gt;".", ".", VLOOKUP($B99-1,AGtafelVrouw!$A$1:$FQ$122, MATCH(C$3+$B99,AGtafelVrouw!$A$1:$FQ$1,0),FALSE) )</f>
        <v>0.1164581348</v>
      </c>
      <c r="I99" s="73">
        <f t="shared" si="10"/>
        <v>30074.751458171573</v>
      </c>
      <c r="K99" s="73" t="str">
        <f>IF(K$3+$B99&lt;=2020, HLOOKUP(K$3, CBStafelMan!$B$5:$CW$106, MATCH($A99,CBStafelMan!$A$5:$A$106,0),FALSE), ".")</f>
        <v>.</v>
      </c>
      <c r="L99" s="73">
        <f t="shared" si="11"/>
        <v>23537.281521633369</v>
      </c>
      <c r="M99" s="54">
        <f>IF(K99 &lt;&gt;".", ".", VLOOKUP($B99-1,AGtafelMan!$A$1:$FQ$122, MATCH(K$3+$B99,AGtafelMan!$A$1:$FQ$1,0),FALSE) )</f>
        <v>0.15083739230000001</v>
      </c>
      <c r="N99" s="73" t="str">
        <f>IF(K$3+$B99&lt;=2020, HLOOKUP(K$3, CBStafelVrouw!$B$5:$CW$106, MATCH($A99,CBStafelVrouw!$A$5:$A$106,0),FALSE), ".")</f>
        <v>.</v>
      </c>
      <c r="O99" s="73">
        <f t="shared" si="12"/>
        <v>37027.238699359063</v>
      </c>
      <c r="P99" s="54">
        <f>IF(N99 &lt;&gt;".", ".", VLOOKUP($B99-1,AGtafelVrouw!$A$1:$FQ$122, MATCH(K$3+$B99,AGtafelVrouw!$A$1:$FQ$1,0),FALSE) )</f>
        <v>0.1164581348</v>
      </c>
      <c r="Q99" s="73">
        <f t="shared" si="13"/>
        <v>30282.260110496216</v>
      </c>
    </row>
    <row r="100" spans="1:17" x14ac:dyDescent="0.25">
      <c r="A100" s="73" t="s">
        <v>30</v>
      </c>
      <c r="B100" s="73">
        <v>93</v>
      </c>
      <c r="C100" s="73" t="str">
        <f>IF(C$3+$B100&lt;=2020, HLOOKUP(C$3, CBStafelMan!$B$5:$CW$106, MATCH($A100,CBStafelMan!$A$5:$A$106,0),FALSE), ".")</f>
        <v>.</v>
      </c>
      <c r="D100" s="73">
        <f t="shared" si="14"/>
        <v>19173.699046573103</v>
      </c>
      <c r="E100" s="54">
        <f>IF(C100 &lt;&gt;".", ".", VLOOKUP($B100-1,AGtafelMan!$A$1:$FQ$122, MATCH(C$3+$B100-1,AGtafelMan!$A$1:$FQ$1,0),FALSE) )</f>
        <v>0.1707689668</v>
      </c>
      <c r="F100" s="73" t="str">
        <f>IF(C$3+$B100&lt;=2020, HLOOKUP(C$3, CBStafelVrouw!$B$5:$CW$106, MATCH($A100,CBStafelVrouw!$A$5:$A$106,0),FALSE), ".")</f>
        <v>.</v>
      </c>
      <c r="G100" s="73">
        <f t="shared" si="9"/>
        <v>32060.798621964303</v>
      </c>
      <c r="H100" s="54">
        <f>IF(F100 &lt;&gt;".", ".", VLOOKUP($B100-1,AGtafelVrouw!$A$1:$FQ$122, MATCH(C$3+$B100,AGtafelVrouw!$A$1:$FQ$1,0),FALSE) )</f>
        <v>0.1341293667</v>
      </c>
      <c r="I100" s="73">
        <f t="shared" si="10"/>
        <v>25617.248834268703</v>
      </c>
      <c r="K100" s="73" t="str">
        <f>IF(K$3+$B100&lt;=2020, HLOOKUP(K$3, CBStafelMan!$B$5:$CW$106, MATCH($A100,CBStafelMan!$A$5:$A$106,0),FALSE), ".")</f>
        <v>.</v>
      </c>
      <c r="L100" s="73">
        <f t="shared" si="11"/>
        <v>19542.385809846983</v>
      </c>
      <c r="M100" s="54">
        <f>IF(K100 &lt;&gt;".", ".", VLOOKUP($B100-1,AGtafelMan!$A$1:$FQ$122, MATCH(K$3+$B100,AGtafelMan!$A$1:$FQ$1,0),FALSE) )</f>
        <v>0.16972630029999999</v>
      </c>
      <c r="N100" s="73" t="str">
        <f>IF(K$3+$B100&lt;=2020, HLOOKUP(K$3, CBStafelVrouw!$B$5:$CW$106, MATCH($A100,CBStafelVrouw!$A$5:$A$106,0),FALSE), ".")</f>
        <v>.</v>
      </c>
      <c r="O100" s="73">
        <f t="shared" si="12"/>
        <v>32060.798621964303</v>
      </c>
      <c r="P100" s="54">
        <f>IF(N100 &lt;&gt;".", ".", VLOOKUP($B100-1,AGtafelVrouw!$A$1:$FQ$122, MATCH(K$3+$B100,AGtafelVrouw!$A$1:$FQ$1,0),FALSE) )</f>
        <v>0.1341293667</v>
      </c>
      <c r="Q100" s="73">
        <f t="shared" si="13"/>
        <v>25801.592215905643</v>
      </c>
    </row>
    <row r="101" spans="1:17" x14ac:dyDescent="0.25">
      <c r="A101" s="73" t="s">
        <v>29</v>
      </c>
      <c r="B101" s="73">
        <v>94</v>
      </c>
      <c r="C101" s="73" t="str">
        <f>IF(C$3+$B101&lt;=2020, HLOOKUP(C$3, CBStafelMan!$B$5:$CW$106, MATCH($A101,CBStafelMan!$A$5:$A$106,0),FALSE), ".")</f>
        <v>.</v>
      </c>
      <c r="D101" s="73">
        <f t="shared" si="14"/>
        <v>15505.847938228913</v>
      </c>
      <c r="E101" s="54">
        <f>IF(C101 &lt;&gt;".", ".", VLOOKUP($B101-1,AGtafelMan!$A$1:$FQ$122, MATCH(C$3+$B101-1,AGtafelMan!$A$1:$FQ$1,0),FALSE) )</f>
        <v>0.19129595699999999</v>
      </c>
      <c r="F101" s="73" t="str">
        <f>IF(C$3+$B101&lt;=2020, HLOOKUP(C$3, CBStafelVrouw!$B$5:$CW$106, MATCH($A101,CBStafelVrouw!$A$5:$A$106,0),FALSE), ".")</f>
        <v>.</v>
      </c>
      <c r="G101" s="73">
        <f t="shared" si="9"/>
        <v>27126.785253445509</v>
      </c>
      <c r="H101" s="54">
        <f>IF(F101 &lt;&gt;".", ".", VLOOKUP($B101-1,AGtafelVrouw!$A$1:$FQ$122, MATCH(C$3+$B101,AGtafelVrouw!$A$1:$FQ$1,0),FALSE) )</f>
        <v>0.1538955229</v>
      </c>
      <c r="I101" s="73">
        <f t="shared" si="10"/>
        <v>21316.316595837212</v>
      </c>
      <c r="K101" s="73" t="str">
        <f>IF(K$3+$B101&lt;=2020, HLOOKUP(K$3, CBStafelMan!$B$5:$CW$106, MATCH($A101,CBStafelMan!$A$5:$A$106,0),FALSE), ".")</f>
        <v>.</v>
      </c>
      <c r="L101" s="73">
        <f t="shared" si="11"/>
        <v>15823.828222993956</v>
      </c>
      <c r="M101" s="54">
        <f>IF(K101 &lt;&gt;".", ".", VLOOKUP($B101-1,AGtafelMan!$A$1:$FQ$122, MATCH(K$3+$B101,AGtafelMan!$A$1:$FQ$1,0),FALSE) )</f>
        <v>0.19028165869999999</v>
      </c>
      <c r="N101" s="73" t="str">
        <f>IF(K$3+$B101&lt;=2020, HLOOKUP(K$3, CBStafelVrouw!$B$5:$CW$106, MATCH($A101,CBStafelVrouw!$A$5:$A$106,0),FALSE), ".")</f>
        <v>.</v>
      </c>
      <c r="O101" s="73">
        <f t="shared" si="12"/>
        <v>27126.785253445509</v>
      </c>
      <c r="P101" s="54">
        <f>IF(N101 &lt;&gt;".", ".", VLOOKUP($B101-1,AGtafelVrouw!$A$1:$FQ$122, MATCH(K$3+$B101,AGtafelVrouw!$A$1:$FQ$1,0),FALSE) )</f>
        <v>0.1538955229</v>
      </c>
      <c r="Q101" s="73">
        <f t="shared" si="13"/>
        <v>21475.306738219733</v>
      </c>
    </row>
    <row r="102" spans="1:17" x14ac:dyDescent="0.25">
      <c r="A102" s="73" t="s">
        <v>28</v>
      </c>
      <c r="B102" s="73">
        <v>95</v>
      </c>
      <c r="C102" s="73" t="str">
        <f>IF(C$3+$B102&lt;=2020, HLOOKUP(C$3, CBStafelMan!$B$5:$CW$106, MATCH($A102,CBStafelMan!$A$5:$A$106,0),FALSE), ".")</f>
        <v>.</v>
      </c>
      <c r="D102" s="73">
        <f t="shared" si="14"/>
        <v>12196.881322271116</v>
      </c>
      <c r="E102" s="54">
        <f>IF(C102 &lt;&gt;".", ".", VLOOKUP($B102-1,AGtafelMan!$A$1:$FQ$122, MATCH(C$3+$B102-1,AGtafelMan!$A$1:$FQ$1,0),FALSE) )</f>
        <v>0.21340120379999999</v>
      </c>
      <c r="F102" s="73" t="str">
        <f>IF(C$3+$B102&lt;=2020, HLOOKUP(C$3, CBStafelVrouw!$B$5:$CW$106, MATCH($A102,CBStafelVrouw!$A$5:$A$106,0),FALSE), ".")</f>
        <v>.</v>
      </c>
      <c r="G102" s="73">
        <f t="shared" si="9"/>
        <v>22358.375185511475</v>
      </c>
      <c r="H102" s="54">
        <f>IF(F102 &lt;&gt;".", ".", VLOOKUP($B102-1,AGtafelVrouw!$A$1:$FQ$122, MATCH(C$3+$B102,AGtafelVrouw!$A$1:$FQ$1,0),FALSE) )</f>
        <v>0.1757823503</v>
      </c>
      <c r="I102" s="73">
        <f t="shared" si="10"/>
        <v>17277.628253891296</v>
      </c>
      <c r="K102" s="73" t="str">
        <f>IF(K$3+$B102&lt;=2020, HLOOKUP(K$3, CBStafelMan!$B$5:$CW$106, MATCH($A102,CBStafelMan!$A$5:$A$106,0),FALSE), ".")</f>
        <v>.</v>
      </c>
      <c r="L102" s="73">
        <f t="shared" si="11"/>
        <v>12462.293252288875</v>
      </c>
      <c r="M102" s="54">
        <f>IF(K102 &lt;&gt;".", ".", VLOOKUP($B102-1,AGtafelMan!$A$1:$FQ$122, MATCH(K$3+$B102,AGtafelMan!$A$1:$FQ$1,0),FALSE) )</f>
        <v>0.21243500139999999</v>
      </c>
      <c r="N102" s="73" t="str">
        <f>IF(K$3+$B102&lt;=2020, HLOOKUP(K$3, CBStafelVrouw!$B$5:$CW$106, MATCH($A102,CBStafelVrouw!$A$5:$A$106,0),FALSE), ".")</f>
        <v>.</v>
      </c>
      <c r="O102" s="73">
        <f t="shared" si="12"/>
        <v>22358.375185511475</v>
      </c>
      <c r="P102" s="54">
        <f>IF(N102 &lt;&gt;".", ".", VLOOKUP($B102-1,AGtafelVrouw!$A$1:$FQ$122, MATCH(K$3+$B102,AGtafelVrouw!$A$1:$FQ$1,0),FALSE) )</f>
        <v>0.1757823503</v>
      </c>
      <c r="Q102" s="73">
        <f t="shared" si="13"/>
        <v>17410.334218900174</v>
      </c>
    </row>
    <row r="103" spans="1:17" x14ac:dyDescent="0.25">
      <c r="A103" s="73" t="s">
        <v>27</v>
      </c>
      <c r="B103" s="73">
        <v>96</v>
      </c>
      <c r="C103" s="73" t="str">
        <f>IF(C$3+$B103&lt;=2020, HLOOKUP(C$3, CBStafelMan!$B$5:$CW$106, MATCH($A103,CBStafelMan!$A$5:$A$106,0),FALSE), ".")</f>
        <v>.</v>
      </c>
      <c r="D103" s="73">
        <f t="shared" si="14"/>
        <v>9306.7927290038788</v>
      </c>
      <c r="E103" s="54">
        <f>IF(C103 &lt;&gt;".", ".", VLOOKUP($B103-1,AGtafelMan!$A$1:$FQ$122, MATCH(C$3+$B103-1,AGtafelMan!$A$1:$FQ$1,0),FALSE) )</f>
        <v>0.23695307979999999</v>
      </c>
      <c r="F103" s="73" t="str">
        <f>IF(C$3+$B103&lt;=2020, HLOOKUP(C$3, CBStafelVrouw!$B$5:$CW$106, MATCH($A103,CBStafelVrouw!$A$5:$A$106,0),FALSE), ".")</f>
        <v>.</v>
      </c>
      <c r="G103" s="73">
        <f t="shared" ref="G103:G106" si="15">IF(F103 &lt;&gt;".", F103, G102*(1-H103))</f>
        <v>17892.545993779397</v>
      </c>
      <c r="H103" s="54">
        <f>IF(F103 &lt;&gt;".", ".", VLOOKUP($B103-1,AGtafelVrouw!$A$1:$FQ$122, MATCH(C$3+$B103,AGtafelVrouw!$A$1:$FQ$1,0),FALSE) )</f>
        <v>0.19973853890000001</v>
      </c>
      <c r="I103" s="73">
        <f t="shared" si="10"/>
        <v>13599.669361391638</v>
      </c>
      <c r="K103" s="73" t="str">
        <f>IF(K$3+$B103&lt;=2020, HLOOKUP(K$3, CBStafelMan!$B$5:$CW$106, MATCH($A103,CBStafelMan!$A$5:$A$106,0),FALSE), ".")</f>
        <v>.</v>
      </c>
      <c r="L103" s="73">
        <f t="shared" si="11"/>
        <v>9520.5044115476903</v>
      </c>
      <c r="M103" s="54">
        <f>IF(K103 &lt;&gt;".", ".", VLOOKUP($B103-1,AGtafelMan!$A$1:$FQ$122, MATCH(K$3+$B103,AGtafelMan!$A$1:$FQ$1,0),FALSE) )</f>
        <v>0.23605517710000001</v>
      </c>
      <c r="N103" s="73" t="str">
        <f>IF(K$3+$B103&lt;=2020, HLOOKUP(K$3, CBStafelVrouw!$B$5:$CW$106, MATCH($A103,CBStafelVrouw!$A$5:$A$106,0),FALSE), ".")</f>
        <v>.</v>
      </c>
      <c r="O103" s="73">
        <f t="shared" si="12"/>
        <v>17892.545993779397</v>
      </c>
      <c r="P103" s="54">
        <f>IF(N103 &lt;&gt;".", ".", VLOOKUP($B103-1,AGtafelVrouw!$A$1:$FQ$122, MATCH(K$3+$B103,AGtafelVrouw!$A$1:$FQ$1,0),FALSE) )</f>
        <v>0.19973853890000001</v>
      </c>
      <c r="Q103" s="73">
        <f t="shared" si="13"/>
        <v>13706.525202663543</v>
      </c>
    </row>
    <row r="104" spans="1:17" x14ac:dyDescent="0.25">
      <c r="A104" s="73" t="s">
        <v>26</v>
      </c>
      <c r="B104" s="73">
        <v>97</v>
      </c>
      <c r="C104" s="73" t="str">
        <f>IF(C$3+$B104&lt;=2020, HLOOKUP(C$3, CBStafelMan!$B$5:$CW$106, MATCH($A104,CBStafelMan!$A$5:$A$106,0),FALSE), ".")</f>
        <v>.</v>
      </c>
      <c r="D104" s="73">
        <f t="shared" si="14"/>
        <v>6870.7015603767359</v>
      </c>
      <c r="E104" s="54">
        <f>IF(C104 &lt;&gt;".", ".", VLOOKUP($B104-1,AGtafelMan!$A$1:$FQ$122, MATCH(C$3+$B104-1,AGtafelMan!$A$1:$FQ$1,0),FALSE) )</f>
        <v>0.2617541015</v>
      </c>
      <c r="F104" s="73" t="str">
        <f>IF(C$3+$B104&lt;=2020, HLOOKUP(C$3, CBStafelVrouw!$B$5:$CW$106, MATCH($A104,CBStafelVrouw!$A$5:$A$106,0),FALSE), ".")</f>
        <v>.</v>
      </c>
      <c r="G104" s="73">
        <f t="shared" si="15"/>
        <v>13855.632845970054</v>
      </c>
      <c r="H104" s="54">
        <f>IF(F104 &lt;&gt;".", ".", VLOOKUP($B104-1,AGtafelVrouw!$A$1:$FQ$122, MATCH(C$3+$B104,AGtafelVrouw!$A$1:$FQ$1,0),FALSE) )</f>
        <v>0.22561982789999999</v>
      </c>
      <c r="I104" s="73">
        <f t="shared" si="10"/>
        <v>10363.167203173394</v>
      </c>
      <c r="K104" s="73" t="str">
        <f>IF(K$3+$B104&lt;=2020, HLOOKUP(K$3, CBStafelMan!$B$5:$CW$106, MATCH($A104,CBStafelMan!$A$5:$A$106,0),FALSE), ".")</f>
        <v>.</v>
      </c>
      <c r="L104" s="73">
        <f t="shared" si="11"/>
        <v>7036.1861863795184</v>
      </c>
      <c r="M104" s="54">
        <f>IF(K104 &lt;&gt;".", ".", VLOOKUP($B104-1,AGtafelMan!$A$1:$FQ$122, MATCH(K$3+$B104,AGtafelMan!$A$1:$FQ$1,0),FALSE) )</f>
        <v>0.26094397079999998</v>
      </c>
      <c r="N104" s="73" t="str">
        <f>IF(K$3+$B104&lt;=2020, HLOOKUP(K$3, CBStafelVrouw!$B$5:$CW$106, MATCH($A104,CBStafelVrouw!$A$5:$A$106,0),FALSE), ".")</f>
        <v>.</v>
      </c>
      <c r="O104" s="73">
        <f t="shared" si="12"/>
        <v>13855.632845970054</v>
      </c>
      <c r="P104" s="54">
        <f>IF(N104 &lt;&gt;".", ".", VLOOKUP($B104-1,AGtafelVrouw!$A$1:$FQ$122, MATCH(K$3+$B104,AGtafelVrouw!$A$1:$FQ$1,0),FALSE) )</f>
        <v>0.22561982789999999</v>
      </c>
      <c r="Q104" s="73">
        <f t="shared" si="13"/>
        <v>10445.909516174786</v>
      </c>
    </row>
    <row r="105" spans="1:17" x14ac:dyDescent="0.25">
      <c r="A105" s="73" t="s">
        <v>25</v>
      </c>
      <c r="B105" s="73">
        <v>98</v>
      </c>
      <c r="C105" s="73" t="str">
        <f>IF(C$3+$B105&lt;=2020, HLOOKUP(C$3, CBStafelMan!$B$5:$CW$106, MATCH($A105,CBStafelMan!$A$5:$A$106,0),FALSE), ".")</f>
        <v>.</v>
      </c>
      <c r="D105" s="73">
        <f t="shared" si="14"/>
        <v>4895.0877406467771</v>
      </c>
      <c r="E105" s="54">
        <f>IF(C105 &lt;&gt;".", ".", VLOOKUP($B105-1,AGtafelMan!$A$1:$FQ$122, MATCH(C$3+$B105-1,AGtafelMan!$A$1:$FQ$1,0),FALSE) )</f>
        <v>0.28754178920000001</v>
      </c>
      <c r="F105" s="73" t="str">
        <f>IF(C$3+$B105&lt;=2020, HLOOKUP(C$3, CBStafelVrouw!$B$5:$CW$106, MATCH($A105,CBStafelVrouw!$A$5:$A$106,0),FALSE), ".")</f>
        <v>.</v>
      </c>
      <c r="G105" s="73">
        <f t="shared" si="15"/>
        <v>10347.682925934479</v>
      </c>
      <c r="H105" s="54">
        <f>IF(F105 &lt;&gt;".", ".", VLOOKUP($B105-1,AGtafelVrouw!$A$1:$FQ$122, MATCH(C$3+$B105,AGtafelVrouw!$A$1:$FQ$1,0),FALSE) )</f>
        <v>0.25317861400000002</v>
      </c>
      <c r="I105" s="73">
        <f t="shared" si="10"/>
        <v>7621.3853332906283</v>
      </c>
      <c r="K105" s="73" t="str">
        <f>IF(K$3+$B105&lt;=2020, HLOOKUP(K$3, CBStafelMan!$B$5:$CW$106, MATCH($A105,CBStafelMan!$A$5:$A$106,0),FALSE), ".")</f>
        <v>.</v>
      </c>
      <c r="L105" s="73">
        <f t="shared" si="11"/>
        <v>5017.9489748544538</v>
      </c>
      <c r="M105" s="54">
        <f>IF(K105 &lt;&gt;".", ".", VLOOKUP($B105-1,AGtafelMan!$A$1:$FQ$122, MATCH(K$3+$B105,AGtafelMan!$A$1:$FQ$1,0),FALSE) )</f>
        <v>0.28683681160000002</v>
      </c>
      <c r="N105" s="73" t="str">
        <f>IF(K$3+$B105&lt;=2020, HLOOKUP(K$3, CBStafelVrouw!$B$5:$CW$106, MATCH($A105,CBStafelVrouw!$A$5:$A$106,0),FALSE), ".")</f>
        <v>.</v>
      </c>
      <c r="O105" s="73">
        <f t="shared" si="12"/>
        <v>10347.682925934479</v>
      </c>
      <c r="P105" s="54">
        <f>IF(N105 &lt;&gt;".", ".", VLOOKUP($B105-1,AGtafelVrouw!$A$1:$FQ$122, MATCH(K$3+$B105,AGtafelVrouw!$A$1:$FQ$1,0),FALSE) )</f>
        <v>0.25317861400000002</v>
      </c>
      <c r="Q105" s="73">
        <f t="shared" si="13"/>
        <v>7682.8159503944662</v>
      </c>
    </row>
    <row r="106" spans="1:17" s="3" customFormat="1" x14ac:dyDescent="0.25">
      <c r="A106" s="3" t="s">
        <v>24</v>
      </c>
      <c r="B106" s="3">
        <v>99</v>
      </c>
      <c r="C106" s="3" t="str">
        <f>IF(C$3+$B106&lt;=2020, HLOOKUP(C$3, CBStafelMan!$B$5:$CW$106, MATCH($A106,CBStafelMan!$A$5:$A$106,0),FALSE), ".")</f>
        <v>.</v>
      </c>
      <c r="D106" s="3">
        <f t="shared" si="14"/>
        <v>3358.0517181900636</v>
      </c>
      <c r="E106" s="54">
        <f>IF(C106 &lt;&gt;".", ".", VLOOKUP($B106-1,AGtafelMan!$A$1:$FQ$122, MATCH(C$3+$B106-1,AGtafelMan!$A$1:$FQ$1,0),FALSE) )</f>
        <v>0.31399560209999999</v>
      </c>
      <c r="F106" s="3" t="str">
        <f>IF(C$3+$B106&lt;=2020, HLOOKUP(C$3, CBStafelVrouw!$B$5:$CW$106, MATCH($A106,CBStafelVrouw!$A$5:$A$106,0),FALSE), ".")</f>
        <v>.</v>
      </c>
      <c r="G106" s="3">
        <f t="shared" si="15"/>
        <v>7428.9895175089396</v>
      </c>
      <c r="H106" s="54">
        <f>IF(F106 &lt;&gt;".", ".", VLOOKUP($B106-1,AGtafelVrouw!$A$1:$FQ$122, MATCH(C$3+$B106,AGtafelVrouw!$A$1:$FQ$1,0),FALSE) )</f>
        <v>0.28206250900000002</v>
      </c>
      <c r="I106" s="3">
        <f t="shared" si="10"/>
        <v>5393.5206178495018</v>
      </c>
      <c r="K106" s="3" t="str">
        <f>IF(K$3+$B106&lt;=2020, HLOOKUP(K$3, CBStafelMan!$B$5:$CW$106, MATCH($A106,CBStafelMan!$A$5:$A$106,0),FALSE), ".")</f>
        <v>.</v>
      </c>
      <c r="L106" s="3">
        <f t="shared" si="11"/>
        <v>3445.2750433559072</v>
      </c>
      <c r="M106" s="54">
        <f>IF(K106 &lt;&gt;".", ".", VLOOKUP($B106-1,AGtafelMan!$A$1:$FQ$122, MATCH(K$3+$B106,AGtafelMan!$A$1:$FQ$1,0),FALSE) )</f>
        <v>0.31340970969999998</v>
      </c>
      <c r="N106" s="3" t="str">
        <f>IF(K$3+$B106&lt;=2020, HLOOKUP(K$3, CBStafelVrouw!$B$5:$CW$106, MATCH($A106,CBStafelVrouw!$A$5:$A$106,0),FALSE), ".")</f>
        <v>.</v>
      </c>
      <c r="O106" s="3">
        <f t="shared" si="12"/>
        <v>7428.9895175089396</v>
      </c>
      <c r="P106" s="54">
        <f>IF(N106 &lt;&gt;".", ".", VLOOKUP($B106-1,AGtafelVrouw!$A$1:$FQ$122, MATCH(K$3+$B106,AGtafelVrouw!$A$1:$FQ$1,0),FALSE) )</f>
        <v>0.28206250900000002</v>
      </c>
      <c r="Q106" s="3">
        <f t="shared" si="13"/>
        <v>5437.1322804324236</v>
      </c>
    </row>
    <row r="107" spans="1:17" s="18" customFormat="1" x14ac:dyDescent="0.25">
      <c r="A107" s="18" t="s">
        <v>17</v>
      </c>
      <c r="B107" s="18">
        <v>100</v>
      </c>
      <c r="C107" s="18" t="s">
        <v>218</v>
      </c>
      <c r="D107" s="73">
        <f t="shared" si="14"/>
        <v>2213.7947426074679</v>
      </c>
      <c r="E107" s="54">
        <f>IF(C107 &lt;&gt;".", ".", VLOOKUP($B107-1,AGtafelMan!$A$1:$FQ$122, MATCH(C$3+$B107-1,AGtafelMan!$A$1:$FQ$1,0),FALSE) )</f>
        <v>0.34075025390000002</v>
      </c>
      <c r="F107" s="18" t="s">
        <v>218</v>
      </c>
      <c r="G107" s="73">
        <f t="shared" ref="G107:G127" si="16">IF(F107 &lt;&gt;".", F107, G106*(1-H107))</f>
        <v>5112.4479353275774</v>
      </c>
      <c r="H107" s="54">
        <f>IF(F107 &lt;&gt;".", ".", VLOOKUP($B107-1,AGtafelVrouw!$A$1:$FQ$122, MATCH(C$3+$B107,AGtafelVrouw!$A$1:$FQ$1,0),FALSE) )</f>
        <v>0.31182458619999998</v>
      </c>
      <c r="I107" s="18">
        <f t="shared" si="10"/>
        <v>3663.1213389675227</v>
      </c>
      <c r="K107" s="18" t="s">
        <v>218</v>
      </c>
      <c r="L107" s="73">
        <f t="shared" si="11"/>
        <v>2272.8728916158434</v>
      </c>
      <c r="M107" s="54">
        <f>IF(K107 &lt;&gt;".", ".", VLOOKUP($B107-1,AGtafelMan!$A$1:$FQ$122, MATCH(K$3+$B107,AGtafelMan!$A$1:$FQ$1,0),FALSE) )</f>
        <v>0.34029275949999999</v>
      </c>
      <c r="N107" s="18" t="s">
        <v>218</v>
      </c>
      <c r="O107" s="73">
        <f t="shared" si="12"/>
        <v>5112.4479353275774</v>
      </c>
      <c r="P107" s="54">
        <f>IF(N107 &lt;&gt;".", ".", VLOOKUP($B107-1,AGtafelVrouw!$A$1:$FQ$122, MATCH(K$3+$B107,AGtafelVrouw!$A$1:$FQ$1,0),FALSE) )</f>
        <v>0.31182458619999998</v>
      </c>
      <c r="Q107" s="18">
        <f t="shared" si="13"/>
        <v>3692.6604134717104</v>
      </c>
    </row>
    <row r="108" spans="1:17" x14ac:dyDescent="0.25">
      <c r="B108" s="73">
        <v>101</v>
      </c>
      <c r="C108" s="73" t="s">
        <v>218</v>
      </c>
      <c r="D108" s="73">
        <f t="shared" si="14"/>
        <v>1400.4141003853165</v>
      </c>
      <c r="E108" s="54">
        <f>IF(C108 &lt;&gt;".", ".", VLOOKUP($B108-1,AGtafelMan!$A$1:$FQ$122, MATCH(C$3+$B108-1,AGtafelMan!$A$1:$FQ$1,0),FALSE) )</f>
        <v>0.36741465979999999</v>
      </c>
      <c r="F108" s="73" t="s">
        <v>218</v>
      </c>
      <c r="G108" s="73">
        <f t="shared" si="16"/>
        <v>3364.2652180390533</v>
      </c>
      <c r="H108" s="54">
        <f>IF(F108 &lt;&gt;".", ".", VLOOKUP($B108-1,AGtafelVrouw!$A$1:$FQ$122, MATCH(C$3+$B108,AGtafelVrouw!$A$1:$FQ$1,0),FALSE) )</f>
        <v>0.34194631209999998</v>
      </c>
      <c r="I108" s="73">
        <f t="shared" si="10"/>
        <v>2382.3396592121849</v>
      </c>
      <c r="K108" s="73" t="s">
        <v>218</v>
      </c>
      <c r="L108" s="73">
        <f t="shared" si="11"/>
        <v>1438.5252150934145</v>
      </c>
      <c r="M108" s="54">
        <f>IF(K108 &lt;&gt;".", ".", VLOOKUP($B108-1,AGtafelMan!$A$1:$FQ$122, MATCH(K$3+$B108,AGtafelMan!$A$1:$FQ$1,0),FALSE) )</f>
        <v>0.36708945739999999</v>
      </c>
      <c r="N108" s="73" t="s">
        <v>218</v>
      </c>
      <c r="O108" s="73">
        <f t="shared" si="12"/>
        <v>3364.2652180390533</v>
      </c>
      <c r="P108" s="54">
        <f>IF(N108 &lt;&gt;".", ".", VLOOKUP($B108-1,AGtafelVrouw!$A$1:$FQ$122, MATCH(K$3+$B108,AGtafelVrouw!$A$1:$FQ$1,0),FALSE) )</f>
        <v>0.34194631209999998</v>
      </c>
      <c r="Q108" s="73">
        <f t="shared" si="13"/>
        <v>2401.395216566234</v>
      </c>
    </row>
    <row r="109" spans="1:17" x14ac:dyDescent="0.25">
      <c r="B109" s="73">
        <v>102</v>
      </c>
      <c r="C109" s="73" t="s">
        <v>218</v>
      </c>
      <c r="D109" s="73">
        <f t="shared" si="14"/>
        <v>849.21860170880313</v>
      </c>
      <c r="E109" s="54">
        <f>IF(C109 &lt;&gt;".", ".", VLOOKUP($B109-1,AGtafelMan!$A$1:$FQ$122, MATCH(C$3+$B109-1,AGtafelMan!$A$1:$FQ$1,0),FALSE) )</f>
        <v>0.39359465069999999</v>
      </c>
      <c r="F109" s="73" t="s">
        <v>218</v>
      </c>
      <c r="G109" s="73">
        <f t="shared" si="16"/>
        <v>2113.1905369931847</v>
      </c>
      <c r="H109" s="54">
        <f>IF(F109 &lt;&gt;".", ".", VLOOKUP($B109-1,AGtafelVrouw!$A$1:$FQ$122, MATCH(C$3+$B109,AGtafelVrouw!$A$1:$FQ$1,0),FALSE) )</f>
        <v>0.37187159749999998</v>
      </c>
      <c r="I109" s="73">
        <f t="shared" si="10"/>
        <v>1481.204569350994</v>
      </c>
      <c r="K109" s="73" t="s">
        <v>218</v>
      </c>
      <c r="L109" s="73">
        <f t="shared" si="11"/>
        <v>872.60950235808866</v>
      </c>
      <c r="M109" s="54">
        <f>IF(K109 &lt;&gt;".", ".", VLOOKUP($B109-1,AGtafelMan!$A$1:$FQ$122, MATCH(K$3+$B109,AGtafelMan!$A$1:$FQ$1,0),FALSE) )</f>
        <v>0.39339992569999999</v>
      </c>
      <c r="N109" s="73" t="s">
        <v>218</v>
      </c>
      <c r="O109" s="73">
        <f t="shared" si="12"/>
        <v>2113.1905369931847</v>
      </c>
      <c r="P109" s="54">
        <f>IF(N109 &lt;&gt;".", ".", VLOOKUP($B109-1,AGtafelVrouw!$A$1:$FQ$122, MATCH(K$3+$B109,AGtafelVrouw!$A$1:$FQ$1,0),FALSE) )</f>
        <v>0.37187159749999998</v>
      </c>
      <c r="Q109" s="73">
        <f t="shared" si="13"/>
        <v>1492.9000196756367</v>
      </c>
    </row>
    <row r="110" spans="1:17" x14ac:dyDescent="0.25">
      <c r="B110" s="73">
        <v>103</v>
      </c>
      <c r="C110" s="73" t="s">
        <v>218</v>
      </c>
      <c r="D110" s="73">
        <f t="shared" si="14"/>
        <v>493.46671489234268</v>
      </c>
      <c r="E110" s="54">
        <f>IF(C110 &lt;&gt;".", ".", VLOOKUP($B110-1,AGtafelMan!$A$1:$FQ$122, MATCH(C$3+$B110-1,AGtafelMan!$A$1:$FQ$1,0),FALSE) )</f>
        <v>0.41891673839999999</v>
      </c>
      <c r="F110" s="73" t="s">
        <v>218</v>
      </c>
      <c r="G110" s="73">
        <f t="shared" si="16"/>
        <v>1265.7003578285894</v>
      </c>
      <c r="H110" s="54">
        <f>IF(F110 &lt;&gt;".", ".", VLOOKUP($B110-1,AGtafelVrouw!$A$1:$FQ$122, MATCH(C$3+$B110,AGtafelVrouw!$A$1:$FQ$1,0),FALSE) )</f>
        <v>0.40104768800000001</v>
      </c>
      <c r="I110" s="73">
        <f t="shared" si="10"/>
        <v>879.58353636046604</v>
      </c>
      <c r="K110" s="73" t="s">
        <v>218</v>
      </c>
      <c r="L110" s="73">
        <f t="shared" si="11"/>
        <v>507.12116408415454</v>
      </c>
      <c r="M110" s="54">
        <f>IF(K110 &lt;&gt;".", ".", VLOOKUP($B110-1,AGtafelMan!$A$1:$FQ$122, MATCH(K$3+$B110,AGtafelMan!$A$1:$FQ$1,0),FALSE) )</f>
        <v>0.41884524210000001</v>
      </c>
      <c r="N110" s="73" t="s">
        <v>218</v>
      </c>
      <c r="O110" s="73">
        <f t="shared" si="12"/>
        <v>1265.7003578285894</v>
      </c>
      <c r="P110" s="54">
        <f>IF(N110 &lt;&gt;".", ".", VLOOKUP($B110-1,AGtafelVrouw!$A$1:$FQ$122, MATCH(K$3+$B110,AGtafelVrouw!$A$1:$FQ$1,0),FALSE) )</f>
        <v>0.40104768800000001</v>
      </c>
      <c r="Q110" s="73">
        <f t="shared" si="13"/>
        <v>886.41076095637197</v>
      </c>
    </row>
    <row r="111" spans="1:17" x14ac:dyDescent="0.25">
      <c r="B111" s="73">
        <v>104</v>
      </c>
      <c r="C111" s="73" t="s">
        <v>218</v>
      </c>
      <c r="D111" s="73">
        <f t="shared" si="14"/>
        <v>274.83634370665584</v>
      </c>
      <c r="E111" s="54">
        <f>IF(C111 &lt;&gt;".", ".", VLOOKUP($B111-1,AGtafelMan!$A$1:$FQ$122, MATCH(C$3+$B111-1,AGtafelMan!$A$1:$FQ$1,0),FALSE) )</f>
        <v>0.44304988480000002</v>
      </c>
      <c r="F111" s="73" t="s">
        <v>218</v>
      </c>
      <c r="G111" s="73">
        <f t="shared" si="16"/>
        <v>722.75709074590111</v>
      </c>
      <c r="H111" s="54">
        <f>IF(F111 &lt;&gt;".", ".", VLOOKUP($B111-1,AGtafelVrouw!$A$1:$FQ$122, MATCH(C$3+$B111,AGtafelVrouw!$A$1:$FQ$1,0),FALSE) )</f>
        <v>0.42896666950000001</v>
      </c>
      <c r="I111" s="73">
        <f t="shared" si="10"/>
        <v>498.79671722627847</v>
      </c>
      <c r="K111" s="73" t="s">
        <v>218</v>
      </c>
      <c r="L111" s="73">
        <f t="shared" si="11"/>
        <v>282.42098441282076</v>
      </c>
      <c r="M111" s="54">
        <f>IF(K111 &lt;&gt;".", ".", VLOOKUP($B111-1,AGtafelMan!$A$1:$FQ$122, MATCH(K$3+$B111,AGtafelMan!$A$1:$FQ$1,0),FALSE) )</f>
        <v>0.44308973000000001</v>
      </c>
      <c r="N111" s="73" t="s">
        <v>218</v>
      </c>
      <c r="O111" s="73">
        <f t="shared" si="12"/>
        <v>722.75709074590111</v>
      </c>
      <c r="P111" s="54">
        <f>IF(N111 &lt;&gt;".", ".", VLOOKUP($B111-1,AGtafelVrouw!$A$1:$FQ$122, MATCH(K$3+$B111,AGtafelVrouw!$A$1:$FQ$1,0),FALSE) )</f>
        <v>0.42896666950000001</v>
      </c>
      <c r="Q111" s="73">
        <f t="shared" si="13"/>
        <v>502.58903757936093</v>
      </c>
    </row>
    <row r="112" spans="1:17" x14ac:dyDescent="0.25">
      <c r="B112" s="73">
        <v>105</v>
      </c>
      <c r="C112" s="73" t="s">
        <v>218</v>
      </c>
      <c r="D112" s="73">
        <f t="shared" si="14"/>
        <v>146.83885692527227</v>
      </c>
      <c r="E112" s="54">
        <f>IF(C112 &lt;&gt;".", ".", VLOOKUP($B112-1,AGtafelMan!$A$1:$FQ$122, MATCH(C$3+$B112-1,AGtafelMan!$A$1:$FQ$1,0),FALSE) )</f>
        <v>0.46572256439999998</v>
      </c>
      <c r="F112" s="73" t="s">
        <v>218</v>
      </c>
      <c r="G112" s="73">
        <f t="shared" si="16"/>
        <v>393.75735972344194</v>
      </c>
      <c r="H112" s="54">
        <f>IF(F112 &lt;&gt;".", ".", VLOOKUP($B112-1,AGtafelVrouw!$A$1:$FQ$122, MATCH(C$3+$B112,AGtafelVrouw!$A$1:$FQ$1,0),FALSE) )</f>
        <v>0.45520097310000002</v>
      </c>
      <c r="I112" s="73">
        <f t="shared" si="10"/>
        <v>270.29810832435709</v>
      </c>
      <c r="K112" s="73" t="s">
        <v>218</v>
      </c>
      <c r="L112" s="73">
        <f t="shared" si="11"/>
        <v>150.85279465210274</v>
      </c>
      <c r="M112" s="54">
        <f>IF(K112 &lt;&gt;".", ".", VLOOKUP($B112-1,AGtafelMan!$A$1:$FQ$122, MATCH(K$3+$B112,AGtafelMan!$A$1:$FQ$1,0),FALSE) )</f>
        <v>0.46585840649999999</v>
      </c>
      <c r="N112" s="73" t="s">
        <v>218</v>
      </c>
      <c r="O112" s="73">
        <f t="shared" si="12"/>
        <v>393.75735972344194</v>
      </c>
      <c r="P112" s="54">
        <f>IF(N112 &lt;&gt;".", ".", VLOOKUP($B112-1,AGtafelVrouw!$A$1:$FQ$122, MATCH(K$3+$B112,AGtafelVrouw!$A$1:$FQ$1,0),FALSE) )</f>
        <v>0.45520097310000002</v>
      </c>
      <c r="Q112" s="73">
        <f t="shared" si="13"/>
        <v>272.30507718777233</v>
      </c>
    </row>
    <row r="113" spans="2:17" x14ac:dyDescent="0.25">
      <c r="B113" s="73">
        <v>106</v>
      </c>
      <c r="C113" s="73" t="s">
        <v>218</v>
      </c>
      <c r="D113" s="73">
        <f t="shared" si="14"/>
        <v>75.367493073597743</v>
      </c>
      <c r="E113" s="54">
        <f>IF(C113 &lt;&gt;".", ".", VLOOKUP($B113-1,AGtafelMan!$A$1:$FQ$122, MATCH(C$3+$B113-1,AGtafelMan!$A$1:$FQ$1,0),FALSE) )</f>
        <v>0.48673331669999997</v>
      </c>
      <c r="F113" s="73" t="s">
        <v>218</v>
      </c>
      <c r="G113" s="73">
        <f t="shared" si="16"/>
        <v>204.9791928603797</v>
      </c>
      <c r="H113" s="54">
        <f>IF(F113 &lt;&gt;".", ".", VLOOKUP($B113-1,AGtafelVrouw!$A$1:$FQ$122, MATCH(C$3+$B113,AGtafelVrouw!$A$1:$FQ$1,0),FALSE) )</f>
        <v>0.47942765310000002</v>
      </c>
      <c r="I113" s="73">
        <f t="shared" si="10"/>
        <v>140.17334296698871</v>
      </c>
      <c r="K113" s="73" t="s">
        <v>218</v>
      </c>
      <c r="L113" s="73">
        <f t="shared" si="11"/>
        <v>77.395368520911276</v>
      </c>
      <c r="M113" s="54">
        <f>IF(K113 &lt;&gt;".", ".", VLOOKUP($B113-1,AGtafelMan!$A$1:$FQ$122, MATCH(K$3+$B113,AGtafelMan!$A$1:$FQ$1,0),FALSE) )</f>
        <v>0.48694773139999997</v>
      </c>
      <c r="N113" s="73" t="s">
        <v>218</v>
      </c>
      <c r="O113" s="73">
        <f t="shared" si="12"/>
        <v>204.9791928603797</v>
      </c>
      <c r="P113" s="54">
        <f>IF(N113 &lt;&gt;".", ".", VLOOKUP($B113-1,AGtafelVrouw!$A$1:$FQ$122, MATCH(K$3+$B113,AGtafelVrouw!$A$1:$FQ$1,0),FALSE) )</f>
        <v>0.47942765310000002</v>
      </c>
      <c r="Q113" s="73">
        <f t="shared" si="13"/>
        <v>141.18728069064548</v>
      </c>
    </row>
    <row r="114" spans="2:17" x14ac:dyDescent="0.25">
      <c r="B114" s="73">
        <v>107</v>
      </c>
      <c r="C114" s="73" t="s">
        <v>218</v>
      </c>
      <c r="D114" s="73">
        <f t="shared" si="14"/>
        <v>37.234992799063363</v>
      </c>
      <c r="E114" s="54">
        <f>IF(C114 &lt;&gt;".", ".", VLOOKUP($B114-1,AGtafelMan!$A$1:$FQ$122, MATCH(C$3+$B114-1,AGtafelMan!$A$1:$FQ$1,0),FALSE) )</f>
        <v>0.50595420810000002</v>
      </c>
      <c r="F114" s="73" t="s">
        <v>218</v>
      </c>
      <c r="G114" s="73">
        <f t="shared" si="16"/>
        <v>102.19465092667878</v>
      </c>
      <c r="H114" s="54">
        <f>IF(F114 &lt;&gt;".", ".", VLOOKUP($B114-1,AGtafelVrouw!$A$1:$FQ$122, MATCH(C$3+$B114,AGtafelVrouw!$A$1:$FQ$1,0),FALSE) )</f>
        <v>0.50143890459999996</v>
      </c>
      <c r="I114" s="73">
        <f t="shared" si="10"/>
        <v>69.714821862871077</v>
      </c>
      <c r="K114" s="73" t="s">
        <v>218</v>
      </c>
      <c r="L114" s="73">
        <f t="shared" si="11"/>
        <v>38.21558327801197</v>
      </c>
      <c r="M114" s="54">
        <f>IF(K114 &lt;&gt;".", ".", VLOOKUP($B114-1,AGtafelMan!$A$1:$FQ$122, MATCH(K$3+$B114,AGtafelMan!$A$1:$FQ$1,0),FALSE) )</f>
        <v>0.50622906759999997</v>
      </c>
      <c r="N114" s="73" t="s">
        <v>218</v>
      </c>
      <c r="O114" s="73">
        <f t="shared" si="12"/>
        <v>102.19465092667878</v>
      </c>
      <c r="P114" s="54">
        <f>IF(N114 &lt;&gt;".", ".", VLOOKUP($B114-1,AGtafelVrouw!$A$1:$FQ$122, MATCH(K$3+$B114,AGtafelVrouw!$A$1:$FQ$1,0),FALSE) )</f>
        <v>0.50143890459999996</v>
      </c>
      <c r="Q114" s="73">
        <f t="shared" si="13"/>
        <v>70.205117102345369</v>
      </c>
    </row>
    <row r="115" spans="2:17" x14ac:dyDescent="0.25">
      <c r="B115" s="73">
        <v>108</v>
      </c>
      <c r="C115" s="73" t="s">
        <v>218</v>
      </c>
      <c r="D115" s="73">
        <f t="shared" si="14"/>
        <v>17.74888552865227</v>
      </c>
      <c r="E115" s="54">
        <f>IF(C115 &lt;&gt;".", ".", VLOOKUP($B115-1,AGtafelMan!$A$1:$FQ$122, MATCH(C$3+$B115-1,AGtafelMan!$A$1:$FQ$1,0),FALSE) )</f>
        <v>0.52332781090000002</v>
      </c>
      <c r="F115" s="73" t="s">
        <v>218</v>
      </c>
      <c r="G115" s="73">
        <f t="shared" si="16"/>
        <v>48.937001884835212</v>
      </c>
      <c r="H115" s="54">
        <f>IF(F115 &lt;&gt;".", ".", VLOOKUP($B115-1,AGtafelVrouw!$A$1:$FQ$122, MATCH(C$3+$B115,AGtafelVrouw!$A$1:$FQ$1,0),FALSE) )</f>
        <v>0.52113930190000002</v>
      </c>
      <c r="I115" s="73">
        <f t="shared" si="10"/>
        <v>33.342943706743739</v>
      </c>
      <c r="K115" s="73" t="s">
        <v>218</v>
      </c>
      <c r="L115" s="73">
        <f t="shared" si="11"/>
        <v>18.204165339757953</v>
      </c>
      <c r="M115" s="54">
        <f>IF(K115 &lt;&gt;".", ".", VLOOKUP($B115-1,AGtafelMan!$A$1:$FQ$122, MATCH(K$3+$B115,AGtafelMan!$A$1:$FQ$1,0),FALSE) )</f>
        <v>0.52364549279999995</v>
      </c>
      <c r="N115" s="73" t="s">
        <v>218</v>
      </c>
      <c r="O115" s="73">
        <f t="shared" si="12"/>
        <v>48.937001884835212</v>
      </c>
      <c r="P115" s="54">
        <f>IF(N115 &lt;&gt;".", ".", VLOOKUP($B115-1,AGtafelVrouw!$A$1:$FQ$122, MATCH(K$3+$B115,AGtafelVrouw!$A$1:$FQ$1,0),FALSE) )</f>
        <v>0.52113930190000002</v>
      </c>
      <c r="Q115" s="73">
        <f t="shared" si="13"/>
        <v>33.570583612296581</v>
      </c>
    </row>
    <row r="116" spans="2:17" x14ac:dyDescent="0.25">
      <c r="B116" s="73">
        <v>109</v>
      </c>
      <c r="C116" s="73" t="s">
        <v>218</v>
      </c>
      <c r="D116" s="73">
        <f t="shared" si="14"/>
        <v>8.18473578650881</v>
      </c>
      <c r="E116" s="54">
        <f>IF(C116 &lt;&gt;".", ".", VLOOKUP($B116-1,AGtafelMan!$A$1:$FQ$122, MATCH(C$3+$B116-1,AGtafelMan!$A$1:$FQ$1,0),FALSE) )</f>
        <v>0.53885917100000003</v>
      </c>
      <c r="F116" s="73" t="s">
        <v>218</v>
      </c>
      <c r="G116" s="73">
        <f t="shared" si="16"/>
        <v>22.582829756121658</v>
      </c>
      <c r="H116" s="54">
        <f>IF(F116 &lt;&gt;".", ".", VLOOKUP($B116-1,AGtafelVrouw!$A$1:$FQ$122, MATCH(C$3+$B116,AGtafelVrouw!$A$1:$FQ$1,0),FALSE) )</f>
        <v>0.53853262589999995</v>
      </c>
      <c r="I116" s="73">
        <f t="shared" si="10"/>
        <v>15.383782771315234</v>
      </c>
      <c r="K116" s="73" t="s">
        <v>218</v>
      </c>
      <c r="L116" s="73">
        <f t="shared" si="11"/>
        <v>8.3884157850271848</v>
      </c>
      <c r="M116" s="54">
        <f>IF(K116 &lt;&gt;".", ".", VLOOKUP($B116-1,AGtafelMan!$A$1:$FQ$122, MATCH(K$3+$B116,AGtafelMan!$A$1:$FQ$1,0),FALSE) )</f>
        <v>0.5392034939</v>
      </c>
      <c r="N116" s="73" t="s">
        <v>218</v>
      </c>
      <c r="O116" s="73">
        <f t="shared" si="12"/>
        <v>22.582829756121658</v>
      </c>
      <c r="P116" s="54">
        <f>IF(N116 &lt;&gt;".", ".", VLOOKUP($B116-1,AGtafelVrouw!$A$1:$FQ$122, MATCH(K$3+$B116,AGtafelVrouw!$A$1:$FQ$1,0),FALSE) )</f>
        <v>0.53853262589999995</v>
      </c>
      <c r="Q116" s="73">
        <f t="shared" si="13"/>
        <v>15.485622770574421</v>
      </c>
    </row>
    <row r="117" spans="2:17" x14ac:dyDescent="0.25">
      <c r="B117" s="73">
        <v>110</v>
      </c>
      <c r="C117" s="73" t="s">
        <v>218</v>
      </c>
      <c r="D117" s="73">
        <f t="shared" si="14"/>
        <v>3.6618127588722627</v>
      </c>
      <c r="E117" s="54">
        <f>IF(C117 &lt;&gt;".", ".", VLOOKUP($B117-1,AGtafelMan!$A$1:$FQ$122, MATCH(C$3+$B117-1,AGtafelMan!$A$1:$FQ$1,0),FALSE) )</f>
        <v>0.55260464669999998</v>
      </c>
      <c r="F117" s="73" t="s">
        <v>218</v>
      </c>
      <c r="G117" s="73">
        <f t="shared" si="16"/>
        <v>10.07866413956739</v>
      </c>
      <c r="H117" s="54">
        <f>IF(F117 &lt;&gt;".", ".", VLOOKUP($B117-1,AGtafelVrouw!$A$1:$FQ$122, MATCH(C$3+$B117,AGtafelVrouw!$A$1:$FQ$1,0),FALSE) )</f>
        <v>0.55370233719999995</v>
      </c>
      <c r="I117" s="73">
        <f t="shared" si="10"/>
        <v>6.8702384492198263</v>
      </c>
      <c r="K117" s="73" t="s">
        <v>218</v>
      </c>
      <c r="L117" s="73">
        <f t="shared" si="11"/>
        <v>3.749944885410617</v>
      </c>
      <c r="M117" s="54">
        <f>IF(K117 &lt;&gt;".", ".", VLOOKUP($B117-1,AGtafelMan!$A$1:$FQ$122, MATCH(K$3+$B117,AGtafelMan!$A$1:$FQ$1,0),FALSE) )</f>
        <v>0.55296149100000003</v>
      </c>
      <c r="N117" s="73" t="s">
        <v>218</v>
      </c>
      <c r="O117" s="73">
        <f t="shared" si="12"/>
        <v>10.07866413956739</v>
      </c>
      <c r="P117" s="54">
        <f>IF(N117 &lt;&gt;".", ".", VLOOKUP($B117-1,AGtafelVrouw!$A$1:$FQ$122, MATCH(K$3+$B117,AGtafelVrouw!$A$1:$FQ$1,0),FALSE) )</f>
        <v>0.55370233719999995</v>
      </c>
      <c r="Q117" s="73">
        <f t="shared" si="13"/>
        <v>6.9143045124890037</v>
      </c>
    </row>
    <row r="118" spans="2:17" x14ac:dyDescent="0.25">
      <c r="B118" s="73">
        <v>111</v>
      </c>
      <c r="C118" s="73" t="s">
        <v>218</v>
      </c>
      <c r="D118" s="73">
        <f t="shared" si="14"/>
        <v>1.5941355039125815</v>
      </c>
      <c r="E118" s="54">
        <f>IF(C118 &lt;&gt;".", ".", VLOOKUP($B118-1,AGtafelMan!$A$1:$FQ$122, MATCH(C$3+$B118-1,AGtafelMan!$A$1:$FQ$1,0),FALSE) )</f>
        <v>0.56465947090000002</v>
      </c>
      <c r="F118" s="73" t="s">
        <v>218</v>
      </c>
      <c r="G118" s="73">
        <f t="shared" si="16"/>
        <v>4.3661807425906574</v>
      </c>
      <c r="H118" s="54">
        <f>IF(F118 &lt;&gt;".", ".", VLOOKUP($B118-1,AGtafelVrouw!$A$1:$FQ$122, MATCH(C$3+$B118,AGtafelVrouw!$A$1:$FQ$1,0),FALSE) )</f>
        <v>0.56678973700000002</v>
      </c>
      <c r="I118" s="73">
        <f t="shared" si="10"/>
        <v>2.9801581232516194</v>
      </c>
      <c r="K118" s="73" t="s">
        <v>218</v>
      </c>
      <c r="L118" s="73">
        <f t="shared" si="11"/>
        <v>1.6311619063460006</v>
      </c>
      <c r="M118" s="54">
        <f>IF(K118 &lt;&gt;".", ".", VLOOKUP($B118-1,AGtafelMan!$A$1:$FQ$122, MATCH(K$3+$B118,AGtafelMan!$A$1:$FQ$1,0),FALSE) )</f>
        <v>0.56501709860000005</v>
      </c>
      <c r="N118" s="73" t="s">
        <v>218</v>
      </c>
      <c r="O118" s="73">
        <f t="shared" si="12"/>
        <v>4.3661807425906574</v>
      </c>
      <c r="P118" s="54">
        <f>IF(N118 &lt;&gt;".", ".", VLOOKUP($B118-1,AGtafelVrouw!$A$1:$FQ$122, MATCH(K$3+$B118,AGtafelVrouw!$A$1:$FQ$1,0),FALSE) )</f>
        <v>0.56678973700000002</v>
      </c>
      <c r="Q118" s="73">
        <f t="shared" si="13"/>
        <v>2.998671324468329</v>
      </c>
    </row>
    <row r="119" spans="2:17" x14ac:dyDescent="0.25">
      <c r="B119" s="73">
        <v>112</v>
      </c>
      <c r="C119" s="73" t="s">
        <v>218</v>
      </c>
      <c r="D119" s="73">
        <f t="shared" si="14"/>
        <v>0.67727555445074805</v>
      </c>
      <c r="E119" s="54">
        <f>IF(C119 &lt;&gt;".", ".", VLOOKUP($B119-1,AGtafelMan!$A$1:$FQ$122, MATCH(C$3+$B119-1,AGtafelMan!$A$1:$FQ$1,0),FALSE) )</f>
        <v>0.57514555519999999</v>
      </c>
      <c r="F119" s="73" t="s">
        <v>218</v>
      </c>
      <c r="G119" s="73">
        <f t="shared" si="16"/>
        <v>1.8426460877747071</v>
      </c>
      <c r="H119" s="54">
        <f>IF(F119 &lt;&gt;".", ".", VLOOKUP($B119-1,AGtafelVrouw!$A$1:$FQ$122, MATCH(C$3+$B119,AGtafelVrouw!$A$1:$FQ$1,0),FALSE) )</f>
        <v>0.5779730166</v>
      </c>
      <c r="I119" s="73">
        <f t="shared" si="10"/>
        <v>1.2599608211127276</v>
      </c>
      <c r="K119" s="73" t="s">
        <v>218</v>
      </c>
      <c r="L119" s="73">
        <f t="shared" si="11"/>
        <v>0.69243691175558852</v>
      </c>
      <c r="M119" s="54">
        <f>IF(K119 &lt;&gt;".", ".", VLOOKUP($B119-1,AGtafelMan!$A$1:$FQ$122, MATCH(K$3+$B119,AGtafelMan!$A$1:$FQ$1,0),FALSE) )</f>
        <v>0.57549467710000002</v>
      </c>
      <c r="N119" s="73" t="s">
        <v>218</v>
      </c>
      <c r="O119" s="73">
        <f t="shared" si="12"/>
        <v>1.8426460877747071</v>
      </c>
      <c r="P119" s="54">
        <f>IF(N119 &lt;&gt;".", ".", VLOOKUP($B119-1,AGtafelVrouw!$A$1:$FQ$122, MATCH(K$3+$B119,AGtafelVrouw!$A$1:$FQ$1,0),FALSE) )</f>
        <v>0.5779730166</v>
      </c>
      <c r="Q119" s="73">
        <f t="shared" si="13"/>
        <v>1.2675414997651477</v>
      </c>
    </row>
    <row r="120" spans="2:17" x14ac:dyDescent="0.25">
      <c r="B120" s="73">
        <v>113</v>
      </c>
      <c r="C120" s="73" t="s">
        <v>218</v>
      </c>
      <c r="D120" s="73">
        <f t="shared" si="14"/>
        <v>0.28161078421080565</v>
      </c>
      <c r="E120" s="54">
        <f>IF(C120 &lt;&gt;".", ".", VLOOKUP($B120-1,AGtafelMan!$A$1:$FQ$122, MATCH(C$3+$B120-1,AGtafelMan!$A$1:$FQ$1,0),FALSE) )</f>
        <v>0.58420057780000001</v>
      </c>
      <c r="F120" s="73" t="s">
        <v>218</v>
      </c>
      <c r="G120" s="73">
        <f t="shared" si="16"/>
        <v>0.76018507193070273</v>
      </c>
      <c r="H120" s="54">
        <f>IF(F120 &lt;&gt;".", ".", VLOOKUP($B120-1,AGtafelVrouw!$A$1:$FQ$122, MATCH(C$3+$B120,AGtafelVrouw!$A$1:$FQ$1,0),FALSE) )</f>
        <v>0.58744922479999995</v>
      </c>
      <c r="I120" s="73">
        <f t="shared" si="10"/>
        <v>0.52089792807075419</v>
      </c>
      <c r="K120" s="73" t="s">
        <v>218</v>
      </c>
      <c r="L120" s="73">
        <f t="shared" si="11"/>
        <v>0.28768383181072266</v>
      </c>
      <c r="M120" s="54">
        <f>IF(K120 &lt;&gt;".", ".", VLOOKUP($B120-1,AGtafelMan!$A$1:$FQ$122, MATCH(K$3+$B120,AGtafelMan!$A$1:$FQ$1,0),FALSE) )</f>
        <v>0.58453423419999995</v>
      </c>
      <c r="N120" s="73" t="s">
        <v>218</v>
      </c>
      <c r="O120" s="73">
        <f t="shared" si="12"/>
        <v>0.76018507193070273</v>
      </c>
      <c r="P120" s="54">
        <f>IF(N120 &lt;&gt;".", ".", VLOOKUP($B120-1,AGtafelVrouw!$A$1:$FQ$122, MATCH(K$3+$B120,AGtafelVrouw!$A$1:$FQ$1,0),FALSE) )</f>
        <v>0.58744922479999995</v>
      </c>
      <c r="Q120" s="73">
        <f t="shared" si="13"/>
        <v>0.52393445187071275</v>
      </c>
    </row>
    <row r="121" spans="2:17" x14ac:dyDescent="0.25">
      <c r="B121" s="73">
        <v>114</v>
      </c>
      <c r="C121" s="73" t="s">
        <v>218</v>
      </c>
      <c r="D121" s="73">
        <f t="shared" si="14"/>
        <v>0.11490595078783941</v>
      </c>
      <c r="E121" s="54">
        <f>IF(C121 &lt;&gt;".", ".", VLOOKUP($B121-1,AGtafelMan!$A$1:$FQ$122, MATCH(C$3+$B121-1,AGtafelMan!$A$1:$FQ$1,0),FALSE) )</f>
        <v>0.59196892580000005</v>
      </c>
      <c r="F121" s="73" t="s">
        <v>218</v>
      </c>
      <c r="G121" s="73">
        <f t="shared" si="16"/>
        <v>0.3075556241009908</v>
      </c>
      <c r="H121" s="54">
        <f>IF(F121 &lt;&gt;".", ".", VLOOKUP($B121-1,AGtafelVrouw!$A$1:$FQ$122, MATCH(C$3+$B121,AGtafelVrouw!$A$1:$FQ$1,0),FALSE) )</f>
        <v>0.59542006879999998</v>
      </c>
      <c r="I121" s="73">
        <f t="shared" si="10"/>
        <v>0.21123078744441509</v>
      </c>
      <c r="K121" s="73" t="s">
        <v>218</v>
      </c>
      <c r="L121" s="73">
        <f t="shared" si="11"/>
        <v>0.11729380565290805</v>
      </c>
      <c r="M121" s="54">
        <f>IF(K121 &lt;&gt;".", ".", VLOOKUP($B121-1,AGtafelMan!$A$1:$FQ$122, MATCH(K$3+$B121,AGtafelMan!$A$1:$FQ$1,0),FALSE) )</f>
        <v>0.59228224640000005</v>
      </c>
      <c r="N121" s="73" t="s">
        <v>218</v>
      </c>
      <c r="O121" s="73">
        <f t="shared" si="12"/>
        <v>0.3075556241009908</v>
      </c>
      <c r="P121" s="54">
        <f>IF(N121 &lt;&gt;".", ".", VLOOKUP($B121-1,AGtafelVrouw!$A$1:$FQ$122, MATCH(K$3+$B121,AGtafelVrouw!$A$1:$FQ$1,0),FALSE) )</f>
        <v>0.59542006879999998</v>
      </c>
      <c r="Q121" s="73">
        <f t="shared" si="13"/>
        <v>0.21242471487694942</v>
      </c>
    </row>
    <row r="122" spans="2:17" x14ac:dyDescent="0.25">
      <c r="B122" s="73">
        <v>115</v>
      </c>
      <c r="C122" s="73" t="s">
        <v>218</v>
      </c>
      <c r="D122" s="73">
        <f t="shared" si="14"/>
        <v>4.6123861347749526E-2</v>
      </c>
      <c r="E122" s="54">
        <f>IF(C122 &lt;&gt;".", ".", VLOOKUP($B122-1,AGtafelMan!$A$1:$FQ$122, MATCH(C$3+$B122-1,AGtafelMan!$A$1:$FQ$1,0),FALSE) )</f>
        <v>0.59859466780000004</v>
      </c>
      <c r="F122" s="73" t="s">
        <v>218</v>
      </c>
      <c r="G122" s="73">
        <f t="shared" si="16"/>
        <v>0.1223820308120208</v>
      </c>
      <c r="H122" s="54">
        <f>IF(F122 &lt;&gt;".", ".", VLOOKUP($B122-1,AGtafelVrouw!$A$1:$FQ$122, MATCH(C$3+$B122,AGtafelVrouw!$A$1:$FQ$1,0),FALSE) )</f>
        <v>0.60208163589999997</v>
      </c>
      <c r="I122" s="73">
        <f t="shared" si="10"/>
        <v>8.4252946079885163E-2</v>
      </c>
      <c r="K122" s="73" t="s">
        <v>218</v>
      </c>
      <c r="L122" s="73">
        <f t="shared" si="11"/>
        <v>4.7048355431555215E-2</v>
      </c>
      <c r="M122" s="54">
        <f>IF(K122 &lt;&gt;".", ".", VLOOKUP($B122-1,AGtafelMan!$A$1:$FQ$122, MATCH(K$3+$B122,AGtafelMan!$A$1:$FQ$1,0),FALSE) )</f>
        <v>0.59888456879999996</v>
      </c>
      <c r="N122" s="73" t="s">
        <v>218</v>
      </c>
      <c r="O122" s="73">
        <f t="shared" si="12"/>
        <v>0.1223820308120208</v>
      </c>
      <c r="P122" s="54">
        <f>IF(N122 &lt;&gt;".", ".", VLOOKUP($B122-1,AGtafelVrouw!$A$1:$FQ$122, MATCH(K$3+$B122,AGtafelVrouw!$A$1:$FQ$1,0),FALSE) )</f>
        <v>0.60208163589999997</v>
      </c>
      <c r="Q122" s="73">
        <f t="shared" si="13"/>
        <v>8.4715193121788004E-2</v>
      </c>
    </row>
    <row r="123" spans="2:17" x14ac:dyDescent="0.25">
      <c r="B123" s="73">
        <v>116</v>
      </c>
      <c r="C123" s="73" t="s">
        <v>218</v>
      </c>
      <c r="D123" s="73">
        <f t="shared" si="14"/>
        <v>1.8255064702954339E-2</v>
      </c>
      <c r="E123" s="54">
        <f>IF(C123 &lt;&gt;".", ".", VLOOKUP($B123-1,AGtafelMan!$A$1:$FQ$122, MATCH(C$3+$B123-1,AGtafelMan!$A$1:$FQ$1,0),FALSE) )</f>
        <v>0.60421646910000004</v>
      </c>
      <c r="F123" s="73" t="s">
        <v>218</v>
      </c>
      <c r="G123" s="73">
        <f t="shared" si="16"/>
        <v>4.8020553461595693E-2</v>
      </c>
      <c r="H123" s="54">
        <f>IF(F123 &lt;&gt;".", ".", VLOOKUP($B123-1,AGtafelVrouw!$A$1:$FQ$122, MATCH(C$3+$B123,AGtafelVrouw!$A$1:$FQ$1,0),FALSE) )</f>
        <v>0.6076176123</v>
      </c>
      <c r="I123" s="73">
        <f t="shared" si="10"/>
        <v>3.3137809082275017E-2</v>
      </c>
      <c r="K123" s="73" t="s">
        <v>218</v>
      </c>
      <c r="L123" s="73">
        <f t="shared" si="11"/>
        <v>1.8608502975385664E-2</v>
      </c>
      <c r="M123" s="54">
        <f>IF(K123 &lt;&gt;".", ".", VLOOKUP($B123-1,AGtafelMan!$A$1:$FQ$122, MATCH(K$3+$B123,AGtafelMan!$A$1:$FQ$1,0),FALSE) )</f>
        <v>0.60448132980000002</v>
      </c>
      <c r="N123" s="73" t="s">
        <v>218</v>
      </c>
      <c r="O123" s="73">
        <f t="shared" si="12"/>
        <v>4.8020553461595693E-2</v>
      </c>
      <c r="P123" s="54">
        <f>IF(N123 &lt;&gt;".", ".", VLOOKUP($B123-1,AGtafelVrouw!$A$1:$FQ$122, MATCH(K$3+$B123,AGtafelVrouw!$A$1:$FQ$1,0),FALSE) )</f>
        <v>0.6076176123</v>
      </c>
      <c r="Q123" s="73">
        <f t="shared" si="13"/>
        <v>3.331452821849068E-2</v>
      </c>
    </row>
    <row r="124" spans="2:17" x14ac:dyDescent="0.25">
      <c r="B124" s="73">
        <v>117</v>
      </c>
      <c r="C124" s="73" t="s">
        <v>218</v>
      </c>
      <c r="D124" s="73">
        <f t="shared" si="14"/>
        <v>7.1383838429500569E-3</v>
      </c>
      <c r="E124" s="54">
        <f>IF(C124 &lt;&gt;".", ".", VLOOKUP($B124-1,AGtafelMan!$A$1:$FQ$122, MATCH(C$3+$B124-1,AGtafelMan!$A$1:$FQ$1,0),FALSE) )</f>
        <v>0.60896419930000001</v>
      </c>
      <c r="F124" s="73" t="s">
        <v>218</v>
      </c>
      <c r="G124" s="73">
        <f t="shared" si="16"/>
        <v>1.8622594105656452E-2</v>
      </c>
      <c r="H124" s="54">
        <f>IF(F124 &lt;&gt;".", ".", VLOOKUP($B124-1,AGtafelVrouw!$A$1:$FQ$122, MATCH(C$3+$B124,AGtafelVrouw!$A$1:$FQ$1,0),FALSE) )</f>
        <v>0.61219534630000005</v>
      </c>
      <c r="I124" s="73">
        <f t="shared" si="10"/>
        <v>1.2880488974303255E-2</v>
      </c>
      <c r="K124" s="73" t="s">
        <v>218</v>
      </c>
      <c r="L124" s="73">
        <f t="shared" si="11"/>
        <v>7.2721368914300533E-3</v>
      </c>
      <c r="M124" s="54">
        <f>IF(K124 &lt;&gt;".", ".", VLOOKUP($B124-1,AGtafelMan!$A$1:$FQ$122, MATCH(K$3+$B124,AGtafelMan!$A$1:$FQ$1,0),FALSE) )</f>
        <v>0.60920355059999998</v>
      </c>
      <c r="N124" s="73" t="s">
        <v>218</v>
      </c>
      <c r="O124" s="73">
        <f t="shared" si="12"/>
        <v>1.8622594105656452E-2</v>
      </c>
      <c r="P124" s="54">
        <f>IF(N124 &lt;&gt;".", ".", VLOOKUP($B124-1,AGtafelVrouw!$A$1:$FQ$122, MATCH(K$3+$B124,AGtafelVrouw!$A$1:$FQ$1,0),FALSE) )</f>
        <v>0.61219534630000005</v>
      </c>
      <c r="Q124" s="73">
        <f t="shared" si="13"/>
        <v>1.2947365498543252E-2</v>
      </c>
    </row>
    <row r="125" spans="2:17" x14ac:dyDescent="0.25">
      <c r="B125" s="73">
        <v>118</v>
      </c>
      <c r="C125" s="73" t="s">
        <v>218</v>
      </c>
      <c r="D125" s="73">
        <f t="shared" si="14"/>
        <v>2.7628620552346975E-3</v>
      </c>
      <c r="E125" s="54">
        <f>IF(C125 &lt;&gt;".", ".", VLOOKUP($B125-1,AGtafelMan!$A$1:$FQ$122, MATCH(C$3+$B125-1,AGtafelMan!$A$1:$FQ$1,0),FALSE) )</f>
        <v>0.61295692189999995</v>
      </c>
      <c r="F125" s="73" t="s">
        <v>218</v>
      </c>
      <c r="G125" s="73">
        <f t="shared" si="16"/>
        <v>7.1517455145436483E-3</v>
      </c>
      <c r="H125" s="54">
        <f>IF(F125 &lt;&gt;".", ".", VLOOKUP($B125-1,AGtafelVrouw!$A$1:$FQ$122, MATCH(C$3+$B125,AGtafelVrouw!$A$1:$FQ$1,0),FALSE) )</f>
        <v>0.6159640556</v>
      </c>
      <c r="I125" s="73">
        <f t="shared" si="10"/>
        <v>4.9573037848891725E-3</v>
      </c>
      <c r="K125" s="73" t="s">
        <v>218</v>
      </c>
      <c r="L125" s="73">
        <f t="shared" si="11"/>
        <v>2.8130722525806142E-3</v>
      </c>
      <c r="M125" s="54">
        <f>IF(K125 &lt;&gt;".", ".", VLOOKUP($B125-1,AGtafelMan!$A$1:$FQ$122, MATCH(K$3+$B125,AGtafelMan!$A$1:$FQ$1,0),FALSE) )</f>
        <v>0.6131711635</v>
      </c>
      <c r="N125" s="73" t="s">
        <v>218</v>
      </c>
      <c r="O125" s="73">
        <f t="shared" si="12"/>
        <v>7.1517455145436483E-3</v>
      </c>
      <c r="P125" s="54">
        <f>IF(N125 &lt;&gt;".", ".", VLOOKUP($B125-1,AGtafelVrouw!$A$1:$FQ$122, MATCH(K$3+$B125,AGtafelVrouw!$A$1:$FQ$1,0),FALSE) )</f>
        <v>0.6159640556</v>
      </c>
      <c r="Q125" s="73">
        <f t="shared" si="13"/>
        <v>4.9824088835621312E-3</v>
      </c>
    </row>
    <row r="126" spans="2:17" x14ac:dyDescent="0.25">
      <c r="B126" s="73">
        <v>119</v>
      </c>
      <c r="C126" s="73" t="s">
        <v>218</v>
      </c>
      <c r="D126" s="73">
        <f t="shared" si="14"/>
        <v>1.0601047935114216E-3</v>
      </c>
      <c r="E126" s="54">
        <f>IF(C126 &lt;&gt;".", ".", VLOOKUP($B126-1,AGtafelMan!$A$1:$FQ$122, MATCH(C$3+$B126-1,AGtafelMan!$A$1:$FQ$1,0),FALSE) )</f>
        <v>0.61630194620000001</v>
      </c>
      <c r="F126" s="73" t="s">
        <v>218</v>
      </c>
      <c r="G126" s="73">
        <f t="shared" si="16"/>
        <v>2.7244249197598824E-3</v>
      </c>
      <c r="H126" s="54">
        <f>IF(F126 &lt;&gt;".", ".", VLOOKUP($B126-1,AGtafelVrouw!$A$1:$FQ$122, MATCH(C$3+$B126,AGtafelVrouw!$A$1:$FQ$1,0),FALSE) )</f>
        <v>0.61905454910000002</v>
      </c>
      <c r="I126" s="73">
        <f t="shared" si="10"/>
        <v>1.892264856635652E-3</v>
      </c>
      <c r="K126" s="73" t="s">
        <v>218</v>
      </c>
      <c r="L126" s="73">
        <f t="shared" si="11"/>
        <v>1.0788354253840875E-3</v>
      </c>
      <c r="M126" s="54">
        <f>IF(K126 &lt;&gt;".", ".", VLOOKUP($B126-1,AGtafelMan!$A$1:$FQ$122, MATCH(K$3+$B126,AGtafelMan!$A$1:$FQ$1,0),FALSE) )</f>
        <v>0.61649210239999996</v>
      </c>
      <c r="N126" s="73" t="s">
        <v>218</v>
      </c>
      <c r="O126" s="73">
        <f t="shared" si="12"/>
        <v>2.7244249197598824E-3</v>
      </c>
      <c r="P126" s="54">
        <f>IF(N126 &lt;&gt;".", ".", VLOOKUP($B126-1,AGtafelVrouw!$A$1:$FQ$122, MATCH(K$3+$B126,AGtafelVrouw!$A$1:$FQ$1,0),FALSE) )</f>
        <v>0.61905454910000002</v>
      </c>
      <c r="Q126" s="73">
        <f t="shared" si="13"/>
        <v>1.901630172571985E-3</v>
      </c>
    </row>
    <row r="127" spans="2:17" x14ac:dyDescent="0.25">
      <c r="B127" s="73">
        <v>120</v>
      </c>
      <c r="C127" s="73" t="s">
        <v>218</v>
      </c>
      <c r="D127" s="73">
        <f t="shared" si="14"/>
        <v>4.0379958348675798E-4</v>
      </c>
      <c r="E127" s="54">
        <f>IF(C127 &lt;&gt;".", ".", VLOOKUP($B127-1,AGtafelMan!$A$1:$FQ$122, MATCH(C$3+$B127-1,AGtafelMan!$A$1:$FQ$1,0),FALSE) )</f>
        <v>0.61909465370000005</v>
      </c>
      <c r="F127" s="73" t="s">
        <v>218</v>
      </c>
      <c r="G127" s="73">
        <f t="shared" si="16"/>
        <v>1.0309770342450824E-3</v>
      </c>
      <c r="H127" s="54">
        <f>IF(F127 &lt;&gt;".", ".", VLOOKUP($B127-1,AGtafelVrouw!$A$1:$FQ$122, MATCH(C$3+$B127,AGtafelVrouw!$A$1:$FQ$1,0),FALSE) )</f>
        <v>0.62157994270000005</v>
      </c>
      <c r="I127" s="73">
        <f t="shared" si="10"/>
        <v>7.1738830886592026E-4</v>
      </c>
      <c r="K127" s="73" t="s">
        <v>218</v>
      </c>
      <c r="L127" s="73">
        <f t="shared" si="11"/>
        <v>4.1075345803267963E-4</v>
      </c>
      <c r="M127" s="54">
        <f>IF(K127 &lt;&gt;".", ".", VLOOKUP($B127-1,AGtafelMan!$A$1:$FQ$122, MATCH(K$3+$B127,AGtafelMan!$A$1:$FQ$1,0),FALSE) )</f>
        <v>0.6192621707</v>
      </c>
      <c r="N127" s="73" t="s">
        <v>218</v>
      </c>
      <c r="O127" s="73">
        <f t="shared" si="12"/>
        <v>1.0309770342450824E-3</v>
      </c>
      <c r="P127" s="54">
        <f>IF(N127 &lt;&gt;".", ".", VLOOKUP($B127-1,AGtafelVrouw!$A$1:$FQ$122, MATCH(K$3+$B127,AGtafelVrouw!$A$1:$FQ$1,0),FALSE) )</f>
        <v>0.62157994270000005</v>
      </c>
      <c r="Q127" s="73">
        <f t="shared" si="13"/>
        <v>7.2086524613888098E-4</v>
      </c>
    </row>
  </sheetData>
  <mergeCells count="8">
    <mergeCell ref="C2:I2"/>
    <mergeCell ref="K2:Q2"/>
    <mergeCell ref="C3:I3"/>
    <mergeCell ref="K3:Q3"/>
    <mergeCell ref="C5:E5"/>
    <mergeCell ref="F5:H5"/>
    <mergeCell ref="K5:M5"/>
    <mergeCell ref="N5:P5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D0BF1-3B92-4FB6-AEAC-D10F0219AE8E}">
  <sheetPr>
    <tabColor theme="0" tint="-0.499984740745262"/>
  </sheetPr>
  <dimension ref="A1:FQ122"/>
  <sheetViews>
    <sheetView workbookViewId="0">
      <pane xSplit="1" ySplit="1" topLeftCell="B44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cols>
    <col min="2" max="173" width="12.5703125" bestFit="1" customWidth="1"/>
  </cols>
  <sheetData>
    <row r="1" spans="1:173" x14ac:dyDescent="0.25">
      <c r="A1" s="70" t="s">
        <v>157</v>
      </c>
      <c r="B1" s="70">
        <v>2020</v>
      </c>
      <c r="C1" s="70">
        <v>2021</v>
      </c>
      <c r="D1" s="70">
        <v>2022</v>
      </c>
      <c r="E1" s="70">
        <v>2023</v>
      </c>
      <c r="F1" s="70">
        <v>2024</v>
      </c>
      <c r="G1" s="70">
        <v>2025</v>
      </c>
      <c r="H1" s="70">
        <v>2026</v>
      </c>
      <c r="I1" s="70">
        <v>2027</v>
      </c>
      <c r="J1" s="70">
        <v>2028</v>
      </c>
      <c r="K1" s="70">
        <v>2029</v>
      </c>
      <c r="L1" s="70">
        <v>2030</v>
      </c>
      <c r="M1" s="70">
        <v>2031</v>
      </c>
      <c r="N1" s="70">
        <v>2032</v>
      </c>
      <c r="O1" s="70">
        <v>2033</v>
      </c>
      <c r="P1" s="70">
        <v>2034</v>
      </c>
      <c r="Q1" s="70">
        <v>2035</v>
      </c>
      <c r="R1" s="70">
        <v>2036</v>
      </c>
      <c r="S1" s="70">
        <v>2037</v>
      </c>
      <c r="T1" s="70">
        <v>2038</v>
      </c>
      <c r="U1" s="70">
        <v>2039</v>
      </c>
      <c r="V1" s="70">
        <v>2040</v>
      </c>
      <c r="W1" s="70">
        <v>2041</v>
      </c>
      <c r="X1" s="70">
        <v>2042</v>
      </c>
      <c r="Y1" s="70">
        <v>2043</v>
      </c>
      <c r="Z1" s="70">
        <v>2044</v>
      </c>
      <c r="AA1" s="70">
        <v>2045</v>
      </c>
      <c r="AB1" s="70">
        <v>2046</v>
      </c>
      <c r="AC1" s="70">
        <v>2047</v>
      </c>
      <c r="AD1" s="70">
        <v>2048</v>
      </c>
      <c r="AE1" s="70">
        <v>2049</v>
      </c>
      <c r="AF1" s="70">
        <v>2050</v>
      </c>
      <c r="AG1" s="70">
        <v>2051</v>
      </c>
      <c r="AH1" s="70">
        <v>2052</v>
      </c>
      <c r="AI1" s="70">
        <v>2053</v>
      </c>
      <c r="AJ1" s="70">
        <v>2054</v>
      </c>
      <c r="AK1" s="70">
        <v>2055</v>
      </c>
      <c r="AL1" s="70">
        <v>2056</v>
      </c>
      <c r="AM1" s="70">
        <v>2057</v>
      </c>
      <c r="AN1" s="70">
        <v>2058</v>
      </c>
      <c r="AO1" s="70">
        <v>2059</v>
      </c>
      <c r="AP1" s="70">
        <v>2060</v>
      </c>
      <c r="AQ1" s="70">
        <v>2061</v>
      </c>
      <c r="AR1" s="70">
        <v>2062</v>
      </c>
      <c r="AS1" s="70">
        <v>2063</v>
      </c>
      <c r="AT1" s="70">
        <v>2064</v>
      </c>
      <c r="AU1" s="70">
        <v>2065</v>
      </c>
      <c r="AV1" s="70">
        <v>2066</v>
      </c>
      <c r="AW1" s="70">
        <v>2067</v>
      </c>
      <c r="AX1" s="70">
        <v>2068</v>
      </c>
      <c r="AY1" s="70">
        <v>2069</v>
      </c>
      <c r="AZ1" s="70">
        <v>2070</v>
      </c>
      <c r="BA1" s="70">
        <v>2071</v>
      </c>
      <c r="BB1" s="70">
        <v>2072</v>
      </c>
      <c r="BC1" s="70">
        <v>2073</v>
      </c>
      <c r="BD1" s="70">
        <v>2074</v>
      </c>
      <c r="BE1" s="70">
        <v>2075</v>
      </c>
      <c r="BF1" s="70">
        <v>2076</v>
      </c>
      <c r="BG1" s="70">
        <v>2077</v>
      </c>
      <c r="BH1" s="70">
        <v>2078</v>
      </c>
      <c r="BI1" s="70">
        <v>2079</v>
      </c>
      <c r="BJ1" s="70">
        <v>2080</v>
      </c>
      <c r="BK1" s="70">
        <v>2081</v>
      </c>
      <c r="BL1" s="70">
        <v>2082</v>
      </c>
      <c r="BM1" s="70">
        <v>2083</v>
      </c>
      <c r="BN1" s="70">
        <v>2084</v>
      </c>
      <c r="BO1" s="70">
        <v>2085</v>
      </c>
      <c r="BP1" s="70">
        <v>2086</v>
      </c>
      <c r="BQ1" s="70">
        <v>2087</v>
      </c>
      <c r="BR1" s="70">
        <v>2088</v>
      </c>
      <c r="BS1" s="70">
        <v>2089</v>
      </c>
      <c r="BT1" s="70">
        <v>2090</v>
      </c>
      <c r="BU1" s="70">
        <v>2091</v>
      </c>
      <c r="BV1" s="70">
        <v>2092</v>
      </c>
      <c r="BW1" s="70">
        <v>2093</v>
      </c>
      <c r="BX1" s="70">
        <v>2094</v>
      </c>
      <c r="BY1" s="70">
        <v>2095</v>
      </c>
      <c r="BZ1" s="70">
        <v>2096</v>
      </c>
      <c r="CA1" s="70">
        <v>2097</v>
      </c>
      <c r="CB1" s="70">
        <v>2098</v>
      </c>
      <c r="CC1" s="70">
        <v>2099</v>
      </c>
      <c r="CD1" s="70">
        <v>2100</v>
      </c>
      <c r="CE1" s="70">
        <v>2101</v>
      </c>
      <c r="CF1" s="70">
        <v>2102</v>
      </c>
      <c r="CG1" s="70">
        <v>2103</v>
      </c>
      <c r="CH1" s="70">
        <v>2104</v>
      </c>
      <c r="CI1" s="70">
        <v>2105</v>
      </c>
      <c r="CJ1" s="70">
        <v>2106</v>
      </c>
      <c r="CK1" s="70">
        <v>2107</v>
      </c>
      <c r="CL1" s="70">
        <v>2108</v>
      </c>
      <c r="CM1" s="70">
        <v>2109</v>
      </c>
      <c r="CN1" s="70">
        <v>2110</v>
      </c>
      <c r="CO1" s="70">
        <v>2111</v>
      </c>
      <c r="CP1" s="70">
        <v>2112</v>
      </c>
      <c r="CQ1" s="70">
        <v>2113</v>
      </c>
      <c r="CR1" s="70">
        <v>2114</v>
      </c>
      <c r="CS1" s="70">
        <v>2115</v>
      </c>
      <c r="CT1" s="70">
        <v>2116</v>
      </c>
      <c r="CU1" s="70">
        <v>2117</v>
      </c>
      <c r="CV1" s="70">
        <v>2118</v>
      </c>
      <c r="CW1" s="70">
        <v>2119</v>
      </c>
      <c r="CX1" s="70">
        <v>2120</v>
      </c>
      <c r="CY1" s="70">
        <v>2121</v>
      </c>
      <c r="CZ1" s="70">
        <v>2122</v>
      </c>
      <c r="DA1" s="70">
        <v>2123</v>
      </c>
      <c r="DB1" s="70">
        <v>2124</v>
      </c>
      <c r="DC1" s="70">
        <v>2125</v>
      </c>
      <c r="DD1" s="70">
        <v>2126</v>
      </c>
      <c r="DE1" s="70">
        <v>2127</v>
      </c>
      <c r="DF1" s="70">
        <v>2128</v>
      </c>
      <c r="DG1" s="70">
        <v>2129</v>
      </c>
      <c r="DH1" s="70">
        <v>2130</v>
      </c>
      <c r="DI1" s="70">
        <v>2131</v>
      </c>
      <c r="DJ1" s="70">
        <v>2132</v>
      </c>
      <c r="DK1" s="70">
        <v>2133</v>
      </c>
      <c r="DL1" s="70">
        <v>2134</v>
      </c>
      <c r="DM1" s="70">
        <v>2135</v>
      </c>
      <c r="DN1" s="70">
        <v>2136</v>
      </c>
      <c r="DO1" s="70">
        <v>2137</v>
      </c>
      <c r="DP1" s="70">
        <v>2138</v>
      </c>
      <c r="DQ1" s="70">
        <v>2139</v>
      </c>
      <c r="DR1" s="70">
        <v>2140</v>
      </c>
      <c r="DS1" s="70">
        <v>2141</v>
      </c>
      <c r="DT1" s="70">
        <v>2142</v>
      </c>
      <c r="DU1" s="70">
        <v>2143</v>
      </c>
      <c r="DV1" s="70">
        <v>2144</v>
      </c>
      <c r="DW1" s="70">
        <v>2145</v>
      </c>
      <c r="DX1" s="70">
        <v>2146</v>
      </c>
      <c r="DY1" s="70">
        <v>2147</v>
      </c>
      <c r="DZ1" s="70">
        <v>2148</v>
      </c>
      <c r="EA1" s="70">
        <v>2149</v>
      </c>
      <c r="EB1" s="70">
        <v>2150</v>
      </c>
      <c r="EC1" s="70">
        <v>2151</v>
      </c>
      <c r="ED1" s="70">
        <v>2152</v>
      </c>
      <c r="EE1" s="70">
        <v>2153</v>
      </c>
      <c r="EF1" s="70">
        <v>2154</v>
      </c>
      <c r="EG1" s="70">
        <v>2155</v>
      </c>
      <c r="EH1" s="70">
        <v>2156</v>
      </c>
      <c r="EI1" s="70">
        <v>2157</v>
      </c>
      <c r="EJ1" s="70">
        <v>2158</v>
      </c>
      <c r="EK1" s="70">
        <v>2159</v>
      </c>
      <c r="EL1" s="70">
        <v>2160</v>
      </c>
      <c r="EM1" s="70">
        <v>2161</v>
      </c>
      <c r="EN1" s="70">
        <v>2162</v>
      </c>
      <c r="EO1" s="70">
        <v>2163</v>
      </c>
      <c r="EP1" s="70">
        <v>2164</v>
      </c>
      <c r="EQ1" s="70">
        <v>2165</v>
      </c>
      <c r="ER1" s="70">
        <v>2166</v>
      </c>
      <c r="ES1" s="70">
        <v>2167</v>
      </c>
      <c r="ET1" s="70">
        <v>2168</v>
      </c>
      <c r="EU1" s="70">
        <v>2169</v>
      </c>
      <c r="EV1" s="70">
        <v>2170</v>
      </c>
      <c r="EW1" s="70">
        <v>2171</v>
      </c>
      <c r="EX1" s="70">
        <v>2172</v>
      </c>
      <c r="EY1" s="70">
        <v>2173</v>
      </c>
      <c r="EZ1" s="70">
        <v>2174</v>
      </c>
      <c r="FA1" s="70">
        <v>2175</v>
      </c>
      <c r="FB1" s="70">
        <v>2176</v>
      </c>
      <c r="FC1" s="70">
        <v>2177</v>
      </c>
      <c r="FD1" s="70">
        <v>2178</v>
      </c>
      <c r="FE1" s="70">
        <v>2179</v>
      </c>
      <c r="FF1" s="70">
        <v>2180</v>
      </c>
      <c r="FG1" s="70">
        <v>2181</v>
      </c>
      <c r="FH1" s="70">
        <v>2182</v>
      </c>
      <c r="FI1" s="70">
        <v>2183</v>
      </c>
      <c r="FJ1" s="70">
        <v>2184</v>
      </c>
      <c r="FK1" s="70">
        <v>2185</v>
      </c>
      <c r="FL1" s="70">
        <v>2186</v>
      </c>
      <c r="FM1" s="70">
        <v>2187</v>
      </c>
      <c r="FN1" s="70">
        <v>2188</v>
      </c>
      <c r="FO1" s="70">
        <v>2189</v>
      </c>
      <c r="FP1" s="70">
        <v>2190</v>
      </c>
      <c r="FQ1" s="70">
        <v>2191</v>
      </c>
    </row>
    <row r="2" spans="1:173" x14ac:dyDescent="0.25">
      <c r="A2" s="71">
        <v>0</v>
      </c>
      <c r="B2" s="69">
        <v>2.2084313E-3</v>
      </c>
      <c r="C2" s="69">
        <v>2.1354334000000001E-3</v>
      </c>
      <c r="D2" s="69">
        <v>2.0640428000000001E-3</v>
      </c>
      <c r="E2" s="69">
        <v>1.9943114000000001E-3</v>
      </c>
      <c r="F2" s="69">
        <v>1.9262787E-3</v>
      </c>
      <c r="G2" s="69">
        <v>1.8599738000000001E-3</v>
      </c>
      <c r="H2" s="69">
        <v>1.795416E-3</v>
      </c>
      <c r="I2" s="69">
        <v>1.7326161E-3</v>
      </c>
      <c r="J2" s="69">
        <v>1.6715772999999999E-3</v>
      </c>
      <c r="K2" s="69">
        <v>1.6122961000000001E-3</v>
      </c>
      <c r="L2" s="69">
        <v>1.5547632999999999E-3</v>
      </c>
      <c r="M2" s="69">
        <v>1.4989643999999999E-3</v>
      </c>
      <c r="N2" s="69">
        <v>1.4448804999999999E-3</v>
      </c>
      <c r="O2" s="69">
        <v>1.3924887999999999E-3</v>
      </c>
      <c r="P2" s="69">
        <v>1.3417634999999999E-3</v>
      </c>
      <c r="Q2" s="69">
        <v>1.2926757999999999E-3</v>
      </c>
      <c r="R2" s="69">
        <v>1.2451947000000001E-3</v>
      </c>
      <c r="S2" s="69">
        <v>1.1992871000000001E-3</v>
      </c>
      <c r="T2" s="69">
        <v>1.1549185E-3</v>
      </c>
      <c r="U2" s="69">
        <v>1.1120532000000001E-3</v>
      </c>
      <c r="V2" s="69">
        <v>1.0706545E-3</v>
      </c>
      <c r="W2" s="69">
        <v>1.0306849999999999E-3</v>
      </c>
      <c r="X2" s="69">
        <v>9.921070000000001E-4</v>
      </c>
      <c r="Y2" s="69">
        <v>9.5488219999999996E-4</v>
      </c>
      <c r="Z2" s="69">
        <v>9.1897259999999998E-4</v>
      </c>
      <c r="AA2" s="69">
        <v>8.8434009999999999E-4</v>
      </c>
      <c r="AB2" s="69">
        <v>8.5094670000000002E-4</v>
      </c>
      <c r="AC2" s="69">
        <v>8.1875489999999997E-4</v>
      </c>
      <c r="AD2" s="69">
        <v>7.8772749999999996E-4</v>
      </c>
      <c r="AE2" s="69">
        <v>7.5782789999999996E-4</v>
      </c>
      <c r="AF2" s="69">
        <v>7.290199E-4</v>
      </c>
      <c r="AG2" s="69">
        <v>7.0126819999999997E-4</v>
      </c>
      <c r="AH2" s="69">
        <v>6.7453789999999999E-4</v>
      </c>
      <c r="AI2" s="69">
        <v>6.487951E-4</v>
      </c>
      <c r="AJ2" s="69">
        <v>6.2400650000000004E-4</v>
      </c>
      <c r="AK2" s="69">
        <v>6.0013959999999996E-4</v>
      </c>
      <c r="AL2" s="69">
        <v>5.7716259999999998E-4</v>
      </c>
      <c r="AM2" s="69">
        <v>5.5504480000000004E-4</v>
      </c>
      <c r="AN2" s="69">
        <v>5.3375609999999996E-4</v>
      </c>
      <c r="AO2" s="69">
        <v>5.1326729999999997E-4</v>
      </c>
      <c r="AP2" s="69">
        <v>4.9355009999999997E-4</v>
      </c>
      <c r="AQ2" s="69">
        <v>4.7457679999999999E-4</v>
      </c>
      <c r="AR2" s="69">
        <v>4.563209E-4</v>
      </c>
      <c r="AS2" s="69">
        <v>4.3875629999999999E-4</v>
      </c>
      <c r="AT2" s="69">
        <v>4.2185809999999998E-4</v>
      </c>
      <c r="AU2" s="69">
        <v>4.0560200000000002E-4</v>
      </c>
      <c r="AV2" s="69">
        <v>3.8996430000000002E-4</v>
      </c>
      <c r="AW2" s="69">
        <v>3.7492249999999998E-4</v>
      </c>
      <c r="AX2" s="69">
        <v>3.6045450000000002E-4</v>
      </c>
      <c r="AY2" s="69">
        <v>3.4653899999999998E-4</v>
      </c>
      <c r="AZ2" s="69">
        <v>3.3315560000000001E-4</v>
      </c>
      <c r="BA2" s="69">
        <v>3.2028450000000001E-4</v>
      </c>
      <c r="BB2" s="69">
        <v>3.0790640000000002E-4</v>
      </c>
      <c r="BC2" s="69">
        <v>2.9600299999999998E-4</v>
      </c>
      <c r="BD2" s="69">
        <v>2.8455640000000002E-4</v>
      </c>
      <c r="BE2" s="69">
        <v>2.7354940000000002E-4</v>
      </c>
      <c r="BF2" s="69">
        <v>2.6296540000000001E-4</v>
      </c>
      <c r="BG2" s="69">
        <v>2.527885E-4</v>
      </c>
      <c r="BH2" s="69">
        <v>2.4300330000000001E-4</v>
      </c>
      <c r="BI2" s="69">
        <v>2.3359490000000001E-4</v>
      </c>
      <c r="BJ2" s="69">
        <v>2.2454889999999999E-4</v>
      </c>
      <c r="BK2" s="69">
        <v>2.158517E-4</v>
      </c>
      <c r="BL2" s="69">
        <v>2.0748979999999999E-4</v>
      </c>
      <c r="BM2" s="69">
        <v>1.9945060000000001E-4</v>
      </c>
      <c r="BN2" s="69">
        <v>1.917218E-4</v>
      </c>
      <c r="BO2" s="69">
        <v>1.842914E-4</v>
      </c>
      <c r="BP2" s="69">
        <v>1.7714799999999999E-4</v>
      </c>
      <c r="BQ2" s="69">
        <v>1.7028059999999999E-4</v>
      </c>
      <c r="BR2" s="69">
        <v>1.636788E-4</v>
      </c>
      <c r="BS2" s="69">
        <v>1.573322E-4</v>
      </c>
      <c r="BT2" s="69">
        <v>1.5123099999999999E-4</v>
      </c>
      <c r="BU2" s="69">
        <v>1.4536590000000001E-4</v>
      </c>
      <c r="BV2" s="69">
        <v>1.397278E-4</v>
      </c>
      <c r="BW2" s="69">
        <v>1.343079E-4</v>
      </c>
      <c r="BX2" s="69">
        <v>1.2909790000000001E-4</v>
      </c>
      <c r="BY2" s="69">
        <v>1.2408950000000001E-4</v>
      </c>
      <c r="BZ2" s="69">
        <v>1.192752E-4</v>
      </c>
      <c r="CA2" s="69">
        <v>1.146474E-4</v>
      </c>
      <c r="CB2" s="69">
        <v>1.1019880000000001E-4</v>
      </c>
      <c r="CC2" s="69">
        <v>1.0592259999999999E-4</v>
      </c>
      <c r="CD2" s="69">
        <v>1.0181219999999999E-4</v>
      </c>
      <c r="CE2" s="69">
        <v>9.7861000000000004E-5</v>
      </c>
      <c r="CF2" s="69">
        <v>9.4063100000000004E-5</v>
      </c>
      <c r="CG2" s="69">
        <v>9.0412299999999995E-5</v>
      </c>
      <c r="CH2" s="69">
        <v>8.6903200000000005E-5</v>
      </c>
      <c r="CI2" s="69">
        <v>8.3530100000000002E-5</v>
      </c>
      <c r="CJ2" s="69">
        <v>8.0287800000000001E-5</v>
      </c>
      <c r="CK2" s="69">
        <v>7.7171199999999997E-5</v>
      </c>
      <c r="CL2" s="69">
        <v>7.4175600000000002E-5</v>
      </c>
      <c r="CM2" s="69">
        <v>7.1296099999999997E-5</v>
      </c>
      <c r="CN2" s="69">
        <v>6.8528400000000006E-5</v>
      </c>
      <c r="CO2" s="69">
        <v>6.5868E-5</v>
      </c>
      <c r="CP2" s="69">
        <v>6.3310899999999997E-5</v>
      </c>
      <c r="CQ2" s="69">
        <v>6.0852900000000001E-5</v>
      </c>
      <c r="CR2" s="69">
        <v>5.8490399999999998E-5</v>
      </c>
      <c r="CS2" s="69">
        <v>5.6219499999999999E-5</v>
      </c>
      <c r="CT2" s="69">
        <v>5.4036799999999997E-5</v>
      </c>
      <c r="CU2" s="69">
        <v>5.1938799999999998E-5</v>
      </c>
      <c r="CV2" s="69">
        <v>4.9922100000000001E-5</v>
      </c>
      <c r="CW2" s="69">
        <v>4.79838E-5</v>
      </c>
      <c r="CX2" s="69">
        <v>4.61207E-5</v>
      </c>
      <c r="CY2" s="69">
        <v>4.4329899999999997E-5</v>
      </c>
      <c r="CZ2" s="69">
        <v>4.2608699999999997E-5</v>
      </c>
      <c r="DA2" s="69">
        <v>4.0954200000000002E-5</v>
      </c>
      <c r="DB2" s="69">
        <v>3.9363999999999998E-5</v>
      </c>
      <c r="DC2" s="69">
        <v>3.7835500000000001E-5</v>
      </c>
      <c r="DD2" s="69">
        <v>3.6366299999999998E-5</v>
      </c>
      <c r="DE2" s="69">
        <v>3.4954199999999998E-5</v>
      </c>
      <c r="DF2" s="69">
        <v>3.3596899999999997E-5</v>
      </c>
      <c r="DG2" s="69">
        <v>3.2292300000000003E-5</v>
      </c>
      <c r="DH2" s="69">
        <v>3.1038299999999997E-5</v>
      </c>
      <c r="DI2" s="69">
        <v>2.9833E-5</v>
      </c>
      <c r="DJ2" s="69">
        <v>2.8674600000000002E-5</v>
      </c>
      <c r="DK2" s="69">
        <v>2.7561099999999999E-5</v>
      </c>
      <c r="DL2" s="69">
        <v>2.6490800000000001E-5</v>
      </c>
      <c r="DM2" s="69">
        <v>2.5462100000000001E-5</v>
      </c>
      <c r="DN2" s="69">
        <v>2.4473300000000002E-5</v>
      </c>
      <c r="DO2" s="69">
        <v>2.3522900000000001E-5</v>
      </c>
      <c r="DP2" s="69">
        <v>2.2609500000000001E-5</v>
      </c>
      <c r="DQ2" s="69">
        <v>2.17315E-5</v>
      </c>
      <c r="DR2" s="69">
        <v>2.08876E-5</v>
      </c>
      <c r="DS2" s="69">
        <v>2.00764E-5</v>
      </c>
      <c r="DT2" s="69">
        <v>1.9296800000000001E-5</v>
      </c>
      <c r="DU2" s="69">
        <v>1.8547400000000001E-5</v>
      </c>
      <c r="DV2" s="69">
        <v>1.7827100000000001E-5</v>
      </c>
      <c r="DW2" s="69">
        <v>1.7134800000000001E-5</v>
      </c>
      <c r="DX2" s="69">
        <v>1.6469399999999999E-5</v>
      </c>
      <c r="DY2" s="69">
        <v>1.5829799999999999E-5</v>
      </c>
      <c r="DZ2" s="69">
        <v>1.5215099999999999E-5</v>
      </c>
      <c r="EA2" s="69">
        <v>1.46242E-5</v>
      </c>
      <c r="EB2" s="69">
        <v>1.40563E-5</v>
      </c>
      <c r="EC2" s="69">
        <v>1.35104E-5</v>
      </c>
      <c r="ED2" s="69">
        <v>1.29858E-5</v>
      </c>
      <c r="EE2" s="69">
        <v>1.2481500000000001E-5</v>
      </c>
      <c r="EF2" s="69">
        <v>1.19967E-5</v>
      </c>
      <c r="EG2" s="69">
        <v>1.15309E-5</v>
      </c>
      <c r="EH2" s="69">
        <v>1.1083100000000001E-5</v>
      </c>
      <c r="EI2" s="69">
        <v>1.06526E-5</v>
      </c>
      <c r="EJ2" s="69">
        <v>1.0239E-5</v>
      </c>
      <c r="EK2" s="69">
        <v>9.8413000000000001E-6</v>
      </c>
      <c r="EL2" s="69">
        <v>9.4591000000000006E-6</v>
      </c>
      <c r="EM2" s="69">
        <v>9.0917999999999999E-6</v>
      </c>
      <c r="EN2" s="69">
        <v>8.7386999999999999E-6</v>
      </c>
      <c r="EO2" s="69">
        <v>8.3992999999999994E-6</v>
      </c>
      <c r="EP2" s="69">
        <v>8.0731000000000007E-6</v>
      </c>
      <c r="EQ2" s="69">
        <v>7.7595999999999994E-6</v>
      </c>
      <c r="ER2" s="69">
        <v>7.4583000000000002E-6</v>
      </c>
      <c r="ES2" s="69">
        <v>7.1686000000000003E-6</v>
      </c>
      <c r="ET2" s="69">
        <v>6.8901999999999997E-6</v>
      </c>
      <c r="EU2" s="69">
        <v>6.6227000000000001E-6</v>
      </c>
      <c r="EV2" s="69">
        <v>6.3655000000000003E-6</v>
      </c>
      <c r="EW2" s="69">
        <v>6.1183000000000004E-6</v>
      </c>
      <c r="EX2" s="69">
        <v>5.8806000000000001E-6</v>
      </c>
      <c r="EY2" s="69">
        <v>5.6523000000000001E-6</v>
      </c>
      <c r="EZ2" s="69">
        <v>5.4327999999999999E-6</v>
      </c>
      <c r="FA2" s="69">
        <v>5.2217999999999997E-6</v>
      </c>
      <c r="FB2" s="69">
        <v>5.0189999999999997E-6</v>
      </c>
      <c r="FC2" s="69">
        <v>4.8241000000000001E-6</v>
      </c>
      <c r="FD2" s="69">
        <v>4.6367E-6</v>
      </c>
      <c r="FE2" s="69">
        <v>4.4567E-6</v>
      </c>
      <c r="FF2" s="69">
        <v>4.2835999999999999E-6</v>
      </c>
      <c r="FG2" s="69">
        <v>4.1172000000000002E-6</v>
      </c>
      <c r="FH2" s="69">
        <v>3.9573000000000002E-6</v>
      </c>
      <c r="FI2" s="69">
        <v>3.8035999999999999E-6</v>
      </c>
      <c r="FJ2" s="69">
        <v>3.6559E-6</v>
      </c>
      <c r="FK2" s="69">
        <v>3.5138999999999999E-6</v>
      </c>
      <c r="FL2" s="69">
        <v>3.3774999999999998E-6</v>
      </c>
      <c r="FM2" s="69">
        <v>3.2463000000000002E-6</v>
      </c>
      <c r="FN2" s="69">
        <v>3.1201999999999998E-6</v>
      </c>
      <c r="FO2" s="69">
        <v>2.9990999999999998E-6</v>
      </c>
      <c r="FP2" s="69">
        <v>2.8826000000000001E-6</v>
      </c>
      <c r="FQ2" s="69">
        <v>2.7706000000000002E-6</v>
      </c>
    </row>
    <row r="3" spans="1:173" x14ac:dyDescent="0.25">
      <c r="A3" s="71">
        <v>1</v>
      </c>
      <c r="B3" s="69">
        <v>2.0056929999999999E-4</v>
      </c>
      <c r="C3" s="69">
        <v>1.9373360000000001E-4</v>
      </c>
      <c r="D3" s="69">
        <v>1.8711509999999999E-4</v>
      </c>
      <c r="E3" s="69">
        <v>1.8070839999999999E-4</v>
      </c>
      <c r="F3" s="69">
        <v>1.7450810000000001E-4</v>
      </c>
      <c r="G3" s="69">
        <v>1.685089E-4</v>
      </c>
      <c r="H3" s="69">
        <v>1.627055E-4</v>
      </c>
      <c r="I3" s="69">
        <v>1.5709240000000001E-4</v>
      </c>
      <c r="J3" s="69">
        <v>1.516644E-4</v>
      </c>
      <c r="K3" s="69">
        <v>1.464162E-4</v>
      </c>
      <c r="L3" s="69">
        <v>1.413427E-4</v>
      </c>
      <c r="M3" s="69">
        <v>1.3643870000000001E-4</v>
      </c>
      <c r="N3" s="69">
        <v>1.3169909999999999E-4</v>
      </c>
      <c r="O3" s="69">
        <v>1.2711910000000001E-4</v>
      </c>
      <c r="P3" s="69">
        <v>1.2269369999999999E-4</v>
      </c>
      <c r="Q3" s="69">
        <v>1.184183E-4</v>
      </c>
      <c r="R3" s="69">
        <v>1.14288E-4</v>
      </c>
      <c r="S3" s="69">
        <v>1.1029839999999999E-4</v>
      </c>
      <c r="T3" s="69">
        <v>1.0644509999999999E-4</v>
      </c>
      <c r="U3" s="69">
        <v>1.0272350000000001E-4</v>
      </c>
      <c r="V3" s="69">
        <v>9.9129599999999994E-5</v>
      </c>
      <c r="W3" s="69">
        <v>9.5659200000000001E-5</v>
      </c>
      <c r="X3" s="69">
        <v>9.2308300000000005E-5</v>
      </c>
      <c r="Y3" s="69">
        <v>8.9072899999999999E-5</v>
      </c>
      <c r="Z3" s="69">
        <v>8.5949299999999994E-5</v>
      </c>
      <c r="AA3" s="69">
        <v>8.2933699999999995E-5</v>
      </c>
      <c r="AB3" s="69">
        <v>8.0022600000000002E-5</v>
      </c>
      <c r="AC3" s="69">
        <v>7.72125E-5</v>
      </c>
      <c r="AD3" s="69">
        <v>7.4499900000000001E-5</v>
      </c>
      <c r="AE3" s="69">
        <v>7.1881700000000007E-5</v>
      </c>
      <c r="AF3" s="69">
        <v>6.9354600000000002E-5</v>
      </c>
      <c r="AG3" s="69">
        <v>6.69155E-5</v>
      </c>
      <c r="AH3" s="69">
        <v>6.4561500000000002E-5</v>
      </c>
      <c r="AI3" s="69">
        <v>6.2289699999999994E-5</v>
      </c>
      <c r="AJ3" s="69">
        <v>6.0097199999999998E-5</v>
      </c>
      <c r="AK3" s="69">
        <v>5.79813E-5</v>
      </c>
      <c r="AL3" s="69">
        <v>5.5939500000000002E-5</v>
      </c>
      <c r="AM3" s="69">
        <v>5.3969099999999998E-5</v>
      </c>
      <c r="AN3" s="69">
        <v>5.2067800000000003E-5</v>
      </c>
      <c r="AO3" s="69">
        <v>5.0233099999999999E-5</v>
      </c>
      <c r="AP3" s="69">
        <v>4.8462699999999999E-5</v>
      </c>
      <c r="AQ3" s="69">
        <v>4.6754400000000001E-5</v>
      </c>
      <c r="AR3" s="69">
        <v>4.5106099999999998E-5</v>
      </c>
      <c r="AS3" s="69">
        <v>4.3515700000000001E-5</v>
      </c>
      <c r="AT3" s="69">
        <v>4.1981099999999997E-5</v>
      </c>
      <c r="AU3" s="69">
        <v>4.0500500000000003E-5</v>
      </c>
      <c r="AV3" s="69">
        <v>3.9071900000000001E-5</v>
      </c>
      <c r="AW3" s="69">
        <v>3.7693600000000001E-5</v>
      </c>
      <c r="AX3" s="69">
        <v>3.6363699999999999E-5</v>
      </c>
      <c r="AY3" s="69">
        <v>3.5080599999999997E-5</v>
      </c>
      <c r="AZ3" s="69">
        <v>3.38427E-5</v>
      </c>
      <c r="BA3" s="69">
        <v>3.2648399999999997E-5</v>
      </c>
      <c r="BB3" s="69">
        <v>3.1496099999999998E-5</v>
      </c>
      <c r="BC3" s="69">
        <v>3.03844E-5</v>
      </c>
      <c r="BD3" s="69">
        <v>2.93119E-5</v>
      </c>
      <c r="BE3" s="69">
        <v>2.8277200000000001E-5</v>
      </c>
      <c r="BF3" s="69">
        <v>2.7278900000000001E-5</v>
      </c>
      <c r="BG3" s="69">
        <v>2.63158E-5</v>
      </c>
      <c r="BH3" s="69">
        <v>2.5386699999999999E-5</v>
      </c>
      <c r="BI3" s="69">
        <v>2.4490399999999998E-5</v>
      </c>
      <c r="BJ3" s="69">
        <v>2.36256E-5</v>
      </c>
      <c r="BK3" s="69">
        <v>2.27913E-5</v>
      </c>
      <c r="BL3" s="69">
        <v>2.19865E-5</v>
      </c>
      <c r="BM3" s="69">
        <v>2.1210099999999999E-5</v>
      </c>
      <c r="BN3" s="69">
        <v>2.0460999999999999E-5</v>
      </c>
      <c r="BO3" s="69">
        <v>1.9738400000000001E-5</v>
      </c>
      <c r="BP3" s="69">
        <v>1.90413E-5</v>
      </c>
      <c r="BQ3" s="69">
        <v>1.8368799999999999E-5</v>
      </c>
      <c r="BR3" s="69">
        <v>1.772E-5</v>
      </c>
      <c r="BS3" s="69">
        <v>1.70941E-5</v>
      </c>
      <c r="BT3" s="69">
        <v>1.64903E-5</v>
      </c>
      <c r="BU3" s="69">
        <v>1.59078E-5</v>
      </c>
      <c r="BV3" s="69">
        <v>1.5345900000000002E-5</v>
      </c>
      <c r="BW3" s="69">
        <v>1.48038E-5</v>
      </c>
      <c r="BX3" s="69">
        <v>1.4280900000000001E-5</v>
      </c>
      <c r="BY3" s="69">
        <v>1.3776400000000001E-5</v>
      </c>
      <c r="BZ3" s="69">
        <v>1.3289799999999999E-5</v>
      </c>
      <c r="CA3" s="69">
        <v>1.28203E-5</v>
      </c>
      <c r="CB3" s="69">
        <v>1.23674E-5</v>
      </c>
      <c r="CC3" s="69">
        <v>1.19305E-5</v>
      </c>
      <c r="CD3" s="69">
        <v>1.1508999999999999E-5</v>
      </c>
      <c r="CE3" s="69">
        <v>1.1102400000000001E-5</v>
      </c>
      <c r="CF3" s="69">
        <v>1.07102E-5</v>
      </c>
      <c r="CG3" s="69">
        <v>1.03318E-5</v>
      </c>
      <c r="CH3" s="69">
        <v>9.9667999999999992E-6</v>
      </c>
      <c r="CI3" s="69">
        <v>9.6146999999999996E-6</v>
      </c>
      <c r="CJ3" s="69">
        <v>9.2750000000000001E-6</v>
      </c>
      <c r="CK3" s="69">
        <v>8.9472999999999999E-6</v>
      </c>
      <c r="CL3" s="69">
        <v>8.6311999999999996E-6</v>
      </c>
      <c r="CM3" s="69">
        <v>8.3263000000000002E-6</v>
      </c>
      <c r="CN3" s="69">
        <v>8.0321000000000006E-6</v>
      </c>
      <c r="CO3" s="69">
        <v>7.7483E-6</v>
      </c>
      <c r="CP3" s="69">
        <v>7.4746000000000004E-6</v>
      </c>
      <c r="CQ3" s="69">
        <v>7.2104999999999998E-6</v>
      </c>
      <c r="CR3" s="69">
        <v>6.9557000000000002E-6</v>
      </c>
      <c r="CS3" s="69">
        <v>6.7100000000000001E-6</v>
      </c>
      <c r="CT3" s="69">
        <v>6.4729000000000003E-6</v>
      </c>
      <c r="CU3" s="69">
        <v>6.2442000000000003E-6</v>
      </c>
      <c r="CV3" s="69">
        <v>6.0236000000000002E-6</v>
      </c>
      <c r="CW3" s="69">
        <v>5.8108000000000003E-6</v>
      </c>
      <c r="CX3" s="69">
        <v>5.6054999999999999E-6</v>
      </c>
      <c r="CY3" s="69">
        <v>5.4074000000000001E-6</v>
      </c>
      <c r="CZ3" s="69">
        <v>5.2163000000000004E-6</v>
      </c>
      <c r="DA3" s="69">
        <v>5.0320000000000003E-6</v>
      </c>
      <c r="DB3" s="69">
        <v>4.8542E-6</v>
      </c>
      <c r="DC3" s="69">
        <v>4.6827000000000001E-6</v>
      </c>
      <c r="DD3" s="69">
        <v>4.5172999999999999E-6</v>
      </c>
      <c r="DE3" s="69">
        <v>4.3576999999999998E-6</v>
      </c>
      <c r="DF3" s="69">
        <v>4.2037000000000001E-6</v>
      </c>
      <c r="DG3" s="69">
        <v>4.0551999999999997E-6</v>
      </c>
      <c r="DH3" s="69">
        <v>3.9118999999999998E-6</v>
      </c>
      <c r="DI3" s="69">
        <v>3.7737E-6</v>
      </c>
      <c r="DJ3" s="69">
        <v>3.6403000000000001E-6</v>
      </c>
      <c r="DK3" s="69">
        <v>3.5117000000000002E-6</v>
      </c>
      <c r="DL3" s="69">
        <v>3.3876E-6</v>
      </c>
      <c r="DM3" s="69">
        <v>3.2679000000000001E-6</v>
      </c>
      <c r="DN3" s="69">
        <v>3.1524999999999999E-6</v>
      </c>
      <c r="DO3" s="69">
        <v>3.0411E-6</v>
      </c>
      <c r="DP3" s="69">
        <v>2.9336000000000002E-6</v>
      </c>
      <c r="DQ3" s="69">
        <v>2.83E-6</v>
      </c>
      <c r="DR3" s="69">
        <v>2.7300000000000001E-6</v>
      </c>
      <c r="DS3" s="69">
        <v>2.6334999999999999E-6</v>
      </c>
      <c r="DT3" s="69">
        <v>2.5405000000000001E-6</v>
      </c>
      <c r="DU3" s="69">
        <v>2.4507000000000001E-6</v>
      </c>
      <c r="DV3" s="69">
        <v>2.3640999999999999E-6</v>
      </c>
      <c r="DW3" s="69">
        <v>2.2805999999999998E-6</v>
      </c>
      <c r="DX3" s="69">
        <v>2.2000000000000001E-6</v>
      </c>
      <c r="DY3" s="69">
        <v>2.1223E-6</v>
      </c>
      <c r="DZ3" s="69">
        <v>2.0472999999999999E-6</v>
      </c>
      <c r="EA3" s="69">
        <v>1.9750000000000001E-6</v>
      </c>
      <c r="EB3" s="69">
        <v>1.9052E-6</v>
      </c>
      <c r="EC3" s="69">
        <v>1.8379E-6</v>
      </c>
      <c r="ED3" s="69">
        <v>1.7729E-6</v>
      </c>
      <c r="EE3" s="69">
        <v>1.7103E-6</v>
      </c>
      <c r="EF3" s="69">
        <v>1.6498000000000001E-6</v>
      </c>
      <c r="EG3" s="69">
        <v>1.5914999999999999E-6</v>
      </c>
      <c r="EH3" s="69">
        <v>1.5352999999999999E-6</v>
      </c>
      <c r="EI3" s="69">
        <v>1.4811000000000001E-6</v>
      </c>
      <c r="EJ3" s="69">
        <v>1.4287E-6</v>
      </c>
      <c r="EK3" s="69">
        <v>1.3783E-6</v>
      </c>
      <c r="EL3" s="69">
        <v>1.3295999999999999E-6</v>
      </c>
      <c r="EM3" s="69">
        <v>1.2826E-6</v>
      </c>
      <c r="EN3" s="69">
        <v>1.2373E-6</v>
      </c>
      <c r="EO3" s="69">
        <v>1.1935000000000001E-6</v>
      </c>
      <c r="EP3" s="69">
        <v>1.1513999999999999E-6</v>
      </c>
      <c r="EQ3" s="69">
        <v>1.1107E-6</v>
      </c>
      <c r="ER3" s="69">
        <v>1.0714E-6</v>
      </c>
      <c r="ES3" s="69">
        <v>1.0335999999999999E-6</v>
      </c>
      <c r="ET3" s="69">
        <v>9.9709999999999995E-7</v>
      </c>
      <c r="EU3" s="69">
        <v>9.6180000000000005E-7</v>
      </c>
      <c r="EV3" s="69">
        <v>9.2780000000000004E-7</v>
      </c>
      <c r="EW3" s="69">
        <v>8.9510000000000001E-7</v>
      </c>
      <c r="EX3" s="69">
        <v>8.6339999999999996E-7</v>
      </c>
      <c r="EY3" s="69">
        <v>8.329E-7</v>
      </c>
      <c r="EZ3" s="69">
        <v>8.0350000000000001E-7</v>
      </c>
      <c r="FA3" s="69">
        <v>7.751E-7</v>
      </c>
      <c r="FB3" s="69">
        <v>7.4769999999999995E-7</v>
      </c>
      <c r="FC3" s="69">
        <v>7.2129999999999998E-7</v>
      </c>
      <c r="FD3" s="69">
        <v>6.9579999999999997E-7</v>
      </c>
      <c r="FE3" s="69">
        <v>6.7120000000000003E-7</v>
      </c>
      <c r="FF3" s="69">
        <v>6.4750000000000005E-7</v>
      </c>
      <c r="FG3" s="69">
        <v>6.2460000000000002E-7</v>
      </c>
      <c r="FH3" s="69">
        <v>6.0259999999999996E-7</v>
      </c>
      <c r="FI3" s="69">
        <v>5.8130000000000005E-7</v>
      </c>
      <c r="FJ3" s="69">
        <v>5.6069999999999998E-7</v>
      </c>
      <c r="FK3" s="69">
        <v>5.4089999999999998E-7</v>
      </c>
      <c r="FL3" s="69">
        <v>5.2180000000000003E-7</v>
      </c>
      <c r="FM3" s="69">
        <v>5.0340000000000002E-7</v>
      </c>
      <c r="FN3" s="69">
        <v>4.8559999999999995E-7</v>
      </c>
      <c r="FO3" s="69">
        <v>4.6839999999999999E-7</v>
      </c>
      <c r="FP3" s="69">
        <v>4.5190000000000002E-7</v>
      </c>
      <c r="FQ3" s="69">
        <v>4.3589999999999998E-7</v>
      </c>
    </row>
    <row r="4" spans="1:173" x14ac:dyDescent="0.25">
      <c r="A4" s="71">
        <v>2</v>
      </c>
      <c r="B4" s="69">
        <v>1.2534119999999999E-4</v>
      </c>
      <c r="C4" s="69">
        <v>1.215261E-4</v>
      </c>
      <c r="D4" s="69">
        <v>1.177726E-4</v>
      </c>
      <c r="E4" s="69">
        <v>1.140857E-4</v>
      </c>
      <c r="F4" s="69">
        <v>1.104697E-4</v>
      </c>
      <c r="G4" s="69">
        <v>1.069278E-4</v>
      </c>
      <c r="H4" s="69">
        <v>1.03463E-4</v>
      </c>
      <c r="I4" s="69">
        <v>1.000774E-4</v>
      </c>
      <c r="J4" s="69">
        <v>9.6772800000000003E-5</v>
      </c>
      <c r="K4" s="69">
        <v>9.3550300000000005E-5</v>
      </c>
      <c r="L4" s="69">
        <v>9.0410799999999998E-5</v>
      </c>
      <c r="M4" s="69">
        <v>8.7354600000000006E-5</v>
      </c>
      <c r="N4" s="69">
        <v>8.4381899999999999E-5</v>
      </c>
      <c r="O4" s="69">
        <v>8.1492399999999999E-5</v>
      </c>
      <c r="P4" s="69">
        <v>7.8685700000000005E-5</v>
      </c>
      <c r="Q4" s="69">
        <v>7.5961099999999993E-5</v>
      </c>
      <c r="R4" s="69">
        <v>7.3317600000000004E-5</v>
      </c>
      <c r="S4" s="69">
        <v>7.0754199999999994E-5</v>
      </c>
      <c r="T4" s="69">
        <v>6.8269799999999995E-5</v>
      </c>
      <c r="U4" s="69">
        <v>6.5862899999999996E-5</v>
      </c>
      <c r="V4" s="69">
        <v>6.3532200000000001E-5</v>
      </c>
      <c r="W4" s="69">
        <v>6.1276099999999994E-5</v>
      </c>
      <c r="X4" s="69">
        <v>5.9092999999999998E-5</v>
      </c>
      <c r="Y4" s="69">
        <v>5.6981300000000003E-5</v>
      </c>
      <c r="Z4" s="69">
        <v>5.4939399999999998E-5</v>
      </c>
      <c r="AA4" s="69">
        <v>5.2965399999999999E-5</v>
      </c>
      <c r="AB4" s="69">
        <v>5.1057699999999997E-5</v>
      </c>
      <c r="AC4" s="69">
        <v>4.9214500000000001E-5</v>
      </c>
      <c r="AD4" s="69">
        <v>4.7434E-5</v>
      </c>
      <c r="AE4" s="69">
        <v>4.5714599999999998E-5</v>
      </c>
      <c r="AF4" s="69">
        <v>4.4054400000000003E-5</v>
      </c>
      <c r="AG4" s="69">
        <v>4.2451699999999999E-5</v>
      </c>
      <c r="AH4" s="69">
        <v>4.0904900000000002E-5</v>
      </c>
      <c r="AI4" s="69">
        <v>3.9412100000000002E-5</v>
      </c>
      <c r="AJ4" s="69">
        <v>3.7971800000000001E-5</v>
      </c>
      <c r="AK4" s="69">
        <v>3.6582399999999997E-5</v>
      </c>
      <c r="AL4" s="69">
        <v>3.5242099999999999E-5</v>
      </c>
      <c r="AM4" s="69">
        <v>3.3949399999999997E-5</v>
      </c>
      <c r="AN4" s="69">
        <v>3.2702900000000002E-5</v>
      </c>
      <c r="AO4" s="69">
        <v>3.1500900000000002E-5</v>
      </c>
      <c r="AP4" s="69">
        <v>3.0341999999999999E-5</v>
      </c>
      <c r="AQ4" s="69">
        <v>2.9224799999999998E-5</v>
      </c>
      <c r="AR4" s="69">
        <v>2.8147799999999998E-5</v>
      </c>
      <c r="AS4" s="69">
        <v>2.7109799999999999E-5</v>
      </c>
      <c r="AT4" s="69">
        <v>2.6109300000000001E-5</v>
      </c>
      <c r="AU4" s="69">
        <v>2.5145100000000001E-5</v>
      </c>
      <c r="AV4" s="69">
        <v>2.42159E-5</v>
      </c>
      <c r="AW4" s="69">
        <v>2.3320600000000002E-5</v>
      </c>
      <c r="AX4" s="69">
        <v>2.2457900000000001E-5</v>
      </c>
      <c r="AY4" s="69">
        <v>2.1626700000000001E-5</v>
      </c>
      <c r="AZ4" s="69">
        <v>2.08258E-5</v>
      </c>
      <c r="BA4" s="69">
        <v>2.0054299999999999E-5</v>
      </c>
      <c r="BB4" s="69">
        <v>1.9311099999999999E-5</v>
      </c>
      <c r="BC4" s="69">
        <v>1.8595100000000001E-5</v>
      </c>
      <c r="BD4" s="69">
        <v>1.79055E-5</v>
      </c>
      <c r="BE4" s="69">
        <v>1.72412E-5</v>
      </c>
      <c r="BF4" s="69">
        <v>1.66013E-5</v>
      </c>
      <c r="BG4" s="69">
        <v>1.5985E-5</v>
      </c>
      <c r="BH4" s="69">
        <v>1.53914E-5</v>
      </c>
      <c r="BI4" s="69">
        <v>1.48198E-5</v>
      </c>
      <c r="BJ4" s="69">
        <v>1.4269200000000001E-5</v>
      </c>
      <c r="BK4" s="69">
        <v>1.37389E-5</v>
      </c>
      <c r="BL4" s="69">
        <v>1.32283E-5</v>
      </c>
      <c r="BM4" s="69">
        <v>1.2736500000000001E-5</v>
      </c>
      <c r="BN4" s="69">
        <v>1.2262999999999999E-5</v>
      </c>
      <c r="BO4" s="69">
        <v>1.18069E-5</v>
      </c>
      <c r="BP4" s="69">
        <v>1.13678E-5</v>
      </c>
      <c r="BQ4" s="69">
        <v>1.0944899999999999E-5</v>
      </c>
      <c r="BR4" s="69">
        <v>1.0537700000000001E-5</v>
      </c>
      <c r="BS4" s="69">
        <v>1.01456E-5</v>
      </c>
      <c r="BT4" s="69">
        <v>9.7680000000000003E-6</v>
      </c>
      <c r="BU4" s="69">
        <v>9.4044999999999995E-6</v>
      </c>
      <c r="BV4" s="69">
        <v>9.0543999999999992E-6</v>
      </c>
      <c r="BW4" s="69">
        <v>8.7174000000000006E-6</v>
      </c>
      <c r="BX4" s="69">
        <v>8.3928000000000003E-6</v>
      </c>
      <c r="BY4" s="69">
        <v>8.0802999999999995E-6</v>
      </c>
      <c r="BZ4" s="69">
        <v>7.7795000000000006E-6</v>
      </c>
      <c r="CA4" s="69">
        <v>7.4897999999999998E-6</v>
      </c>
      <c r="CB4" s="69">
        <v>7.2108999999999999E-6</v>
      </c>
      <c r="CC4" s="69">
        <v>6.9422999999999996E-6</v>
      </c>
      <c r="CD4" s="69">
        <v>6.6837000000000001E-6</v>
      </c>
      <c r="CE4" s="69">
        <v>6.4347999999999998E-6</v>
      </c>
      <c r="CF4" s="69">
        <v>6.1951000000000002E-6</v>
      </c>
      <c r="CG4" s="69">
        <v>5.9642999999999998E-6</v>
      </c>
      <c r="CH4" s="69">
        <v>5.7420999999999996E-6</v>
      </c>
      <c r="CI4" s="69">
        <v>5.5281999999999999E-6</v>
      </c>
      <c r="CJ4" s="69">
        <v>5.3221999999999996E-6</v>
      </c>
      <c r="CK4" s="69">
        <v>5.1239000000000002E-6</v>
      </c>
      <c r="CL4" s="69">
        <v>4.933E-6</v>
      </c>
      <c r="CM4" s="69">
        <v>4.7492000000000002E-6</v>
      </c>
      <c r="CN4" s="69">
        <v>4.5722E-6</v>
      </c>
      <c r="CO4" s="69">
        <v>4.4019000000000002E-6</v>
      </c>
      <c r="CP4" s="69">
        <v>4.2378000000000003E-6</v>
      </c>
      <c r="CQ4" s="69">
        <v>4.0798999999999997E-6</v>
      </c>
      <c r="CR4" s="69">
        <v>3.9279000000000001E-6</v>
      </c>
      <c r="CS4" s="69">
        <v>3.7815000000000001E-6</v>
      </c>
      <c r="CT4" s="69">
        <v>3.6405999999999999E-6</v>
      </c>
      <c r="CU4" s="69">
        <v>3.5049000000000001E-6</v>
      </c>
      <c r="CV4" s="69">
        <v>3.3743E-6</v>
      </c>
      <c r="CW4" s="69">
        <v>3.2484999999999999E-6</v>
      </c>
      <c r="CX4" s="69">
        <v>3.1273999999999999E-6</v>
      </c>
      <c r="CY4" s="69">
        <v>3.0108999999999998E-6</v>
      </c>
      <c r="CZ4" s="69">
        <v>2.8986999999999999E-6</v>
      </c>
      <c r="DA4" s="69">
        <v>2.7906E-6</v>
      </c>
      <c r="DB4" s="69">
        <v>2.6865999999999998E-6</v>
      </c>
      <c r="DC4" s="69">
        <v>2.5865000000000001E-6</v>
      </c>
      <c r="DD4" s="69">
        <v>2.4901000000000001E-6</v>
      </c>
      <c r="DE4" s="69">
        <v>2.3972999999999999E-6</v>
      </c>
      <c r="DF4" s="69">
        <v>2.3079E-6</v>
      </c>
      <c r="DG4" s="69">
        <v>2.2218999999999999E-6</v>
      </c>
      <c r="DH4" s="69">
        <v>2.1391E-6</v>
      </c>
      <c r="DI4" s="69">
        <v>2.0592999999999999E-6</v>
      </c>
      <c r="DJ4" s="69">
        <v>1.9825999999999999E-6</v>
      </c>
      <c r="DK4" s="69">
        <v>1.9087E-6</v>
      </c>
      <c r="DL4" s="69">
        <v>1.8375E-6</v>
      </c>
      <c r="DM4" s="69">
        <v>1.7689999999999999E-6</v>
      </c>
      <c r="DN4" s="69">
        <v>1.7031000000000001E-6</v>
      </c>
      <c r="DO4" s="69">
        <v>1.6395999999999999E-6</v>
      </c>
      <c r="DP4" s="69">
        <v>1.5785E-6</v>
      </c>
      <c r="DQ4" s="69">
        <v>1.5196E-6</v>
      </c>
      <c r="DR4" s="69">
        <v>1.463E-6</v>
      </c>
      <c r="DS4" s="69">
        <v>1.4084999999999999E-6</v>
      </c>
      <c r="DT4" s="69">
        <v>1.356E-6</v>
      </c>
      <c r="DU4" s="69">
        <v>1.3054E-6</v>
      </c>
      <c r="DV4" s="69">
        <v>1.2567E-6</v>
      </c>
      <c r="DW4" s="69">
        <v>1.2099000000000001E-6</v>
      </c>
      <c r="DX4" s="69">
        <v>1.1648000000000001E-6</v>
      </c>
      <c r="DY4" s="69">
        <v>1.1214E-6</v>
      </c>
      <c r="DZ4" s="69">
        <v>1.0796E-6</v>
      </c>
      <c r="EA4" s="69">
        <v>1.0392999999999999E-6</v>
      </c>
      <c r="EB4" s="69">
        <v>1.0006E-6</v>
      </c>
      <c r="EC4" s="69">
        <v>9.6329999999999995E-7</v>
      </c>
      <c r="ED4" s="69">
        <v>9.2740000000000001E-7</v>
      </c>
      <c r="EE4" s="69">
        <v>8.9279999999999995E-7</v>
      </c>
      <c r="EF4" s="69">
        <v>8.5949999999999999E-7</v>
      </c>
      <c r="EG4" s="69">
        <v>8.2750000000000002E-7</v>
      </c>
      <c r="EH4" s="69">
        <v>7.9660000000000003E-7</v>
      </c>
      <c r="EI4" s="69">
        <v>7.6690000000000002E-7</v>
      </c>
      <c r="EJ4" s="69">
        <v>7.3839999999999999E-7</v>
      </c>
      <c r="EK4" s="69">
        <v>7.1080000000000004E-7</v>
      </c>
      <c r="EL4" s="69">
        <v>6.8429999999999995E-7</v>
      </c>
      <c r="EM4" s="69">
        <v>6.5880000000000005E-7</v>
      </c>
      <c r="EN4" s="69">
        <v>6.3430000000000001E-7</v>
      </c>
      <c r="EO4" s="69">
        <v>6.1060000000000003E-7</v>
      </c>
      <c r="EP4" s="69">
        <v>5.8790000000000002E-7</v>
      </c>
      <c r="EQ4" s="69">
        <v>5.6589999999999995E-7</v>
      </c>
      <c r="ER4" s="69">
        <v>5.4479999999999996E-7</v>
      </c>
      <c r="ES4" s="69">
        <v>5.2450000000000002E-7</v>
      </c>
      <c r="ET4" s="69">
        <v>5.0500000000000004E-7</v>
      </c>
      <c r="EU4" s="69">
        <v>4.862E-7</v>
      </c>
      <c r="EV4" s="69">
        <v>4.6800000000000001E-7</v>
      </c>
      <c r="EW4" s="69">
        <v>4.5060000000000002E-7</v>
      </c>
      <c r="EX4" s="69">
        <v>4.3379999999999998E-7</v>
      </c>
      <c r="EY4" s="69">
        <v>4.1759999999999998E-7</v>
      </c>
      <c r="EZ4" s="69">
        <v>4.0200000000000003E-7</v>
      </c>
      <c r="FA4" s="69">
        <v>3.8710000000000002E-7</v>
      </c>
      <c r="FB4" s="69">
        <v>3.7259999999999999E-7</v>
      </c>
      <c r="FC4" s="69">
        <v>3.587E-7</v>
      </c>
      <c r="FD4" s="69">
        <v>3.4540000000000001E-7</v>
      </c>
      <c r="FE4" s="69">
        <v>3.3249999999999999E-7</v>
      </c>
      <c r="FF4" s="69">
        <v>3.2010000000000001E-7</v>
      </c>
      <c r="FG4" s="69">
        <v>3.0820000000000002E-7</v>
      </c>
      <c r="FH4" s="69">
        <v>2.967E-7</v>
      </c>
      <c r="FI4" s="69">
        <v>2.8560000000000002E-7</v>
      </c>
      <c r="FJ4" s="69">
        <v>2.7500000000000001E-7</v>
      </c>
      <c r="FK4" s="69">
        <v>2.6469999999999998E-7</v>
      </c>
      <c r="FL4" s="69">
        <v>2.5489999999999999E-7</v>
      </c>
      <c r="FM4" s="69">
        <v>2.4540000000000001E-7</v>
      </c>
      <c r="FN4" s="69">
        <v>2.3620000000000001E-7</v>
      </c>
      <c r="FO4" s="69">
        <v>2.2740000000000001E-7</v>
      </c>
      <c r="FP4" s="69">
        <v>2.1890000000000001E-7</v>
      </c>
      <c r="FQ4" s="69">
        <v>2.1080000000000001E-7</v>
      </c>
    </row>
    <row r="5" spans="1:173" x14ac:dyDescent="0.25">
      <c r="A5" s="71">
        <v>3</v>
      </c>
      <c r="B5" s="69">
        <v>8.7718299999999997E-5</v>
      </c>
      <c r="C5" s="69">
        <v>8.4656599999999999E-5</v>
      </c>
      <c r="D5" s="69">
        <v>8.1673499999999997E-5</v>
      </c>
      <c r="E5" s="69">
        <v>7.8770000000000006E-5</v>
      </c>
      <c r="F5" s="69">
        <v>7.5946900000000003E-5</v>
      </c>
      <c r="G5" s="69">
        <v>7.3204300000000007E-5</v>
      </c>
      <c r="H5" s="69">
        <v>7.0542099999999997E-5</v>
      </c>
      <c r="I5" s="69">
        <v>6.7960000000000007E-5</v>
      </c>
      <c r="J5" s="69">
        <v>6.5457300000000001E-5</v>
      </c>
      <c r="K5" s="69">
        <v>6.3033299999999998E-5</v>
      </c>
      <c r="L5" s="69">
        <v>6.0686700000000003E-5</v>
      </c>
      <c r="M5" s="69">
        <v>5.8416599999999999E-5</v>
      </c>
      <c r="N5" s="69">
        <v>5.6221499999999997E-5</v>
      </c>
      <c r="O5" s="69">
        <v>5.40999E-5</v>
      </c>
      <c r="P5" s="69">
        <v>5.2050499999999999E-5</v>
      </c>
      <c r="Q5" s="69">
        <v>5.0071400000000003E-5</v>
      </c>
      <c r="R5" s="69">
        <v>4.8161200000000002E-5</v>
      </c>
      <c r="S5" s="69">
        <v>4.6317999999999999E-5</v>
      </c>
      <c r="T5" s="69">
        <v>4.4540199999999998E-5</v>
      </c>
      <c r="U5" s="69">
        <v>4.2825899999999999E-5</v>
      </c>
      <c r="V5" s="69">
        <v>4.1173300000000001E-5</v>
      </c>
      <c r="W5" s="69">
        <v>3.9580799999999999E-5</v>
      </c>
      <c r="X5" s="69">
        <v>3.8046400000000002E-5</v>
      </c>
      <c r="Y5" s="69">
        <v>3.6568500000000001E-5</v>
      </c>
      <c r="Z5" s="69">
        <v>3.5145199999999997E-5</v>
      </c>
      <c r="AA5" s="69">
        <v>3.3774800000000001E-5</v>
      </c>
      <c r="AB5" s="69">
        <v>3.2455700000000002E-5</v>
      </c>
      <c r="AC5" s="69">
        <v>3.1186100000000003E-5</v>
      </c>
      <c r="AD5" s="69">
        <v>2.9964400000000001E-5</v>
      </c>
      <c r="AE5" s="69">
        <v>2.8788900000000001E-5</v>
      </c>
      <c r="AF5" s="69">
        <v>2.7658099999999999E-5</v>
      </c>
      <c r="AG5" s="69">
        <v>2.6570399999999999E-5</v>
      </c>
      <c r="AH5" s="69">
        <v>2.5524299999999999E-5</v>
      </c>
      <c r="AI5" s="69">
        <v>2.4518399999999999E-5</v>
      </c>
      <c r="AJ5" s="69">
        <v>2.3551199999999999E-5</v>
      </c>
      <c r="AK5" s="69">
        <v>2.26213E-5</v>
      </c>
      <c r="AL5" s="69">
        <v>2.1727300000000001E-5</v>
      </c>
      <c r="AM5" s="69">
        <v>2.0868000000000001E-5</v>
      </c>
      <c r="AN5" s="69">
        <v>2.0042099999999999E-5</v>
      </c>
      <c r="AO5" s="69">
        <v>1.92483E-5</v>
      </c>
      <c r="AP5" s="69">
        <v>1.8485500000000001E-5</v>
      </c>
      <c r="AQ5" s="69">
        <v>1.77525E-5</v>
      </c>
      <c r="AR5" s="69">
        <v>1.70481E-5</v>
      </c>
      <c r="AS5" s="69">
        <v>1.63713E-5</v>
      </c>
      <c r="AT5" s="69">
        <v>1.5721100000000001E-5</v>
      </c>
      <c r="AU5" s="69">
        <v>1.50964E-5</v>
      </c>
      <c r="AV5" s="69">
        <v>1.44963E-5</v>
      </c>
      <c r="AW5" s="69">
        <v>1.39198E-5</v>
      </c>
      <c r="AX5" s="69">
        <v>1.3366E-5</v>
      </c>
      <c r="AY5" s="69">
        <v>1.28341E-5</v>
      </c>
      <c r="AZ5" s="69">
        <v>1.2323199999999999E-5</v>
      </c>
      <c r="BA5" s="69">
        <v>1.1832500000000001E-5</v>
      </c>
      <c r="BB5" s="69">
        <v>1.13611E-5</v>
      </c>
      <c r="BC5" s="69">
        <v>1.0908500000000001E-5</v>
      </c>
      <c r="BD5" s="69">
        <v>1.0473699999999999E-5</v>
      </c>
      <c r="BE5" s="69">
        <v>1.00562E-5</v>
      </c>
      <c r="BF5" s="69">
        <v>9.6552000000000003E-6</v>
      </c>
      <c r="BG5" s="69">
        <v>9.2701999999999998E-6</v>
      </c>
      <c r="BH5" s="69">
        <v>8.9004000000000004E-6</v>
      </c>
      <c r="BI5" s="69">
        <v>8.5452999999999993E-6</v>
      </c>
      <c r="BJ5" s="69">
        <v>8.2044000000000006E-6</v>
      </c>
      <c r="BK5" s="69">
        <v>7.8769999999999993E-6</v>
      </c>
      <c r="BL5" s="69">
        <v>7.5626000000000002E-6</v>
      </c>
      <c r="BM5" s="69">
        <v>7.2606999999999998E-6</v>
      </c>
      <c r="BN5" s="69">
        <v>6.9708000000000002E-6</v>
      </c>
      <c r="BO5" s="69">
        <v>6.6924999999999999E-6</v>
      </c>
      <c r="BP5" s="69">
        <v>6.4251999999999999E-6</v>
      </c>
      <c r="BQ5" s="69">
        <v>6.1685999999999997E-6</v>
      </c>
      <c r="BR5" s="69">
        <v>5.9221999999999998E-6</v>
      </c>
      <c r="BS5" s="69">
        <v>5.6856999999999996E-6</v>
      </c>
      <c r="BT5" s="69">
        <v>5.4585999999999997E-6</v>
      </c>
      <c r="BU5" s="69">
        <v>5.2405000000000001E-6</v>
      </c>
      <c r="BV5" s="69">
        <v>5.0311E-6</v>
      </c>
      <c r="BW5" s="69">
        <v>4.8300999999999997E-6</v>
      </c>
      <c r="BX5" s="69">
        <v>4.6371E-6</v>
      </c>
      <c r="BY5" s="69">
        <v>4.4518000000000003E-6</v>
      </c>
      <c r="BZ5" s="69">
        <v>4.2738999999999999E-6</v>
      </c>
      <c r="CA5" s="69">
        <v>4.1030999999999997E-6</v>
      </c>
      <c r="CB5" s="69">
        <v>3.9391000000000001E-6</v>
      </c>
      <c r="CC5" s="69">
        <v>3.7815999999999999E-6</v>
      </c>
      <c r="CD5" s="69">
        <v>3.6304999999999998E-6</v>
      </c>
      <c r="CE5" s="69">
        <v>3.4854000000000001E-6</v>
      </c>
      <c r="CF5" s="69">
        <v>3.3459999999999998E-6</v>
      </c>
      <c r="CG5" s="69">
        <v>3.2123000000000001E-6</v>
      </c>
      <c r="CH5" s="69">
        <v>3.0838999999999998E-6</v>
      </c>
      <c r="CI5" s="69">
        <v>2.9606000000000001E-6</v>
      </c>
      <c r="CJ5" s="69">
        <v>2.8422000000000001E-6</v>
      </c>
      <c r="CK5" s="69">
        <v>2.7286E-6</v>
      </c>
      <c r="CL5" s="69">
        <v>2.6195000000000001E-6</v>
      </c>
      <c r="CM5" s="69">
        <v>2.5146999999999998E-6</v>
      </c>
      <c r="CN5" s="69">
        <v>2.4142000000000001E-6</v>
      </c>
      <c r="CO5" s="69">
        <v>2.3176999999999998E-6</v>
      </c>
      <c r="CP5" s="69">
        <v>2.2249999999999999E-6</v>
      </c>
      <c r="CQ5" s="69">
        <v>2.136E-6</v>
      </c>
      <c r="CR5" s="69">
        <v>2.0505999999999999E-6</v>
      </c>
      <c r="CS5" s="69">
        <v>1.9686000000000001E-6</v>
      </c>
      <c r="CT5" s="69">
        <v>1.8898999999999999E-6</v>
      </c>
      <c r="CU5" s="69">
        <v>1.8142999999999999E-6</v>
      </c>
      <c r="CV5" s="69">
        <v>1.7418E-6</v>
      </c>
      <c r="CW5" s="69">
        <v>1.6721000000000001E-6</v>
      </c>
      <c r="CX5" s="69">
        <v>1.6052999999999999E-6</v>
      </c>
      <c r="CY5" s="69">
        <v>1.5410999999999999E-6</v>
      </c>
      <c r="CZ5" s="69">
        <v>1.4794E-6</v>
      </c>
      <c r="DA5" s="69">
        <v>1.4203E-6</v>
      </c>
      <c r="DB5" s="69">
        <v>1.3634999999999999E-6</v>
      </c>
      <c r="DC5" s="69">
        <v>1.3090000000000001E-6</v>
      </c>
      <c r="DD5" s="69">
        <v>1.2566E-6</v>
      </c>
      <c r="DE5" s="69">
        <v>1.2064E-6</v>
      </c>
      <c r="DF5" s="69">
        <v>1.1581E-6</v>
      </c>
      <c r="DG5" s="69">
        <v>1.1118000000000001E-6</v>
      </c>
      <c r="DH5" s="69">
        <v>1.0672999999999999E-6</v>
      </c>
      <c r="DI5" s="69">
        <v>1.0245999999999999E-6</v>
      </c>
      <c r="DJ5" s="69">
        <v>9.837E-7</v>
      </c>
      <c r="DK5" s="69">
        <v>9.4430000000000001E-7</v>
      </c>
      <c r="DL5" s="69">
        <v>9.0660000000000003E-7</v>
      </c>
      <c r="DM5" s="69">
        <v>8.7029999999999995E-7</v>
      </c>
      <c r="DN5" s="69">
        <v>8.3549999999999998E-7</v>
      </c>
      <c r="DO5" s="69">
        <v>8.0210000000000002E-7</v>
      </c>
      <c r="DP5" s="69">
        <v>7.7000000000000004E-7</v>
      </c>
      <c r="DQ5" s="69">
        <v>7.3919999999999995E-7</v>
      </c>
      <c r="DR5" s="69">
        <v>7.0959999999999995E-7</v>
      </c>
      <c r="DS5" s="69">
        <v>6.8130000000000005E-7</v>
      </c>
      <c r="DT5" s="69">
        <v>6.5400000000000001E-7</v>
      </c>
      <c r="DU5" s="69">
        <v>6.2789999999999995E-7</v>
      </c>
      <c r="DV5" s="69">
        <v>6.0269999999999996E-7</v>
      </c>
      <c r="DW5" s="69">
        <v>5.7859999999999995E-7</v>
      </c>
      <c r="DX5" s="69">
        <v>5.5550000000000002E-7</v>
      </c>
      <c r="DY5" s="69">
        <v>5.3330000000000004E-7</v>
      </c>
      <c r="DZ5" s="69">
        <v>5.1200000000000003E-7</v>
      </c>
      <c r="EA5" s="69">
        <v>4.9149999999999997E-7</v>
      </c>
      <c r="EB5" s="69">
        <v>4.7179999999999998E-7</v>
      </c>
      <c r="EC5" s="69">
        <v>4.5299999999999999E-7</v>
      </c>
      <c r="ED5" s="69">
        <v>4.348E-7</v>
      </c>
      <c r="EE5" s="69">
        <v>4.1740000000000002E-7</v>
      </c>
      <c r="EF5" s="69">
        <v>4.0069999999999998E-7</v>
      </c>
      <c r="EG5" s="69">
        <v>3.847E-7</v>
      </c>
      <c r="EH5" s="69">
        <v>3.693E-7</v>
      </c>
      <c r="EI5" s="69">
        <v>3.5460000000000001E-7</v>
      </c>
      <c r="EJ5" s="69">
        <v>3.404E-7</v>
      </c>
      <c r="EK5" s="69">
        <v>3.2679999999999999E-7</v>
      </c>
      <c r="EL5" s="69">
        <v>3.1370000000000001E-7</v>
      </c>
      <c r="EM5" s="69">
        <v>3.0120000000000002E-7</v>
      </c>
      <c r="EN5" s="69">
        <v>2.8910000000000001E-7</v>
      </c>
      <c r="EO5" s="69">
        <v>2.7749999999999999E-7</v>
      </c>
      <c r="EP5" s="69">
        <v>2.664E-7</v>
      </c>
      <c r="EQ5" s="69">
        <v>2.558E-7</v>
      </c>
      <c r="ER5" s="69">
        <v>2.4559999999999998E-7</v>
      </c>
      <c r="ES5" s="69">
        <v>2.357E-7</v>
      </c>
      <c r="ET5" s="69">
        <v>2.2630000000000001E-7</v>
      </c>
      <c r="EU5" s="69">
        <v>2.1729999999999999E-7</v>
      </c>
      <c r="EV5" s="69">
        <v>2.086E-7</v>
      </c>
      <c r="EW5" s="69">
        <v>2.0020000000000001E-7</v>
      </c>
      <c r="EX5" s="69">
        <v>1.9219999999999999E-7</v>
      </c>
      <c r="EY5" s="69">
        <v>1.8449999999999999E-7</v>
      </c>
      <c r="EZ5" s="69">
        <v>1.7709999999999999E-7</v>
      </c>
      <c r="FA5" s="69">
        <v>1.7009999999999999E-7</v>
      </c>
      <c r="FB5" s="69">
        <v>1.6330000000000001E-7</v>
      </c>
      <c r="FC5" s="69">
        <v>1.5669999999999999E-7</v>
      </c>
      <c r="FD5" s="69">
        <v>1.505E-7</v>
      </c>
      <c r="FE5" s="69">
        <v>1.444E-7</v>
      </c>
      <c r="FF5" s="69">
        <v>1.3869999999999999E-7</v>
      </c>
      <c r="FG5" s="69">
        <v>1.3309999999999999E-7</v>
      </c>
      <c r="FH5" s="69">
        <v>1.2779999999999999E-7</v>
      </c>
      <c r="FI5" s="69">
        <v>1.2270000000000001E-7</v>
      </c>
      <c r="FJ5" s="69">
        <v>1.178E-7</v>
      </c>
      <c r="FK5" s="69">
        <v>1.131E-7</v>
      </c>
      <c r="FL5" s="69">
        <v>1.085E-7</v>
      </c>
      <c r="FM5" s="69">
        <v>1.0420000000000001E-7</v>
      </c>
      <c r="FN5" s="69">
        <v>9.9999999999999995E-8</v>
      </c>
      <c r="FO5" s="69">
        <v>9.5999999999999999E-8</v>
      </c>
      <c r="FP5" s="69">
        <v>9.2200000000000005E-8</v>
      </c>
      <c r="FQ5" s="69">
        <v>8.8500000000000005E-8</v>
      </c>
    </row>
    <row r="6" spans="1:173" x14ac:dyDescent="0.25">
      <c r="A6" s="71">
        <v>4</v>
      </c>
      <c r="B6" s="69">
        <v>6.6894600000000002E-5</v>
      </c>
      <c r="C6" s="69">
        <v>6.4525100000000003E-5</v>
      </c>
      <c r="D6" s="69">
        <v>6.2215E-5</v>
      </c>
      <c r="E6" s="69">
        <v>5.9965700000000001E-5</v>
      </c>
      <c r="F6" s="69">
        <v>5.7777800000000001E-5</v>
      </c>
      <c r="G6" s="69">
        <v>5.5651900000000002E-5</v>
      </c>
      <c r="H6" s="69">
        <v>5.3588200000000003E-5</v>
      </c>
      <c r="I6" s="69">
        <v>5.1586499999999998E-5</v>
      </c>
      <c r="J6" s="69">
        <v>4.96467E-5</v>
      </c>
      <c r="K6" s="69">
        <v>4.7768000000000001E-5</v>
      </c>
      <c r="L6" s="69">
        <v>4.5949899999999999E-5</v>
      </c>
      <c r="M6" s="69">
        <v>4.4191599999999999E-5</v>
      </c>
      <c r="N6" s="69">
        <v>4.2492099999999999E-5</v>
      </c>
      <c r="O6" s="69">
        <v>4.0850299999999997E-5</v>
      </c>
      <c r="P6" s="69">
        <v>3.9265099999999998E-5</v>
      </c>
      <c r="Q6" s="69">
        <v>3.7735199999999997E-5</v>
      </c>
      <c r="R6" s="69">
        <v>3.62594E-5</v>
      </c>
      <c r="S6" s="69">
        <v>3.4836399999999997E-5</v>
      </c>
      <c r="T6" s="69">
        <v>3.3464699999999998E-5</v>
      </c>
      <c r="U6" s="69">
        <v>3.2143100000000001E-5</v>
      </c>
      <c r="V6" s="69">
        <v>3.0870000000000001E-5</v>
      </c>
      <c r="W6" s="69">
        <v>2.96442E-5</v>
      </c>
      <c r="X6" s="69">
        <v>2.8464100000000001E-5</v>
      </c>
      <c r="Y6" s="69">
        <v>2.7328400000000001E-5</v>
      </c>
      <c r="Z6" s="69">
        <v>2.62357E-5</v>
      </c>
      <c r="AA6" s="69">
        <v>2.5184599999999999E-5</v>
      </c>
      <c r="AB6" s="69">
        <v>2.4173699999999999E-5</v>
      </c>
      <c r="AC6" s="69">
        <v>2.3201699999999998E-5</v>
      </c>
      <c r="AD6" s="69">
        <v>2.2267299999999999E-5</v>
      </c>
      <c r="AE6" s="69">
        <v>2.1369199999999999E-5</v>
      </c>
      <c r="AF6" s="69">
        <v>2.05061E-5</v>
      </c>
      <c r="AG6" s="69">
        <v>1.9676700000000001E-5</v>
      </c>
      <c r="AH6" s="69">
        <v>1.8879899999999999E-5</v>
      </c>
      <c r="AI6" s="69">
        <v>1.8114500000000001E-5</v>
      </c>
      <c r="AJ6" s="69">
        <v>1.7379400000000002E-5</v>
      </c>
      <c r="AK6" s="69">
        <v>1.6673399999999999E-5</v>
      </c>
      <c r="AL6" s="69">
        <v>1.5995399999999999E-5</v>
      </c>
      <c r="AM6" s="69">
        <v>1.5344400000000002E-5</v>
      </c>
      <c r="AN6" s="69">
        <v>1.47194E-5</v>
      </c>
      <c r="AO6" s="69">
        <v>1.4119400000000001E-5</v>
      </c>
      <c r="AP6" s="69">
        <v>1.35435E-5</v>
      </c>
      <c r="AQ6" s="69">
        <v>1.2990700000000001E-5</v>
      </c>
      <c r="AR6" s="69">
        <v>1.24601E-5</v>
      </c>
      <c r="AS6" s="69">
        <v>1.1950899999999999E-5</v>
      </c>
      <c r="AT6" s="69">
        <v>1.14622E-5</v>
      </c>
      <c r="AU6" s="69">
        <v>1.09933E-5</v>
      </c>
      <c r="AV6" s="69">
        <v>1.05434E-5</v>
      </c>
      <c r="AW6" s="69">
        <v>1.01117E-5</v>
      </c>
      <c r="AX6" s="69">
        <v>9.6974999999999999E-6</v>
      </c>
      <c r="AY6" s="69">
        <v>9.3000999999999993E-6</v>
      </c>
      <c r="AZ6" s="69">
        <v>8.9188000000000001E-6</v>
      </c>
      <c r="BA6" s="69">
        <v>8.5530999999999995E-6</v>
      </c>
      <c r="BB6" s="69">
        <v>8.2021999999999992E-6</v>
      </c>
      <c r="BC6" s="69">
        <v>7.8656999999999999E-6</v>
      </c>
      <c r="BD6" s="69">
        <v>7.5428E-6</v>
      </c>
      <c r="BE6" s="69">
        <v>7.2331999999999996E-6</v>
      </c>
      <c r="BF6" s="69">
        <v>6.9361999999999998E-6</v>
      </c>
      <c r="BG6" s="69">
        <v>6.6513000000000002E-6</v>
      </c>
      <c r="BH6" s="69">
        <v>6.3779999999999998E-6</v>
      </c>
      <c r="BI6" s="69">
        <v>6.1159000000000002E-6</v>
      </c>
      <c r="BJ6" s="69">
        <v>5.8645999999999997E-6</v>
      </c>
      <c r="BK6" s="69">
        <v>5.6234999999999996E-6</v>
      </c>
      <c r="BL6" s="69">
        <v>5.3924000000000002E-6</v>
      </c>
      <c r="BM6" s="69">
        <v>5.1706000000000001E-6</v>
      </c>
      <c r="BN6" s="69">
        <v>4.9579999999999998E-6</v>
      </c>
      <c r="BO6" s="69">
        <v>4.7540999999999999E-6</v>
      </c>
      <c r="BP6" s="69">
        <v>4.5584999999999996E-6</v>
      </c>
      <c r="BQ6" s="69">
        <v>4.3710000000000002E-6</v>
      </c>
      <c r="BR6" s="69">
        <v>4.1911999999999998E-6</v>
      </c>
      <c r="BS6" s="69">
        <v>4.0187000000000002E-6</v>
      </c>
      <c r="BT6" s="69">
        <v>3.8534000000000002E-6</v>
      </c>
      <c r="BU6" s="69">
        <v>3.6948000000000002E-6</v>
      </c>
      <c r="BV6" s="69">
        <v>3.5427E-6</v>
      </c>
      <c r="BW6" s="69">
        <v>3.3969E-6</v>
      </c>
      <c r="BX6" s="69">
        <v>3.2571000000000001E-6</v>
      </c>
      <c r="BY6" s="69">
        <v>3.123E-6</v>
      </c>
      <c r="BZ6" s="69">
        <v>2.9944000000000001E-6</v>
      </c>
      <c r="CA6" s="69">
        <v>2.8710999999999999E-6</v>
      </c>
      <c r="CB6" s="69">
        <v>2.7528999999999999E-6</v>
      </c>
      <c r="CC6" s="69">
        <v>2.6396000000000001E-6</v>
      </c>
      <c r="CD6" s="69">
        <v>2.5309000000000002E-6</v>
      </c>
      <c r="CE6" s="69">
        <v>2.4267E-6</v>
      </c>
      <c r="CF6" s="69">
        <v>2.3267000000000001E-6</v>
      </c>
      <c r="CG6" s="69">
        <v>2.2309000000000001E-6</v>
      </c>
      <c r="CH6" s="69">
        <v>2.1390000000000002E-6</v>
      </c>
      <c r="CI6" s="69">
        <v>2.0509000000000001E-6</v>
      </c>
      <c r="CJ6" s="69">
        <v>1.9665000000000001E-6</v>
      </c>
      <c r="CK6" s="69">
        <v>1.8855E-6</v>
      </c>
      <c r="CL6" s="69">
        <v>1.8078000000000001E-6</v>
      </c>
      <c r="CM6" s="69">
        <v>1.7334E-6</v>
      </c>
      <c r="CN6" s="69">
        <v>1.6619999999999999E-6</v>
      </c>
      <c r="CO6" s="69">
        <v>1.5935000000000001E-6</v>
      </c>
      <c r="CP6" s="69">
        <v>1.5279E-6</v>
      </c>
      <c r="CQ6" s="69">
        <v>1.4648999999999999E-6</v>
      </c>
      <c r="CR6" s="69">
        <v>1.4046000000000001E-6</v>
      </c>
      <c r="CS6" s="69">
        <v>1.3467E-6</v>
      </c>
      <c r="CT6" s="69">
        <v>1.2912E-6</v>
      </c>
      <c r="CU6" s="69">
        <v>1.2381000000000001E-6</v>
      </c>
      <c r="CV6" s="69">
        <v>1.187E-6</v>
      </c>
      <c r="CW6" s="69">
        <v>1.1381E-6</v>
      </c>
      <c r="CX6" s="69">
        <v>1.0913E-6</v>
      </c>
      <c r="CY6" s="69">
        <v>1.0463E-6</v>
      </c>
      <c r="CZ6" s="69">
        <v>1.0032E-6</v>
      </c>
      <c r="DA6" s="69">
        <v>9.6190000000000006E-7</v>
      </c>
      <c r="DB6" s="69">
        <v>9.2220000000000004E-7</v>
      </c>
      <c r="DC6" s="69">
        <v>8.8420000000000004E-7</v>
      </c>
      <c r="DD6" s="69">
        <v>8.4779999999999996E-7</v>
      </c>
      <c r="DE6" s="69">
        <v>8.1289999999999998E-7</v>
      </c>
      <c r="DF6" s="69">
        <v>7.794E-7</v>
      </c>
      <c r="DG6" s="69">
        <v>7.4730000000000003E-7</v>
      </c>
      <c r="DH6" s="69">
        <v>7.1650000000000004E-7</v>
      </c>
      <c r="DI6" s="69">
        <v>6.8700000000000005E-7</v>
      </c>
      <c r="DJ6" s="69">
        <v>6.5870000000000004E-7</v>
      </c>
      <c r="DK6" s="69">
        <v>6.3150000000000001E-7</v>
      </c>
      <c r="DL6" s="69">
        <v>6.0549999999999996E-7</v>
      </c>
      <c r="DM6" s="69">
        <v>5.806E-7</v>
      </c>
      <c r="DN6" s="69">
        <v>5.5659999999999999E-7</v>
      </c>
      <c r="DO6" s="69">
        <v>5.3369999999999997E-7</v>
      </c>
      <c r="DP6" s="69">
        <v>5.1170000000000001E-7</v>
      </c>
      <c r="DQ6" s="69">
        <v>4.9060000000000001E-7</v>
      </c>
      <c r="DR6" s="69">
        <v>4.7039999999999998E-7</v>
      </c>
      <c r="DS6" s="69">
        <v>4.51E-7</v>
      </c>
      <c r="DT6" s="69">
        <v>4.3239999999999998E-7</v>
      </c>
      <c r="DU6" s="69">
        <v>4.1460000000000002E-7</v>
      </c>
      <c r="DV6" s="69">
        <v>3.9750000000000001E-7</v>
      </c>
      <c r="DW6" s="69">
        <v>3.812E-7</v>
      </c>
      <c r="DX6" s="69">
        <v>3.6549999999999998E-7</v>
      </c>
      <c r="DY6" s="69">
        <v>3.5040000000000001E-7</v>
      </c>
      <c r="DZ6" s="69">
        <v>3.3599999999999999E-7</v>
      </c>
      <c r="EA6" s="69">
        <v>3.2210000000000001E-7</v>
      </c>
      <c r="EB6" s="69">
        <v>3.0880000000000001E-7</v>
      </c>
      <c r="EC6" s="69">
        <v>2.9610000000000001E-7</v>
      </c>
      <c r="ED6" s="69">
        <v>2.8389999999999999E-7</v>
      </c>
      <c r="EE6" s="69">
        <v>2.7220000000000002E-7</v>
      </c>
      <c r="EF6" s="69">
        <v>2.6100000000000002E-7</v>
      </c>
      <c r="EG6" s="69">
        <v>2.5030000000000001E-7</v>
      </c>
      <c r="EH6" s="69">
        <v>2.3990000000000002E-7</v>
      </c>
      <c r="EI6" s="69">
        <v>2.301E-7</v>
      </c>
      <c r="EJ6" s="69">
        <v>2.206E-7</v>
      </c>
      <c r="EK6" s="69">
        <v>2.1150000000000001E-7</v>
      </c>
      <c r="EL6" s="69">
        <v>2.0279999999999999E-7</v>
      </c>
      <c r="EM6" s="69">
        <v>1.9439999999999999E-7</v>
      </c>
      <c r="EN6" s="69">
        <v>1.864E-7</v>
      </c>
      <c r="EO6" s="69">
        <v>1.7870000000000001E-7</v>
      </c>
      <c r="EP6" s="69">
        <v>1.7140000000000001E-7</v>
      </c>
      <c r="EQ6" s="69">
        <v>1.6430000000000001E-7</v>
      </c>
      <c r="ER6" s="69">
        <v>1.575E-7</v>
      </c>
      <c r="ES6" s="69">
        <v>1.5099999999999999E-7</v>
      </c>
      <c r="ET6" s="69">
        <v>1.448E-7</v>
      </c>
      <c r="EU6" s="69">
        <v>1.3890000000000001E-7</v>
      </c>
      <c r="EV6" s="69">
        <v>1.3309999999999999E-7</v>
      </c>
      <c r="EW6" s="69">
        <v>1.276E-7</v>
      </c>
      <c r="EX6" s="69">
        <v>1.2240000000000001E-7</v>
      </c>
      <c r="EY6" s="69">
        <v>1.173E-7</v>
      </c>
      <c r="EZ6" s="69">
        <v>1.1249999999999999E-7</v>
      </c>
      <c r="FA6" s="69">
        <v>1.0789999999999999E-7</v>
      </c>
      <c r="FB6" s="69">
        <v>1.034E-7</v>
      </c>
      <c r="FC6" s="69">
        <v>9.9200000000000002E-8</v>
      </c>
      <c r="FD6" s="69">
        <v>9.5099999999999998E-8</v>
      </c>
      <c r="FE6" s="69">
        <v>9.1199999999999996E-8</v>
      </c>
      <c r="FF6" s="69">
        <v>8.7400000000000002E-8</v>
      </c>
      <c r="FG6" s="69">
        <v>8.3799999999999996E-8</v>
      </c>
      <c r="FH6" s="69">
        <v>8.0299999999999998E-8</v>
      </c>
      <c r="FI6" s="69">
        <v>7.7000000000000001E-8</v>
      </c>
      <c r="FJ6" s="69">
        <v>7.3900000000000007E-8</v>
      </c>
      <c r="FK6" s="69">
        <v>7.0799999999999999E-8</v>
      </c>
      <c r="FL6" s="69">
        <v>6.7900000000000006E-8</v>
      </c>
      <c r="FM6" s="69">
        <v>6.5099999999999994E-8</v>
      </c>
      <c r="FN6" s="69">
        <v>6.2400000000000003E-8</v>
      </c>
      <c r="FO6" s="69">
        <v>5.99E-8</v>
      </c>
      <c r="FP6" s="69">
        <v>5.7399999999999998E-8</v>
      </c>
      <c r="FQ6" s="69">
        <v>5.5000000000000003E-8</v>
      </c>
    </row>
    <row r="7" spans="1:173" x14ac:dyDescent="0.25">
      <c r="A7" s="71">
        <v>5</v>
      </c>
      <c r="B7" s="69">
        <v>6.03516E-5</v>
      </c>
      <c r="C7" s="69">
        <v>5.8280099999999998E-5</v>
      </c>
      <c r="D7" s="69">
        <v>5.6249199999999997E-5</v>
      </c>
      <c r="E7" s="69">
        <v>5.4261600000000002E-5</v>
      </c>
      <c r="F7" s="69">
        <v>5.2319499999999999E-5</v>
      </c>
      <c r="G7" s="69">
        <v>5.0424599999999998E-5</v>
      </c>
      <c r="H7" s="69">
        <v>4.8578200000000002E-5</v>
      </c>
      <c r="I7" s="69">
        <v>4.6781299999999999E-5</v>
      </c>
      <c r="J7" s="69">
        <v>4.5034699999999998E-5</v>
      </c>
      <c r="K7" s="69">
        <v>4.3338599999999999E-5</v>
      </c>
      <c r="L7" s="69">
        <v>4.1693200000000003E-5</v>
      </c>
      <c r="M7" s="69">
        <v>4.0098400000000002E-5</v>
      </c>
      <c r="N7" s="69">
        <v>3.8554099999999997E-5</v>
      </c>
      <c r="O7" s="69">
        <v>3.70596E-5</v>
      </c>
      <c r="P7" s="69">
        <v>3.5614500000000003E-5</v>
      </c>
      <c r="Q7" s="69">
        <v>3.4218099999999997E-5</v>
      </c>
      <c r="R7" s="69">
        <v>3.2869500000000001E-5</v>
      </c>
      <c r="S7" s="69">
        <v>3.15678E-5</v>
      </c>
      <c r="T7" s="69">
        <v>3.0312100000000001E-5</v>
      </c>
      <c r="U7" s="69">
        <v>2.9101399999999999E-5</v>
      </c>
      <c r="V7" s="69">
        <v>2.7934500000000002E-5</v>
      </c>
      <c r="W7" s="69">
        <v>2.68104E-5</v>
      </c>
      <c r="X7" s="69">
        <v>2.5727900000000001E-5</v>
      </c>
      <c r="Y7" s="69">
        <v>2.46859E-5</v>
      </c>
      <c r="Z7" s="69">
        <v>2.3683200000000001E-5</v>
      </c>
      <c r="AA7" s="69">
        <v>2.27186E-5</v>
      </c>
      <c r="AB7" s="69">
        <v>2.1790899999999998E-5</v>
      </c>
      <c r="AC7" s="69">
        <v>2.0899100000000001E-5</v>
      </c>
      <c r="AD7" s="69">
        <v>2.0041899999999999E-5</v>
      </c>
      <c r="AE7" s="69">
        <v>1.9218100000000002E-5</v>
      </c>
      <c r="AF7" s="69">
        <v>1.8426700000000001E-5</v>
      </c>
      <c r="AG7" s="69">
        <v>1.7666600000000001E-5</v>
      </c>
      <c r="AH7" s="69">
        <v>1.69366E-5</v>
      </c>
      <c r="AI7" s="69">
        <v>1.6235600000000001E-5</v>
      </c>
      <c r="AJ7" s="69">
        <v>1.5562799999999999E-5</v>
      </c>
      <c r="AK7" s="69">
        <v>1.4916899999999999E-5</v>
      </c>
      <c r="AL7" s="69">
        <v>1.4297000000000001E-5</v>
      </c>
      <c r="AM7" s="69">
        <v>1.3702299999999999E-5</v>
      </c>
      <c r="AN7" s="69">
        <v>1.31316E-5</v>
      </c>
      <c r="AO7" s="69">
        <v>1.25841E-5</v>
      </c>
      <c r="AP7" s="69">
        <v>1.2058999999999999E-5</v>
      </c>
      <c r="AQ7" s="69">
        <v>1.1555299999999999E-5</v>
      </c>
      <c r="AR7" s="69">
        <v>1.1072300000000001E-5</v>
      </c>
      <c r="AS7" s="69">
        <v>1.06091E-5</v>
      </c>
      <c r="AT7" s="69">
        <v>1.01649E-5</v>
      </c>
      <c r="AU7" s="69">
        <v>9.7390999999999996E-6</v>
      </c>
      <c r="AV7" s="69">
        <v>9.3308000000000005E-6</v>
      </c>
      <c r="AW7" s="69">
        <v>8.9393999999999995E-6</v>
      </c>
      <c r="AX7" s="69">
        <v>8.5643000000000003E-6</v>
      </c>
      <c r="AY7" s="69">
        <v>8.2045999999999993E-6</v>
      </c>
      <c r="AZ7" s="69">
        <v>7.8599999999999993E-6</v>
      </c>
      <c r="BA7" s="69">
        <v>7.5295999999999999E-6</v>
      </c>
      <c r="BB7" s="69">
        <v>7.2130000000000002E-6</v>
      </c>
      <c r="BC7" s="69">
        <v>6.9095999999999999E-6</v>
      </c>
      <c r="BD7" s="69">
        <v>6.6189000000000003E-6</v>
      </c>
      <c r="BE7" s="69">
        <v>6.3403000000000001E-6</v>
      </c>
      <c r="BF7" s="69">
        <v>6.0732999999999999E-6</v>
      </c>
      <c r="BG7" s="69">
        <v>5.8174999999999998E-6</v>
      </c>
      <c r="BH7" s="69">
        <v>5.5724000000000002E-6</v>
      </c>
      <c r="BI7" s="69">
        <v>5.3376000000000004E-6</v>
      </c>
      <c r="BJ7" s="69">
        <v>5.1126E-6</v>
      </c>
      <c r="BK7" s="69">
        <v>4.8969999999999999E-6</v>
      </c>
      <c r="BL7" s="69">
        <v>4.6905000000000002E-6</v>
      </c>
      <c r="BM7" s="69">
        <v>4.4926E-6</v>
      </c>
      <c r="BN7" s="69">
        <v>4.3031000000000004E-6</v>
      </c>
      <c r="BO7" s="69">
        <v>4.1215000000000003E-6</v>
      </c>
      <c r="BP7" s="69">
        <v>3.9476000000000001E-6</v>
      </c>
      <c r="BQ7" s="69">
        <v>3.7809999999999999E-6</v>
      </c>
      <c r="BR7" s="69">
        <v>3.6214000000000002E-6</v>
      </c>
      <c r="BS7" s="69">
        <v>3.4684999999999999E-6</v>
      </c>
      <c r="BT7" s="69">
        <v>3.3220000000000001E-6</v>
      </c>
      <c r="BU7" s="69">
        <v>3.1817E-6</v>
      </c>
      <c r="BV7" s="69">
        <v>3.0473E-6</v>
      </c>
      <c r="BW7" s="69">
        <v>2.9185999999999999E-6</v>
      </c>
      <c r="BX7" s="69">
        <v>2.7953000000000002E-6</v>
      </c>
      <c r="BY7" s="69">
        <v>2.6772E-6</v>
      </c>
      <c r="BZ7" s="69">
        <v>2.5641000000000001E-6</v>
      </c>
      <c r="CA7" s="69">
        <v>2.4557999999999998E-6</v>
      </c>
      <c r="CB7" s="69">
        <v>2.3520000000000001E-6</v>
      </c>
      <c r="CC7" s="69">
        <v>2.2525999999999998E-6</v>
      </c>
      <c r="CD7" s="69">
        <v>2.1573999999999999E-6</v>
      </c>
      <c r="CE7" s="69">
        <v>2.0661999999999998E-6</v>
      </c>
      <c r="CF7" s="69">
        <v>1.9788999999999998E-6</v>
      </c>
      <c r="CG7" s="69">
        <v>1.8953000000000001E-6</v>
      </c>
      <c r="CH7" s="69">
        <v>1.8151E-6</v>
      </c>
      <c r="CI7" s="69">
        <v>1.7383999999999999E-6</v>
      </c>
      <c r="CJ7" s="69">
        <v>1.6648999999999999E-6</v>
      </c>
      <c r="CK7" s="69">
        <v>1.5944999999999999E-6</v>
      </c>
      <c r="CL7" s="69">
        <v>1.5271E-6</v>
      </c>
      <c r="CM7" s="69">
        <v>1.4626E-6</v>
      </c>
      <c r="CN7" s="69">
        <v>1.4007E-6</v>
      </c>
      <c r="CO7" s="69">
        <v>1.3415E-6</v>
      </c>
      <c r="CP7" s="69">
        <v>1.2848E-6</v>
      </c>
      <c r="CQ7" s="69">
        <v>1.2303999999999999E-6</v>
      </c>
      <c r="CR7" s="69">
        <v>1.1784E-6</v>
      </c>
      <c r="CS7" s="69">
        <v>1.1286000000000001E-6</v>
      </c>
      <c r="CT7" s="69">
        <v>1.0809000000000001E-6</v>
      </c>
      <c r="CU7" s="69">
        <v>1.0351000000000001E-6</v>
      </c>
      <c r="CV7" s="69">
        <v>9.9139999999999994E-7</v>
      </c>
      <c r="CW7" s="69">
        <v>9.4939999999999996E-7</v>
      </c>
      <c r="CX7" s="69">
        <v>9.0930000000000002E-7</v>
      </c>
      <c r="CY7" s="69">
        <v>8.7079999999999999E-7</v>
      </c>
      <c r="CZ7" s="69">
        <v>8.3399999999999998E-7</v>
      </c>
      <c r="DA7" s="69">
        <v>7.9869999999999997E-7</v>
      </c>
      <c r="DB7" s="69">
        <v>7.6499999999999998E-7</v>
      </c>
      <c r="DC7" s="69">
        <v>7.3259999999999998E-7</v>
      </c>
      <c r="DD7" s="69">
        <v>7.0159999999999998E-7</v>
      </c>
      <c r="DE7" s="69">
        <v>6.7189999999999997E-7</v>
      </c>
      <c r="DF7" s="69">
        <v>6.4349999999999996E-7</v>
      </c>
      <c r="DG7" s="69">
        <v>6.1630000000000003E-7</v>
      </c>
      <c r="DH7" s="69">
        <v>5.9019999999999998E-7</v>
      </c>
      <c r="DI7" s="69">
        <v>5.6530000000000001E-7</v>
      </c>
      <c r="DJ7" s="69">
        <v>5.4140000000000002E-7</v>
      </c>
      <c r="DK7" s="69">
        <v>5.1849999999999999E-7</v>
      </c>
      <c r="DL7" s="69">
        <v>4.9650000000000003E-7</v>
      </c>
      <c r="DM7" s="69">
        <v>4.7549999999999999E-7</v>
      </c>
      <c r="DN7" s="69">
        <v>4.5540000000000001E-7</v>
      </c>
      <c r="DO7" s="69">
        <v>4.362E-7</v>
      </c>
      <c r="DP7" s="69">
        <v>4.1769999999999999E-7</v>
      </c>
      <c r="DQ7" s="69">
        <v>3.9999999999999998E-7</v>
      </c>
      <c r="DR7" s="69">
        <v>3.8309999999999998E-7</v>
      </c>
      <c r="DS7" s="69">
        <v>3.6689999999999998E-7</v>
      </c>
      <c r="DT7" s="69">
        <v>3.5139999999999998E-7</v>
      </c>
      <c r="DU7" s="69">
        <v>3.3649999999999998E-7</v>
      </c>
      <c r="DV7" s="69">
        <v>3.2230000000000002E-7</v>
      </c>
      <c r="DW7" s="69">
        <v>3.087E-7</v>
      </c>
      <c r="DX7" s="69">
        <v>2.9560000000000003E-7</v>
      </c>
      <c r="DY7" s="69">
        <v>2.8309999999999999E-7</v>
      </c>
      <c r="DZ7" s="69">
        <v>2.7109999999999999E-7</v>
      </c>
      <c r="EA7" s="69">
        <v>2.5969999999999998E-7</v>
      </c>
      <c r="EB7" s="69">
        <v>2.487E-7</v>
      </c>
      <c r="EC7" s="69">
        <v>2.382E-7</v>
      </c>
      <c r="ED7" s="69">
        <v>2.2810000000000001E-7</v>
      </c>
      <c r="EE7" s="69">
        <v>2.184E-7</v>
      </c>
      <c r="EF7" s="69">
        <v>2.0919999999999999E-7</v>
      </c>
      <c r="EG7" s="69">
        <v>2.0029999999999999E-7</v>
      </c>
      <c r="EH7" s="69">
        <v>1.9189999999999999E-7</v>
      </c>
      <c r="EI7" s="69">
        <v>1.8379999999999999E-7</v>
      </c>
      <c r="EJ7" s="69">
        <v>1.7599999999999999E-7</v>
      </c>
      <c r="EK7" s="69">
        <v>1.6850000000000001E-7</v>
      </c>
      <c r="EL7" s="69">
        <v>1.614E-7</v>
      </c>
      <c r="EM7" s="69">
        <v>1.5459999999999999E-7</v>
      </c>
      <c r="EN7" s="69">
        <v>1.48E-7</v>
      </c>
      <c r="EO7" s="69">
        <v>1.4180000000000001E-7</v>
      </c>
      <c r="EP7" s="69">
        <v>1.3580000000000001E-7</v>
      </c>
      <c r="EQ7" s="69">
        <v>1.3E-7</v>
      </c>
      <c r="ER7" s="69">
        <v>1.2450000000000001E-7</v>
      </c>
      <c r="ES7" s="69">
        <v>1.1929999999999999E-7</v>
      </c>
      <c r="ET7" s="69">
        <v>1.142E-7</v>
      </c>
      <c r="EU7" s="69">
        <v>1.094E-7</v>
      </c>
      <c r="EV7" s="69">
        <v>1.048E-7</v>
      </c>
      <c r="EW7" s="69">
        <v>1.003E-7</v>
      </c>
      <c r="EX7" s="69">
        <v>9.6099999999999994E-8</v>
      </c>
      <c r="EY7" s="69">
        <v>9.2000000000000003E-8</v>
      </c>
      <c r="EZ7" s="69">
        <v>8.8100000000000001E-8</v>
      </c>
      <c r="FA7" s="69">
        <v>8.4400000000000001E-8</v>
      </c>
      <c r="FB7" s="69">
        <v>8.0799999999999996E-8</v>
      </c>
      <c r="FC7" s="69">
        <v>7.7400000000000005E-8</v>
      </c>
      <c r="FD7" s="69">
        <v>7.4099999999999995E-8</v>
      </c>
      <c r="FE7" s="69">
        <v>7.1E-8</v>
      </c>
      <c r="FF7" s="69">
        <v>6.8E-8</v>
      </c>
      <c r="FG7" s="69">
        <v>6.5099999999999994E-8</v>
      </c>
      <c r="FH7" s="69">
        <v>6.2400000000000003E-8</v>
      </c>
      <c r="FI7" s="69">
        <v>5.9699999999999999E-8</v>
      </c>
      <c r="FJ7" s="69">
        <v>5.7200000000000003E-8</v>
      </c>
      <c r="FK7" s="69">
        <v>5.4800000000000001E-8</v>
      </c>
      <c r="FL7" s="69">
        <v>5.25E-8</v>
      </c>
      <c r="FM7" s="69">
        <v>5.02E-8</v>
      </c>
      <c r="FN7" s="69">
        <v>4.8100000000000001E-8</v>
      </c>
      <c r="FO7" s="69">
        <v>4.6100000000000003E-8</v>
      </c>
      <c r="FP7" s="69">
        <v>4.4099999999999998E-8</v>
      </c>
      <c r="FQ7" s="69">
        <v>4.2300000000000002E-8</v>
      </c>
    </row>
    <row r="8" spans="1:173" x14ac:dyDescent="0.25">
      <c r="A8" s="71">
        <v>6</v>
      </c>
      <c r="B8" s="69">
        <v>5.5162099999999998E-5</v>
      </c>
      <c r="C8" s="69">
        <v>5.29254E-5</v>
      </c>
      <c r="D8" s="69">
        <v>5.0773299999999997E-5</v>
      </c>
      <c r="E8" s="69">
        <v>4.8703199999999998E-5</v>
      </c>
      <c r="F8" s="69">
        <v>4.6712599999999997E-5</v>
      </c>
      <c r="G8" s="69">
        <v>4.4799000000000003E-5</v>
      </c>
      <c r="H8" s="69">
        <v>4.2959800000000002E-5</v>
      </c>
      <c r="I8" s="69">
        <v>4.1192600000000003E-5</v>
      </c>
      <c r="J8" s="69">
        <v>3.94949E-5</v>
      </c>
      <c r="K8" s="69">
        <v>3.7864300000000003E-5</v>
      </c>
      <c r="L8" s="69">
        <v>3.6298499999999998E-5</v>
      </c>
      <c r="M8" s="69">
        <v>3.4795200000000002E-5</v>
      </c>
      <c r="N8" s="69">
        <v>3.3352100000000002E-5</v>
      </c>
      <c r="O8" s="69">
        <v>3.1967100000000001E-5</v>
      </c>
      <c r="P8" s="69">
        <v>3.06379E-5</v>
      </c>
      <c r="Q8" s="69">
        <v>2.9362499999999999E-5</v>
      </c>
      <c r="R8" s="69">
        <v>2.8138799999999999E-5</v>
      </c>
      <c r="S8" s="69">
        <v>2.6965E-5</v>
      </c>
      <c r="T8" s="69">
        <v>2.5839100000000001E-5</v>
      </c>
      <c r="U8" s="69">
        <v>2.4759299999999999E-5</v>
      </c>
      <c r="V8" s="69">
        <v>2.3723800000000001E-5</v>
      </c>
      <c r="W8" s="69">
        <v>2.2730799999999999E-5</v>
      </c>
      <c r="X8" s="69">
        <v>2.1778699999999999E-5</v>
      </c>
      <c r="Y8" s="69">
        <v>2.0865799999999999E-5</v>
      </c>
      <c r="Z8" s="69">
        <v>1.9990700000000002E-5</v>
      </c>
      <c r="AA8" s="69">
        <v>1.9151799999999998E-5</v>
      </c>
      <c r="AB8" s="69">
        <v>1.83476E-5</v>
      </c>
      <c r="AC8" s="69">
        <v>1.7576900000000001E-5</v>
      </c>
      <c r="AD8" s="69">
        <v>1.6838100000000001E-5</v>
      </c>
      <c r="AE8" s="69">
        <v>1.61301E-5</v>
      </c>
      <c r="AF8" s="69">
        <v>1.54516E-5</v>
      </c>
      <c r="AG8" s="69">
        <v>1.48014E-5</v>
      </c>
      <c r="AH8" s="69">
        <v>1.4178299999999999E-5</v>
      </c>
      <c r="AI8" s="69">
        <v>1.35813E-5</v>
      </c>
      <c r="AJ8" s="69">
        <v>1.3009200000000001E-5</v>
      </c>
      <c r="AK8" s="69">
        <v>1.2461E-5</v>
      </c>
      <c r="AL8" s="69">
        <v>1.19358E-5</v>
      </c>
      <c r="AM8" s="69">
        <v>1.14326E-5</v>
      </c>
      <c r="AN8" s="69">
        <v>1.09505E-5</v>
      </c>
      <c r="AO8" s="69">
        <v>1.04886E-5</v>
      </c>
      <c r="AP8" s="69">
        <v>1.00461E-5</v>
      </c>
      <c r="AQ8" s="69">
        <v>9.6222000000000008E-6</v>
      </c>
      <c r="AR8" s="69">
        <v>9.2162E-6</v>
      </c>
      <c r="AS8" s="69">
        <v>8.8271000000000006E-6</v>
      </c>
      <c r="AT8" s="69">
        <v>8.4545000000000001E-6</v>
      </c>
      <c r="AU8" s="69">
        <v>8.0975E-6</v>
      </c>
      <c r="AV8" s="69">
        <v>7.7556000000000008E-6</v>
      </c>
      <c r="AW8" s="69">
        <v>7.4279999999999999E-6</v>
      </c>
      <c r="AX8" s="69">
        <v>7.1141999999999996E-6</v>
      </c>
      <c r="AY8" s="69">
        <v>6.8136999999999997E-6</v>
      </c>
      <c r="AZ8" s="69">
        <v>6.5258000000000003E-6</v>
      </c>
      <c r="BA8" s="69">
        <v>6.2500999999999997E-6</v>
      </c>
      <c r="BB8" s="69">
        <v>5.9859999999999999E-6</v>
      </c>
      <c r="BC8" s="69">
        <v>5.733E-6</v>
      </c>
      <c r="BD8" s="69">
        <v>5.4906999999999998E-6</v>
      </c>
      <c r="BE8" s="69">
        <v>5.2585999999999999E-6</v>
      </c>
      <c r="BF8" s="69">
        <v>5.0363000000000004E-6</v>
      </c>
      <c r="BG8" s="69">
        <v>4.8234000000000003E-6</v>
      </c>
      <c r="BH8" s="69">
        <v>4.6195000000000004E-6</v>
      </c>
      <c r="BI8" s="69">
        <v>4.4241999999999999E-6</v>
      </c>
      <c r="BJ8" s="69">
        <v>4.2370999999999996E-6</v>
      </c>
      <c r="BK8" s="69">
        <v>4.0579999999999999E-6</v>
      </c>
      <c r="BL8" s="69">
        <v>3.8863999999999998E-6</v>
      </c>
      <c r="BM8" s="69">
        <v>3.7220000000000001E-6</v>
      </c>
      <c r="BN8" s="69">
        <v>3.5646000000000001E-6</v>
      </c>
      <c r="BO8" s="69">
        <v>3.4139E-6</v>
      </c>
      <c r="BP8" s="69">
        <v>3.2695000000000002E-6</v>
      </c>
      <c r="BQ8" s="69">
        <v>3.1312000000000002E-6</v>
      </c>
      <c r="BR8" s="69">
        <v>2.9988E-6</v>
      </c>
      <c r="BS8" s="69">
        <v>2.8720000000000002E-6</v>
      </c>
      <c r="BT8" s="69">
        <v>2.7505000000000002E-6</v>
      </c>
      <c r="BU8" s="69">
        <v>2.6340999999999999E-6</v>
      </c>
      <c r="BV8" s="69">
        <v>2.5227E-6</v>
      </c>
      <c r="BW8" s="69">
        <v>2.4159999999999998E-6</v>
      </c>
      <c r="BX8" s="69">
        <v>2.3138000000000002E-6</v>
      </c>
      <c r="BY8" s="69">
        <v>2.2158999999999998E-6</v>
      </c>
      <c r="BZ8" s="69">
        <v>2.1222000000000002E-6</v>
      </c>
      <c r="CA8" s="69">
        <v>2.0323999999999998E-6</v>
      </c>
      <c r="CB8" s="69">
        <v>1.9464000000000001E-6</v>
      </c>
      <c r="CC8" s="69">
        <v>1.8641000000000001E-6</v>
      </c>
      <c r="CD8" s="69">
        <v>1.7852000000000001E-6</v>
      </c>
      <c r="CE8" s="69">
        <v>1.7096999999999999E-6</v>
      </c>
      <c r="CF8" s="69">
        <v>1.6374E-6</v>
      </c>
      <c r="CG8" s="69">
        <v>1.5681000000000001E-6</v>
      </c>
      <c r="CH8" s="69">
        <v>1.5018E-6</v>
      </c>
      <c r="CI8" s="69">
        <v>1.4382000000000001E-6</v>
      </c>
      <c r="CJ8" s="69">
        <v>1.3773999999999999E-6</v>
      </c>
      <c r="CK8" s="69">
        <v>1.3191E-6</v>
      </c>
      <c r="CL8" s="69">
        <v>1.2633E-6</v>
      </c>
      <c r="CM8" s="69">
        <v>1.2098E-6</v>
      </c>
      <c r="CN8" s="69">
        <v>1.1587E-6</v>
      </c>
      <c r="CO8" s="69">
        <v>1.1095999999999999E-6</v>
      </c>
      <c r="CP8" s="69">
        <v>1.0627E-6</v>
      </c>
      <c r="CQ8" s="69">
        <v>1.0177E-6</v>
      </c>
      <c r="CR8" s="69">
        <v>9.7469999999999996E-7</v>
      </c>
      <c r="CS8" s="69">
        <v>9.3340000000000003E-7</v>
      </c>
      <c r="CT8" s="69">
        <v>8.9390000000000003E-7</v>
      </c>
      <c r="CU8" s="69">
        <v>8.5610000000000005E-7</v>
      </c>
      <c r="CV8" s="69">
        <v>8.1989999999999998E-7</v>
      </c>
      <c r="CW8" s="69">
        <v>7.8520000000000002E-7</v>
      </c>
      <c r="CX8" s="69">
        <v>7.5199999999999996E-7</v>
      </c>
      <c r="CY8" s="69">
        <v>7.202E-7</v>
      </c>
      <c r="CZ8" s="69">
        <v>6.8970000000000004E-7</v>
      </c>
      <c r="DA8" s="69">
        <v>6.6049999999999997E-7</v>
      </c>
      <c r="DB8" s="69">
        <v>6.3259999999999999E-7</v>
      </c>
      <c r="DC8" s="69">
        <v>6.0579999999999999E-7</v>
      </c>
      <c r="DD8" s="69">
        <v>5.8019999999999997E-7</v>
      </c>
      <c r="DE8" s="69">
        <v>5.5560000000000003E-7</v>
      </c>
      <c r="DF8" s="69">
        <v>5.3209999999999995E-7</v>
      </c>
      <c r="DG8" s="69">
        <v>5.0959999999999996E-7</v>
      </c>
      <c r="DH8" s="69">
        <v>4.8800000000000003E-7</v>
      </c>
      <c r="DI8" s="69">
        <v>4.6740000000000002E-7</v>
      </c>
      <c r="DJ8" s="69">
        <v>4.4760000000000001E-7</v>
      </c>
      <c r="DK8" s="69">
        <v>4.2870000000000002E-7</v>
      </c>
      <c r="DL8" s="69">
        <v>4.1049999999999998E-7</v>
      </c>
      <c r="DM8" s="69">
        <v>3.9309999999999999E-7</v>
      </c>
      <c r="DN8" s="69">
        <v>3.7650000000000002E-7</v>
      </c>
      <c r="DO8" s="69">
        <v>3.6059999999999999E-7</v>
      </c>
      <c r="DP8" s="69">
        <v>3.453E-7</v>
      </c>
      <c r="DQ8" s="69">
        <v>3.3070000000000002E-7</v>
      </c>
      <c r="DR8" s="69">
        <v>3.1670000000000002E-7</v>
      </c>
      <c r="DS8" s="69">
        <v>3.0330000000000002E-7</v>
      </c>
      <c r="DT8" s="69">
        <v>2.9050000000000001E-7</v>
      </c>
      <c r="DU8" s="69">
        <v>2.7819999999999999E-7</v>
      </c>
      <c r="DV8" s="69">
        <v>2.664E-7</v>
      </c>
      <c r="DW8" s="69">
        <v>2.551E-7</v>
      </c>
      <c r="DX8" s="69">
        <v>2.4439999999999999E-7</v>
      </c>
      <c r="DY8" s="69">
        <v>2.34E-7</v>
      </c>
      <c r="DZ8" s="69">
        <v>2.241E-7</v>
      </c>
      <c r="EA8" s="69">
        <v>2.146E-7</v>
      </c>
      <c r="EB8" s="69">
        <v>2.0550000000000001E-7</v>
      </c>
      <c r="EC8" s="69">
        <v>1.9679999999999999E-7</v>
      </c>
      <c r="ED8" s="69">
        <v>1.885E-7</v>
      </c>
      <c r="EE8" s="69">
        <v>1.8050000000000001E-7</v>
      </c>
      <c r="EF8" s="69">
        <v>1.7289999999999999E-7</v>
      </c>
      <c r="EG8" s="69">
        <v>1.656E-7</v>
      </c>
      <c r="EH8" s="69">
        <v>1.586E-7</v>
      </c>
      <c r="EI8" s="69">
        <v>1.519E-7</v>
      </c>
      <c r="EJ8" s="69">
        <v>1.4539999999999999E-7</v>
      </c>
      <c r="EK8" s="69">
        <v>1.3930000000000001E-7</v>
      </c>
      <c r="EL8" s="69">
        <v>1.3339999999999999E-7</v>
      </c>
      <c r="EM8" s="69">
        <v>1.2779999999999999E-7</v>
      </c>
      <c r="EN8" s="69">
        <v>1.223E-7</v>
      </c>
      <c r="EO8" s="69">
        <v>1.172E-7</v>
      </c>
      <c r="EP8" s="69">
        <v>1.122E-7</v>
      </c>
      <c r="EQ8" s="69">
        <v>1.075E-7</v>
      </c>
      <c r="ER8" s="69">
        <v>1.029E-7</v>
      </c>
      <c r="ES8" s="69">
        <v>9.8599999999999996E-8</v>
      </c>
      <c r="ET8" s="69">
        <v>9.4399999999999998E-8</v>
      </c>
      <c r="EU8" s="69">
        <v>9.0400000000000002E-8</v>
      </c>
      <c r="EV8" s="69">
        <v>8.6599999999999995E-8</v>
      </c>
      <c r="EW8" s="69">
        <v>8.2899999999999995E-8</v>
      </c>
      <c r="EX8" s="69">
        <v>7.9399999999999996E-8</v>
      </c>
      <c r="EY8" s="69">
        <v>7.6000000000000006E-8</v>
      </c>
      <c r="EZ8" s="69">
        <v>7.2800000000000003E-8</v>
      </c>
      <c r="FA8" s="69">
        <v>6.9699999999999995E-8</v>
      </c>
      <c r="FB8" s="69">
        <v>6.6800000000000003E-8</v>
      </c>
      <c r="FC8" s="69">
        <v>6.4000000000000004E-8</v>
      </c>
      <c r="FD8" s="69">
        <v>6.13E-8</v>
      </c>
      <c r="FE8" s="69">
        <v>5.8700000000000003E-8</v>
      </c>
      <c r="FF8" s="69">
        <v>5.62E-8</v>
      </c>
      <c r="FG8" s="69">
        <v>5.3799999999999999E-8</v>
      </c>
      <c r="FH8" s="69">
        <v>5.1499999999999998E-8</v>
      </c>
      <c r="FI8" s="69">
        <v>4.9299999999999998E-8</v>
      </c>
      <c r="FJ8" s="69">
        <v>4.73E-8</v>
      </c>
      <c r="FK8" s="69">
        <v>4.5300000000000002E-8</v>
      </c>
      <c r="FL8" s="69">
        <v>4.3299999999999997E-8</v>
      </c>
      <c r="FM8" s="69">
        <v>4.1500000000000001E-8</v>
      </c>
      <c r="FN8" s="69">
        <v>3.9799999999999999E-8</v>
      </c>
      <c r="FO8" s="69">
        <v>3.8099999999999997E-8</v>
      </c>
      <c r="FP8" s="69">
        <v>3.6500000000000003E-8</v>
      </c>
      <c r="FQ8" s="69">
        <v>3.4900000000000001E-8</v>
      </c>
    </row>
    <row r="9" spans="1:173" x14ac:dyDescent="0.25">
      <c r="A9" s="71">
        <v>7</v>
      </c>
      <c r="B9" s="69">
        <v>4.8738600000000001E-5</v>
      </c>
      <c r="C9" s="69">
        <v>4.71681E-5</v>
      </c>
      <c r="D9" s="69">
        <v>4.5615999999999998E-5</v>
      </c>
      <c r="E9" s="69">
        <v>4.4085999999999998E-5</v>
      </c>
      <c r="F9" s="69">
        <v>4.2580999999999998E-5</v>
      </c>
      <c r="G9" s="69">
        <v>4.1103599999999997E-5</v>
      </c>
      <c r="H9" s="69">
        <v>3.9656200000000002E-5</v>
      </c>
      <c r="I9" s="69">
        <v>3.8240500000000001E-5</v>
      </c>
      <c r="J9" s="69">
        <v>3.6857999999999998E-5</v>
      </c>
      <c r="K9" s="69">
        <v>3.5509899999999997E-5</v>
      </c>
      <c r="L9" s="69">
        <v>3.4196999999999998E-5</v>
      </c>
      <c r="M9" s="69">
        <v>3.2920099999999997E-5</v>
      </c>
      <c r="N9" s="69">
        <v>3.16794E-5</v>
      </c>
      <c r="O9" s="69">
        <v>3.0475299999999999E-5</v>
      </c>
      <c r="P9" s="69">
        <v>2.9307700000000001E-5</v>
      </c>
      <c r="Q9" s="69">
        <v>2.8176600000000001E-5</v>
      </c>
      <c r="R9" s="69">
        <v>2.7081699999999999E-5</v>
      </c>
      <c r="S9" s="69">
        <v>2.6022800000000001E-5</v>
      </c>
      <c r="T9" s="69">
        <v>2.4999199999999999E-5</v>
      </c>
      <c r="U9" s="69">
        <v>2.40105E-5</v>
      </c>
      <c r="V9" s="69">
        <v>2.3056100000000001E-5</v>
      </c>
      <c r="W9" s="69">
        <v>2.2135400000000002E-5</v>
      </c>
      <c r="X9" s="69">
        <v>2.1247499999999999E-5</v>
      </c>
      <c r="Y9" s="69">
        <v>2.03917E-5</v>
      </c>
      <c r="Z9" s="69">
        <v>1.9567300000000002E-5</v>
      </c>
      <c r="AA9" s="69">
        <v>1.8773399999999999E-5</v>
      </c>
      <c r="AB9" s="69">
        <v>1.80092E-5</v>
      </c>
      <c r="AC9" s="69">
        <v>1.7273900000000001E-5</v>
      </c>
      <c r="AD9" s="69">
        <v>1.6566600000000002E-5</v>
      </c>
      <c r="AE9" s="69">
        <v>1.5886400000000001E-5</v>
      </c>
      <c r="AF9" s="69">
        <v>1.52325E-5</v>
      </c>
      <c r="AG9" s="69">
        <v>1.46041E-5</v>
      </c>
      <c r="AH9" s="69">
        <v>1.40003E-5</v>
      </c>
      <c r="AI9" s="69">
        <v>1.3420299999999999E-5</v>
      </c>
      <c r="AJ9" s="69">
        <v>1.2863299999999999E-5</v>
      </c>
      <c r="AK9" s="69">
        <v>1.2328500000000001E-5</v>
      </c>
      <c r="AL9" s="69">
        <v>1.18151E-5</v>
      </c>
      <c r="AM9" s="69">
        <v>1.13223E-5</v>
      </c>
      <c r="AN9" s="69">
        <v>1.08494E-5</v>
      </c>
      <c r="AO9" s="69">
        <v>1.0395599999999999E-5</v>
      </c>
      <c r="AP9" s="69">
        <v>9.9603000000000002E-6</v>
      </c>
      <c r="AQ9" s="69">
        <v>9.5426999999999993E-6</v>
      </c>
      <c r="AR9" s="69">
        <v>9.1422000000000003E-6</v>
      </c>
      <c r="AS9" s="69">
        <v>8.7581000000000001E-6</v>
      </c>
      <c r="AT9" s="69">
        <v>8.3898000000000005E-6</v>
      </c>
      <c r="AU9" s="69">
        <v>8.0367000000000005E-6</v>
      </c>
      <c r="AV9" s="69">
        <v>7.6982000000000003E-6</v>
      </c>
      <c r="AW9" s="69">
        <v>7.3737000000000002E-6</v>
      </c>
      <c r="AX9" s="69">
        <v>7.0625999999999999E-6</v>
      </c>
      <c r="AY9" s="69">
        <v>6.7645000000000002E-6</v>
      </c>
      <c r="AZ9" s="69">
        <v>6.4787000000000003E-6</v>
      </c>
      <c r="BA9" s="69">
        <v>6.2048999999999997E-6</v>
      </c>
      <c r="BB9" s="69">
        <v>5.9425000000000003E-6</v>
      </c>
      <c r="BC9" s="69">
        <v>5.6910999999999996E-6</v>
      </c>
      <c r="BD9" s="69">
        <v>5.4501999999999999E-6</v>
      </c>
      <c r="BE9" s="69">
        <v>5.2194000000000004E-6</v>
      </c>
      <c r="BF9" s="69">
        <v>4.9983000000000001E-6</v>
      </c>
      <c r="BG9" s="69">
        <v>4.7863999999999996E-6</v>
      </c>
      <c r="BH9" s="69">
        <v>4.5835000000000002E-6</v>
      </c>
      <c r="BI9" s="69">
        <v>4.3891E-6</v>
      </c>
      <c r="BJ9" s="69">
        <v>4.2029E-6</v>
      </c>
      <c r="BK9" s="69">
        <v>4.0245000000000002E-6</v>
      </c>
      <c r="BL9" s="69">
        <v>3.8537000000000001E-6</v>
      </c>
      <c r="BM9" s="69">
        <v>3.6899999999999998E-6</v>
      </c>
      <c r="BN9" s="69">
        <v>3.5333000000000001E-6</v>
      </c>
      <c r="BO9" s="69">
        <v>3.3832000000000001E-6</v>
      </c>
      <c r="BP9" s="69">
        <v>3.2395000000000001E-6</v>
      </c>
      <c r="BQ9" s="69">
        <v>3.1018000000000001E-6</v>
      </c>
      <c r="BR9" s="69">
        <v>2.9699999999999999E-6</v>
      </c>
      <c r="BS9" s="69">
        <v>2.8437E-6</v>
      </c>
      <c r="BT9" s="69">
        <v>2.7228E-6</v>
      </c>
      <c r="BU9" s="69">
        <v>2.6070000000000002E-6</v>
      </c>
      <c r="BV9" s="69">
        <v>2.4961000000000001E-6</v>
      </c>
      <c r="BW9" s="69">
        <v>2.3899000000000002E-6</v>
      </c>
      <c r="BX9" s="69">
        <v>2.2883000000000002E-6</v>
      </c>
      <c r="BY9" s="69">
        <v>2.1909000000000001E-6</v>
      </c>
      <c r="BZ9" s="69">
        <v>2.0976999999999998E-6</v>
      </c>
      <c r="CA9" s="69">
        <v>2.0084000000000001E-6</v>
      </c>
      <c r="CB9" s="69">
        <v>1.9228999999999998E-6</v>
      </c>
      <c r="CC9" s="69">
        <v>1.8411E-6</v>
      </c>
      <c r="CD9" s="69">
        <v>1.7627000000000001E-6</v>
      </c>
      <c r="CE9" s="69">
        <v>1.6877E-6</v>
      </c>
      <c r="CF9" s="69">
        <v>1.6158000000000001E-6</v>
      </c>
      <c r="CG9" s="69">
        <v>1.547E-6</v>
      </c>
      <c r="CH9" s="69">
        <v>1.4811000000000001E-6</v>
      </c>
      <c r="CI9" s="69">
        <v>1.4181E-6</v>
      </c>
      <c r="CJ9" s="69">
        <v>1.3576999999999999E-6</v>
      </c>
      <c r="CK9" s="69">
        <v>1.2999E-6</v>
      </c>
      <c r="CL9" s="69">
        <v>1.2444999999999999E-6</v>
      </c>
      <c r="CM9" s="69">
        <v>1.1914999999999999E-6</v>
      </c>
      <c r="CN9" s="69">
        <v>1.1406999999999999E-6</v>
      </c>
      <c r="CO9" s="69">
        <v>1.0922000000000001E-6</v>
      </c>
      <c r="CP9" s="69">
        <v>1.0456E-6</v>
      </c>
      <c r="CQ9" s="69">
        <v>1.0011E-6</v>
      </c>
      <c r="CR9" s="69">
        <v>9.5840000000000001E-7</v>
      </c>
      <c r="CS9" s="69">
        <v>9.1760000000000001E-7</v>
      </c>
      <c r="CT9" s="69">
        <v>8.7850000000000004E-7</v>
      </c>
      <c r="CU9" s="69">
        <v>8.4109999999999998E-7</v>
      </c>
      <c r="CV9" s="69">
        <v>8.0530000000000004E-7</v>
      </c>
      <c r="CW9" s="69">
        <v>7.7100000000000001E-7</v>
      </c>
      <c r="CX9" s="69">
        <v>7.3809999999999997E-7</v>
      </c>
      <c r="CY9" s="69">
        <v>7.0670000000000005E-7</v>
      </c>
      <c r="CZ9" s="69">
        <v>6.7660000000000001E-7</v>
      </c>
      <c r="DA9" s="69">
        <v>6.4769999999999996E-7</v>
      </c>
      <c r="DB9" s="69">
        <v>6.201E-7</v>
      </c>
      <c r="DC9" s="69">
        <v>5.9370000000000003E-7</v>
      </c>
      <c r="DD9" s="69">
        <v>5.6840000000000003E-7</v>
      </c>
      <c r="DE9" s="69">
        <v>5.4420000000000002E-7</v>
      </c>
      <c r="DF9" s="69">
        <v>5.2099999999999997E-7</v>
      </c>
      <c r="DG9" s="69">
        <v>4.9879999999999999E-7</v>
      </c>
      <c r="DH9" s="69">
        <v>4.7749999999999998E-7</v>
      </c>
      <c r="DI9" s="69">
        <v>4.5719999999999999E-7</v>
      </c>
      <c r="DJ9" s="69">
        <v>4.3770000000000001E-7</v>
      </c>
      <c r="DK9" s="69">
        <v>4.1909999999999999E-7</v>
      </c>
      <c r="DL9" s="69">
        <v>4.0120000000000002E-7</v>
      </c>
      <c r="DM9" s="69">
        <v>3.841E-7</v>
      </c>
      <c r="DN9" s="69">
        <v>3.6769999999999999E-7</v>
      </c>
      <c r="DO9" s="69">
        <v>3.5209999999999998E-7</v>
      </c>
      <c r="DP9" s="69">
        <v>3.3710000000000002E-7</v>
      </c>
      <c r="DQ9" s="69">
        <v>3.227E-7</v>
      </c>
      <c r="DR9" s="69">
        <v>3.0899999999999997E-7</v>
      </c>
      <c r="DS9" s="69">
        <v>2.9579999999999999E-7</v>
      </c>
      <c r="DT9" s="69">
        <v>2.8319999999999999E-7</v>
      </c>
      <c r="DU9" s="69">
        <v>2.7109999999999999E-7</v>
      </c>
      <c r="DV9" s="69">
        <v>2.5960000000000002E-7</v>
      </c>
      <c r="DW9" s="69">
        <v>2.4849999999999998E-7</v>
      </c>
      <c r="DX9" s="69">
        <v>2.3790000000000001E-7</v>
      </c>
      <c r="DY9" s="69">
        <v>2.2779999999999999E-7</v>
      </c>
      <c r="DZ9" s="69">
        <v>2.181E-7</v>
      </c>
      <c r="EA9" s="69">
        <v>2.0879999999999999E-7</v>
      </c>
      <c r="EB9" s="69">
        <v>1.9990000000000001E-7</v>
      </c>
      <c r="EC9" s="69">
        <v>1.9140000000000001E-7</v>
      </c>
      <c r="ED9" s="69">
        <v>1.832E-7</v>
      </c>
      <c r="EE9" s="69">
        <v>1.754E-7</v>
      </c>
      <c r="EF9" s="69">
        <v>1.6789999999999999E-7</v>
      </c>
      <c r="EG9" s="69">
        <v>1.6080000000000001E-7</v>
      </c>
      <c r="EH9" s="69">
        <v>1.539E-7</v>
      </c>
      <c r="EI9" s="69">
        <v>1.4740000000000001E-7</v>
      </c>
      <c r="EJ9" s="69">
        <v>1.4110000000000001E-7</v>
      </c>
      <c r="EK9" s="69">
        <v>1.3510000000000001E-7</v>
      </c>
      <c r="EL9" s="69">
        <v>1.293E-7</v>
      </c>
      <c r="EM9" s="69">
        <v>1.2380000000000001E-7</v>
      </c>
      <c r="EN9" s="69">
        <v>1.185E-7</v>
      </c>
      <c r="EO9" s="69">
        <v>1.135E-7</v>
      </c>
      <c r="EP9" s="69">
        <v>1.0860000000000001E-7</v>
      </c>
      <c r="EQ9" s="69">
        <v>1.04E-7</v>
      </c>
      <c r="ER9" s="69">
        <v>9.9600000000000005E-8</v>
      </c>
      <c r="ES9" s="69">
        <v>9.53E-8</v>
      </c>
      <c r="ET9" s="69">
        <v>9.1300000000000004E-8</v>
      </c>
      <c r="EU9" s="69">
        <v>8.7400000000000002E-8</v>
      </c>
      <c r="EV9" s="69">
        <v>8.3700000000000002E-8</v>
      </c>
      <c r="EW9" s="69">
        <v>8.0099999999999996E-8</v>
      </c>
      <c r="EX9" s="69">
        <v>7.6700000000000005E-8</v>
      </c>
      <c r="EY9" s="69">
        <v>7.3399999999999996E-8</v>
      </c>
      <c r="EZ9" s="69">
        <v>7.0300000000000001E-8</v>
      </c>
      <c r="FA9" s="69">
        <v>6.73E-8</v>
      </c>
      <c r="FB9" s="69">
        <v>6.4399999999999994E-8</v>
      </c>
      <c r="FC9" s="69">
        <v>6.1700000000000003E-8</v>
      </c>
      <c r="FD9" s="69">
        <v>5.8999999999999999E-8</v>
      </c>
      <c r="FE9" s="69">
        <v>5.6500000000000003E-8</v>
      </c>
      <c r="FF9" s="69">
        <v>5.4100000000000001E-8</v>
      </c>
      <c r="FG9" s="69">
        <v>5.1800000000000001E-8</v>
      </c>
      <c r="FH9" s="69">
        <v>4.9600000000000001E-8</v>
      </c>
      <c r="FI9" s="69">
        <v>4.7500000000000002E-8</v>
      </c>
      <c r="FJ9" s="69">
        <v>4.5499999999999997E-8</v>
      </c>
      <c r="FK9" s="69">
        <v>4.3499999999999999E-8</v>
      </c>
      <c r="FL9" s="69">
        <v>4.1700000000000003E-8</v>
      </c>
      <c r="FM9" s="69">
        <v>3.99E-8</v>
      </c>
      <c r="FN9" s="69">
        <v>3.8199999999999998E-8</v>
      </c>
      <c r="FO9" s="69">
        <v>3.6599999999999997E-8</v>
      </c>
      <c r="FP9" s="69">
        <v>3.5000000000000002E-8</v>
      </c>
      <c r="FQ9" s="69">
        <v>3.3500000000000002E-8</v>
      </c>
    </row>
    <row r="10" spans="1:173" x14ac:dyDescent="0.25">
      <c r="A10" s="71">
        <v>8</v>
      </c>
      <c r="B10" s="69">
        <v>5.1068400000000001E-5</v>
      </c>
      <c r="C10" s="69">
        <v>4.9378100000000001E-5</v>
      </c>
      <c r="D10" s="69">
        <v>4.7722100000000002E-5</v>
      </c>
      <c r="E10" s="69">
        <v>4.61019E-5</v>
      </c>
      <c r="F10" s="69">
        <v>4.4518899999999998E-5</v>
      </c>
      <c r="G10" s="69">
        <v>4.2974199999999999E-5</v>
      </c>
      <c r="H10" s="69">
        <v>4.1468699999999998E-5</v>
      </c>
      <c r="I10" s="69">
        <v>4.0002900000000003E-5</v>
      </c>
      <c r="J10" s="69">
        <v>3.85771E-5</v>
      </c>
      <c r="K10" s="69">
        <v>3.7191599999999998E-5</v>
      </c>
      <c r="L10" s="69">
        <v>3.5846300000000003E-5</v>
      </c>
      <c r="M10" s="69">
        <v>3.45411E-5</v>
      </c>
      <c r="N10" s="69">
        <v>3.3275599999999997E-5</v>
      </c>
      <c r="O10" s="69">
        <v>3.2049599999999999E-5</v>
      </c>
      <c r="P10" s="69">
        <v>3.0862499999999998E-5</v>
      </c>
      <c r="Q10" s="69">
        <v>2.97136E-5</v>
      </c>
      <c r="R10" s="69">
        <v>2.8602499999999999E-5</v>
      </c>
      <c r="S10" s="69">
        <v>2.7528399999999999E-5</v>
      </c>
      <c r="T10" s="69">
        <v>2.64905E-5</v>
      </c>
      <c r="U10" s="69">
        <v>2.5488000000000001E-5</v>
      </c>
      <c r="V10" s="69">
        <v>2.4520199999999999E-5</v>
      </c>
      <c r="W10" s="69">
        <v>2.3586100000000001E-5</v>
      </c>
      <c r="X10" s="69">
        <v>2.26849E-5</v>
      </c>
      <c r="Y10" s="69">
        <v>2.1815699999999998E-5</v>
      </c>
      <c r="Z10" s="69">
        <v>2.0977700000000001E-5</v>
      </c>
      <c r="AA10" s="69">
        <v>2.0169900000000001E-5</v>
      </c>
      <c r="AB10" s="69">
        <v>1.9391499999999999E-5</v>
      </c>
      <c r="AC10" s="69">
        <v>1.8641500000000001E-5</v>
      </c>
      <c r="AD10" s="69">
        <v>1.7919199999999999E-5</v>
      </c>
      <c r="AE10" s="69">
        <v>1.7223499999999999E-5</v>
      </c>
      <c r="AF10" s="69">
        <v>1.65537E-5</v>
      </c>
      <c r="AG10" s="69">
        <v>1.5909E-5</v>
      </c>
      <c r="AH10" s="69">
        <v>1.5288400000000001E-5</v>
      </c>
      <c r="AI10" s="69">
        <v>1.4691199999999999E-5</v>
      </c>
      <c r="AJ10" s="69">
        <v>1.41166E-5</v>
      </c>
      <c r="AK10" s="69">
        <v>1.35638E-5</v>
      </c>
      <c r="AL10" s="69">
        <v>1.30321E-5</v>
      </c>
      <c r="AM10" s="69">
        <v>1.25206E-5</v>
      </c>
      <c r="AN10" s="69">
        <v>1.2028800000000001E-5</v>
      </c>
      <c r="AO10" s="69">
        <v>1.15558E-5</v>
      </c>
      <c r="AP10" s="69">
        <v>1.1101099999999999E-5</v>
      </c>
      <c r="AQ10" s="69">
        <v>1.0663799999999999E-5</v>
      </c>
      <c r="AR10" s="69">
        <v>1.0243499999999999E-5</v>
      </c>
      <c r="AS10" s="69">
        <v>9.8394999999999996E-6</v>
      </c>
      <c r="AT10" s="69">
        <v>9.4512000000000002E-6</v>
      </c>
      <c r="AU10" s="69">
        <v>9.0778999999999999E-6</v>
      </c>
      <c r="AV10" s="69">
        <v>8.7191999999999995E-6</v>
      </c>
      <c r="AW10" s="69">
        <v>8.3744999999999992E-6</v>
      </c>
      <c r="AX10" s="69">
        <v>8.0432999999999997E-6</v>
      </c>
      <c r="AY10" s="69">
        <v>7.7249999999999997E-6</v>
      </c>
      <c r="AZ10" s="69">
        <v>7.4192E-6</v>
      </c>
      <c r="BA10" s="69">
        <v>7.1253000000000002E-6</v>
      </c>
      <c r="BB10" s="69">
        <v>6.8430000000000004E-6</v>
      </c>
      <c r="BC10" s="69">
        <v>6.5718000000000003E-6</v>
      </c>
      <c r="BD10" s="69">
        <v>6.3111999999999998E-6</v>
      </c>
      <c r="BE10" s="69">
        <v>6.0608999999999999E-6</v>
      </c>
      <c r="BF10" s="69">
        <v>5.8204999999999996E-6</v>
      </c>
      <c r="BG10" s="69">
        <v>5.5894999999999996E-6</v>
      </c>
      <c r="BH10" s="69">
        <v>5.3677000000000003E-6</v>
      </c>
      <c r="BI10" s="69">
        <v>5.1545000000000004E-6</v>
      </c>
      <c r="BJ10" s="69">
        <v>4.9498999999999998E-6</v>
      </c>
      <c r="BK10" s="69">
        <v>4.7532999999999999E-6</v>
      </c>
      <c r="BL10" s="69">
        <v>4.5643999999999999E-6</v>
      </c>
      <c r="BM10" s="69">
        <v>4.3830999999999996E-6</v>
      </c>
      <c r="BN10" s="69">
        <v>4.2088999999999996E-6</v>
      </c>
      <c r="BO10" s="69">
        <v>4.0416000000000004E-6</v>
      </c>
      <c r="BP10" s="69">
        <v>3.8809000000000004E-6</v>
      </c>
      <c r="BQ10" s="69">
        <v>3.7266E-6</v>
      </c>
      <c r="BR10" s="69">
        <v>3.5785000000000001E-6</v>
      </c>
      <c r="BS10" s="69">
        <v>3.4361999999999998E-6</v>
      </c>
      <c r="BT10" s="69">
        <v>3.2994999999999999E-6</v>
      </c>
      <c r="BU10" s="69">
        <v>3.1682999999999998E-6</v>
      </c>
      <c r="BV10" s="69">
        <v>3.0421999999999999E-6</v>
      </c>
      <c r="BW10" s="69">
        <v>2.9212000000000001E-6</v>
      </c>
      <c r="BX10" s="69">
        <v>2.8049999999999998E-6</v>
      </c>
      <c r="BY10" s="69">
        <v>2.6933999999999999E-6</v>
      </c>
      <c r="BZ10" s="69">
        <v>2.5861999999999999E-6</v>
      </c>
      <c r="CA10" s="69">
        <v>2.4833E-6</v>
      </c>
      <c r="CB10" s="69">
        <v>2.3844E-6</v>
      </c>
      <c r="CC10" s="69">
        <v>2.2894999999999998E-6</v>
      </c>
      <c r="CD10" s="69">
        <v>2.1984E-6</v>
      </c>
      <c r="CE10" s="69">
        <v>2.1109E-6</v>
      </c>
      <c r="CF10" s="69">
        <v>2.0269E-6</v>
      </c>
      <c r="CG10" s="69">
        <v>1.9462000000000001E-6</v>
      </c>
      <c r="CH10" s="69">
        <v>1.8687E-6</v>
      </c>
      <c r="CI10" s="69">
        <v>1.7942999999999999E-6</v>
      </c>
      <c r="CJ10" s="69">
        <v>1.7229000000000001E-6</v>
      </c>
      <c r="CK10" s="69">
        <v>1.6543E-6</v>
      </c>
      <c r="CL10" s="69">
        <v>1.5883999999999999E-6</v>
      </c>
      <c r="CM10" s="69">
        <v>1.5252E-6</v>
      </c>
      <c r="CN10" s="69">
        <v>1.4643999999999999E-6</v>
      </c>
      <c r="CO10" s="69">
        <v>1.4061E-6</v>
      </c>
      <c r="CP10" s="69">
        <v>1.3501E-6</v>
      </c>
      <c r="CQ10" s="69">
        <v>1.2964E-6</v>
      </c>
      <c r="CR10" s="69">
        <v>1.2446999999999999E-6</v>
      </c>
      <c r="CS10" s="69">
        <v>1.1952E-6</v>
      </c>
      <c r="CT10" s="69">
        <v>1.1476E-6</v>
      </c>
      <c r="CU10" s="69">
        <v>1.1019E-6</v>
      </c>
      <c r="CV10" s="69">
        <v>1.0580000000000001E-6</v>
      </c>
      <c r="CW10" s="69">
        <v>1.0159000000000001E-6</v>
      </c>
      <c r="CX10" s="69">
        <v>9.7540000000000001E-7</v>
      </c>
      <c r="CY10" s="69">
        <v>9.3649999999999995E-7</v>
      </c>
      <c r="CZ10" s="69">
        <v>8.9920000000000001E-7</v>
      </c>
      <c r="DA10" s="69">
        <v>8.6339999999999996E-7</v>
      </c>
      <c r="DB10" s="69">
        <v>8.2900000000000002E-7</v>
      </c>
      <c r="DC10" s="69">
        <v>7.9599999999999998E-7</v>
      </c>
      <c r="DD10" s="69">
        <v>7.6430000000000003E-7</v>
      </c>
      <c r="DE10" s="69">
        <v>7.3389999999999997E-7</v>
      </c>
      <c r="DF10" s="69">
        <v>7.046E-7</v>
      </c>
      <c r="DG10" s="69">
        <v>6.7660000000000001E-7</v>
      </c>
      <c r="DH10" s="69">
        <v>6.4959999999999999E-7</v>
      </c>
      <c r="DI10" s="69">
        <v>6.2379999999999996E-7</v>
      </c>
      <c r="DJ10" s="69">
        <v>5.989E-7</v>
      </c>
      <c r="DK10" s="69">
        <v>5.7510000000000001E-7</v>
      </c>
      <c r="DL10" s="69">
        <v>5.5209999999999997E-7</v>
      </c>
      <c r="DM10" s="69">
        <v>5.3020000000000002E-7</v>
      </c>
      <c r="DN10" s="69">
        <v>5.0900000000000002E-7</v>
      </c>
      <c r="DO10" s="69">
        <v>4.8879999999999998E-7</v>
      </c>
      <c r="DP10" s="69">
        <v>4.693E-7</v>
      </c>
      <c r="DQ10" s="69">
        <v>4.5060000000000002E-7</v>
      </c>
      <c r="DR10" s="69">
        <v>4.327E-7</v>
      </c>
      <c r="DS10" s="69">
        <v>4.1539999999999997E-7</v>
      </c>
      <c r="DT10" s="69">
        <v>3.9890000000000001E-7</v>
      </c>
      <c r="DU10" s="69">
        <v>3.8299999999999998E-7</v>
      </c>
      <c r="DV10" s="69">
        <v>3.6769999999999999E-7</v>
      </c>
      <c r="DW10" s="69">
        <v>3.5310000000000001E-7</v>
      </c>
      <c r="DX10" s="69">
        <v>3.39E-7</v>
      </c>
      <c r="DY10" s="69">
        <v>3.255E-7</v>
      </c>
      <c r="DZ10" s="69">
        <v>3.1250000000000003E-7</v>
      </c>
      <c r="EA10" s="69">
        <v>3.0009999999999999E-7</v>
      </c>
      <c r="EB10" s="69">
        <v>2.8809999999999999E-7</v>
      </c>
      <c r="EC10" s="69">
        <v>2.7669999999999998E-7</v>
      </c>
      <c r="ED10" s="69">
        <v>2.656E-7</v>
      </c>
      <c r="EE10" s="69">
        <v>2.551E-7</v>
      </c>
      <c r="EF10" s="69">
        <v>2.4489999999999998E-7</v>
      </c>
      <c r="EG10" s="69">
        <v>2.3510000000000001E-7</v>
      </c>
      <c r="EH10" s="69">
        <v>2.258E-7</v>
      </c>
      <c r="EI10" s="69">
        <v>2.1680000000000001E-7</v>
      </c>
      <c r="EJ10" s="69">
        <v>2.0809999999999999E-7</v>
      </c>
      <c r="EK10" s="69">
        <v>1.9990000000000001E-7</v>
      </c>
      <c r="EL10" s="69">
        <v>1.9189999999999999E-7</v>
      </c>
      <c r="EM10" s="69">
        <v>1.843E-7</v>
      </c>
      <c r="EN10" s="69">
        <v>1.769E-7</v>
      </c>
      <c r="EO10" s="69">
        <v>1.6990000000000001E-7</v>
      </c>
      <c r="EP10" s="69">
        <v>1.631E-7</v>
      </c>
      <c r="EQ10" s="69">
        <v>1.5660000000000001E-7</v>
      </c>
      <c r="ER10" s="69">
        <v>1.504E-7</v>
      </c>
      <c r="ES10" s="69">
        <v>1.444E-7</v>
      </c>
      <c r="ET10" s="69">
        <v>1.3860000000000001E-7</v>
      </c>
      <c r="EU10" s="69">
        <v>1.3309999999999999E-7</v>
      </c>
      <c r="EV10" s="69">
        <v>1.2779999999999999E-7</v>
      </c>
      <c r="EW10" s="69">
        <v>1.2270000000000001E-7</v>
      </c>
      <c r="EX10" s="69">
        <v>1.178E-7</v>
      </c>
      <c r="EY10" s="69">
        <v>1.131E-7</v>
      </c>
      <c r="EZ10" s="69">
        <v>1.0860000000000001E-7</v>
      </c>
      <c r="FA10" s="69">
        <v>1.043E-7</v>
      </c>
      <c r="FB10" s="69">
        <v>1.001E-7</v>
      </c>
      <c r="FC10" s="69">
        <v>9.6099999999999994E-8</v>
      </c>
      <c r="FD10" s="69">
        <v>9.2299999999999999E-8</v>
      </c>
      <c r="FE10" s="69">
        <v>8.8599999999999999E-8</v>
      </c>
      <c r="FF10" s="69">
        <v>8.5100000000000001E-8</v>
      </c>
      <c r="FG10" s="69">
        <v>8.1699999999999997E-8</v>
      </c>
      <c r="FH10" s="69">
        <v>7.8499999999999995E-8</v>
      </c>
      <c r="FI10" s="69">
        <v>7.5300000000000006E-8</v>
      </c>
      <c r="FJ10" s="69">
        <v>7.2300000000000006E-8</v>
      </c>
      <c r="FK10" s="69">
        <v>6.9499999999999994E-8</v>
      </c>
      <c r="FL10" s="69">
        <v>6.6699999999999995E-8</v>
      </c>
      <c r="FM10" s="69">
        <v>6.4000000000000004E-8</v>
      </c>
      <c r="FN10" s="69">
        <v>6.1500000000000001E-8</v>
      </c>
      <c r="FO10" s="69">
        <v>5.8999999999999999E-8</v>
      </c>
      <c r="FP10" s="69">
        <v>5.6699999999999998E-8</v>
      </c>
      <c r="FQ10" s="69">
        <v>5.4399999999999997E-8</v>
      </c>
    </row>
    <row r="11" spans="1:173" x14ac:dyDescent="0.25">
      <c r="A11" s="71">
        <v>9</v>
      </c>
      <c r="B11" s="69">
        <v>4.7224500000000002E-5</v>
      </c>
      <c r="C11" s="69">
        <v>4.5704500000000003E-5</v>
      </c>
      <c r="D11" s="69">
        <v>4.42138E-5</v>
      </c>
      <c r="E11" s="69">
        <v>4.2753799999999997E-5</v>
      </c>
      <c r="F11" s="69">
        <v>4.1325899999999997E-5</v>
      </c>
      <c r="G11" s="69">
        <v>3.9931100000000001E-5</v>
      </c>
      <c r="H11" s="69">
        <v>3.8570299999999999E-5</v>
      </c>
      <c r="I11" s="69">
        <v>3.7243999999999998E-5</v>
      </c>
      <c r="J11" s="69">
        <v>3.5952599999999999E-5</v>
      </c>
      <c r="K11" s="69">
        <v>3.4696400000000002E-5</v>
      </c>
      <c r="L11" s="69">
        <v>3.3475300000000001E-5</v>
      </c>
      <c r="M11" s="69">
        <v>3.2289400000000003E-5</v>
      </c>
      <c r="N11" s="69">
        <v>3.11384E-5</v>
      </c>
      <c r="O11" s="69">
        <v>3.0022099999999998E-5</v>
      </c>
      <c r="P11" s="69">
        <v>2.8940000000000001E-5</v>
      </c>
      <c r="Q11" s="69">
        <v>2.7891799999999999E-5</v>
      </c>
      <c r="R11" s="69">
        <v>2.68769E-5</v>
      </c>
      <c r="S11" s="69">
        <v>2.5894700000000001E-5</v>
      </c>
      <c r="T11" s="69">
        <v>2.4944599999999998E-5</v>
      </c>
      <c r="U11" s="69">
        <v>2.4026E-5</v>
      </c>
      <c r="V11" s="69">
        <v>2.3138200000000002E-5</v>
      </c>
      <c r="W11" s="69">
        <v>2.2280400000000001E-5</v>
      </c>
      <c r="X11" s="69">
        <v>2.14519E-5</v>
      </c>
      <c r="Y11" s="69">
        <v>2.0652000000000001E-5</v>
      </c>
      <c r="Z11" s="69">
        <v>1.9879899999999999E-5</v>
      </c>
      <c r="AA11" s="69">
        <v>1.9134899999999999E-5</v>
      </c>
      <c r="AB11" s="69">
        <v>1.8416200000000002E-5</v>
      </c>
      <c r="AC11" s="69">
        <v>1.7723E-5</v>
      </c>
      <c r="AD11" s="69">
        <v>1.7054600000000001E-5</v>
      </c>
      <c r="AE11" s="69">
        <v>1.6410200000000001E-5</v>
      </c>
      <c r="AF11" s="69">
        <v>1.5789100000000001E-5</v>
      </c>
      <c r="AG11" s="69">
        <v>1.51906E-5</v>
      </c>
      <c r="AH11" s="69">
        <v>1.4613900000000001E-5</v>
      </c>
      <c r="AI11" s="69">
        <v>1.4058300000000001E-5</v>
      </c>
      <c r="AJ11" s="69">
        <v>1.3523099999999999E-5</v>
      </c>
      <c r="AK11" s="69">
        <v>1.3007700000000001E-5</v>
      </c>
      <c r="AL11" s="69">
        <v>1.25114E-5</v>
      </c>
      <c r="AM11" s="69">
        <v>1.2033499999999999E-5</v>
      </c>
      <c r="AN11" s="69">
        <v>1.15734E-5</v>
      </c>
      <c r="AO11" s="69">
        <v>1.11305E-5</v>
      </c>
      <c r="AP11" s="69">
        <v>1.07041E-5</v>
      </c>
      <c r="AQ11" s="69">
        <v>1.02938E-5</v>
      </c>
      <c r="AR11" s="69">
        <v>9.8988999999999994E-6</v>
      </c>
      <c r="AS11" s="69">
        <v>9.5188999999999996E-6</v>
      </c>
      <c r="AT11" s="69">
        <v>9.1532000000000007E-6</v>
      </c>
      <c r="AU11" s="69">
        <v>8.8014000000000001E-6</v>
      </c>
      <c r="AV11" s="69">
        <v>8.4628999999999999E-6</v>
      </c>
      <c r="AW11" s="69">
        <v>8.1372000000000006E-6</v>
      </c>
      <c r="AX11" s="69">
        <v>7.8238999999999997E-6</v>
      </c>
      <c r="AY11" s="69">
        <v>7.5225999999999998E-6</v>
      </c>
      <c r="AZ11" s="69">
        <v>7.2327000000000002E-6</v>
      </c>
      <c r="BA11" s="69">
        <v>6.9538999999999996E-6</v>
      </c>
      <c r="BB11" s="69">
        <v>6.6857000000000002E-6</v>
      </c>
      <c r="BC11" s="69">
        <v>6.4277999999999997E-6</v>
      </c>
      <c r="BD11" s="69">
        <v>6.1797000000000003E-6</v>
      </c>
      <c r="BE11" s="69">
        <v>5.9412E-6</v>
      </c>
      <c r="BF11" s="69">
        <v>5.7116999999999999E-6</v>
      </c>
      <c r="BG11" s="69">
        <v>5.4910999999999998E-6</v>
      </c>
      <c r="BH11" s="69">
        <v>5.2789999999999998E-6</v>
      </c>
      <c r="BI11" s="69">
        <v>5.0749999999999997E-6</v>
      </c>
      <c r="BJ11" s="69">
        <v>4.8787999999999998E-6</v>
      </c>
      <c r="BK11" s="69">
        <v>4.6901999999999996E-6</v>
      </c>
      <c r="BL11" s="69">
        <v>4.5087999999999999E-6</v>
      </c>
      <c r="BM11" s="69">
        <v>4.3344999999999998E-6</v>
      </c>
      <c r="BN11" s="69">
        <v>4.1667999999999996E-6</v>
      </c>
      <c r="BO11" s="69">
        <v>4.0056000000000002E-6</v>
      </c>
      <c r="BP11" s="69">
        <v>3.8506E-6</v>
      </c>
      <c r="BQ11" s="69">
        <v>3.7015999999999998E-6</v>
      </c>
      <c r="BR11" s="69">
        <v>3.5582999999999999E-6</v>
      </c>
      <c r="BS11" s="69">
        <v>3.4205999999999999E-6</v>
      </c>
      <c r="BT11" s="69">
        <v>3.2882000000000001E-6</v>
      </c>
      <c r="BU11" s="69">
        <v>3.1609000000000001E-6</v>
      </c>
      <c r="BV11" s="69">
        <v>3.0384999999999998E-6</v>
      </c>
      <c r="BW11" s="69">
        <v>2.9208000000000001E-6</v>
      </c>
      <c r="BX11" s="69">
        <v>2.8076999999999998E-6</v>
      </c>
      <c r="BY11" s="69">
        <v>2.6989999999999999E-6</v>
      </c>
      <c r="BZ11" s="69">
        <v>2.5944000000000001E-6</v>
      </c>
      <c r="CA11" s="69">
        <v>2.4939E-6</v>
      </c>
      <c r="CB11" s="69">
        <v>2.3972999999999999E-6</v>
      </c>
      <c r="CC11" s="69">
        <v>2.3043999999999999E-6</v>
      </c>
      <c r="CD11" s="69">
        <v>2.2152E-6</v>
      </c>
      <c r="CE11" s="69">
        <v>2.1293000000000001E-6</v>
      </c>
      <c r="CF11" s="69">
        <v>2.0468E-6</v>
      </c>
      <c r="CG11" s="69">
        <v>1.9674999999999998E-6</v>
      </c>
      <c r="CH11" s="69">
        <v>1.8913E-6</v>
      </c>
      <c r="CI11" s="69">
        <v>1.818E-6</v>
      </c>
      <c r="CJ11" s="69">
        <v>1.7475E-6</v>
      </c>
      <c r="CK11" s="69">
        <v>1.6798E-6</v>
      </c>
      <c r="CL11" s="69">
        <v>1.6147E-6</v>
      </c>
      <c r="CM11" s="69">
        <v>1.5520999999999999E-6</v>
      </c>
      <c r="CN11" s="69">
        <v>1.4920000000000001E-6</v>
      </c>
      <c r="CO11" s="69">
        <v>1.4341E-6</v>
      </c>
      <c r="CP11" s="69">
        <v>1.3786E-6</v>
      </c>
      <c r="CQ11" s="69">
        <v>1.3251E-6</v>
      </c>
      <c r="CR11" s="69">
        <v>1.2738E-6</v>
      </c>
      <c r="CS11" s="69">
        <v>1.2244000000000001E-6</v>
      </c>
      <c r="CT11" s="69">
        <v>1.1768999999999999E-6</v>
      </c>
      <c r="CU11" s="69">
        <v>1.1313000000000001E-6</v>
      </c>
      <c r="CV11" s="69">
        <v>1.0874E-6</v>
      </c>
      <c r="CW11" s="69">
        <v>1.0453E-6</v>
      </c>
      <c r="CX11" s="69">
        <v>1.0048000000000001E-6</v>
      </c>
      <c r="CY11" s="69">
        <v>9.6579999999999993E-7</v>
      </c>
      <c r="CZ11" s="69">
        <v>9.2839999999999998E-7</v>
      </c>
      <c r="DA11" s="69">
        <v>8.9240000000000002E-7</v>
      </c>
      <c r="DB11" s="69">
        <v>8.5779999999999997E-7</v>
      </c>
      <c r="DC11" s="69">
        <v>8.245E-7</v>
      </c>
      <c r="DD11" s="69">
        <v>7.9260000000000004E-7</v>
      </c>
      <c r="DE11" s="69">
        <v>7.6179999999999995E-7</v>
      </c>
      <c r="DF11" s="69">
        <v>7.3229999999999996E-7</v>
      </c>
      <c r="DG11" s="69">
        <v>7.0390000000000005E-7</v>
      </c>
      <c r="DH11" s="69">
        <v>6.7660000000000001E-7</v>
      </c>
      <c r="DI11" s="69">
        <v>6.5039999999999995E-7</v>
      </c>
      <c r="DJ11" s="69">
        <v>6.2519999999999996E-7</v>
      </c>
      <c r="DK11" s="69">
        <v>6.0090000000000004E-7</v>
      </c>
      <c r="DL11" s="69">
        <v>5.7759999999999998E-7</v>
      </c>
      <c r="DM11" s="69">
        <v>5.552E-7</v>
      </c>
      <c r="DN11" s="69">
        <v>5.3369999999999997E-7</v>
      </c>
      <c r="DO11" s="69">
        <v>5.13E-7</v>
      </c>
      <c r="DP11" s="69">
        <v>4.9309999999999999E-7</v>
      </c>
      <c r="DQ11" s="69">
        <v>4.7399999999999998E-7</v>
      </c>
      <c r="DR11" s="69">
        <v>4.5559999999999998E-7</v>
      </c>
      <c r="DS11" s="69">
        <v>4.3799999999999998E-7</v>
      </c>
      <c r="DT11" s="69">
        <v>4.2100000000000002E-7</v>
      </c>
      <c r="DU11" s="69">
        <v>4.0470000000000002E-7</v>
      </c>
      <c r="DV11" s="69">
        <v>3.89E-7</v>
      </c>
      <c r="DW11" s="69">
        <v>3.7389999999999998E-7</v>
      </c>
      <c r="DX11" s="69">
        <v>3.594E-7</v>
      </c>
      <c r="DY11" s="69">
        <v>3.4550000000000002E-7</v>
      </c>
      <c r="DZ11" s="69">
        <v>3.3210000000000002E-7</v>
      </c>
      <c r="EA11" s="69">
        <v>3.192E-7</v>
      </c>
      <c r="EB11" s="69">
        <v>3.0680000000000002E-7</v>
      </c>
      <c r="EC11" s="69">
        <v>2.9489999999999997E-7</v>
      </c>
      <c r="ED11" s="69">
        <v>2.8350000000000002E-7</v>
      </c>
      <c r="EE11" s="69">
        <v>2.7249999999999999E-7</v>
      </c>
      <c r="EF11" s="69">
        <v>2.6189999999999998E-7</v>
      </c>
      <c r="EG11" s="69">
        <v>2.5180000000000002E-7</v>
      </c>
      <c r="EH11" s="69">
        <v>2.4200000000000002E-7</v>
      </c>
      <c r="EI11" s="69">
        <v>2.326E-7</v>
      </c>
      <c r="EJ11" s="69">
        <v>2.2359999999999999E-7</v>
      </c>
      <c r="EK11" s="69">
        <v>2.149E-7</v>
      </c>
      <c r="EL11" s="69">
        <v>2.0660000000000001E-7</v>
      </c>
      <c r="EM11" s="69">
        <v>1.9859999999999999E-7</v>
      </c>
      <c r="EN11" s="69">
        <v>1.909E-7</v>
      </c>
      <c r="EO11" s="69">
        <v>1.835E-7</v>
      </c>
      <c r="EP11" s="69">
        <v>1.7639999999999999E-7</v>
      </c>
      <c r="EQ11" s="69">
        <v>1.695E-7</v>
      </c>
      <c r="ER11" s="69">
        <v>1.6299999999999999E-7</v>
      </c>
      <c r="ES11" s="69">
        <v>1.5660000000000001E-7</v>
      </c>
      <c r="ET11" s="69">
        <v>1.5060000000000001E-7</v>
      </c>
      <c r="EU11" s="69">
        <v>1.4469999999999999E-7</v>
      </c>
      <c r="EV11" s="69">
        <v>1.3909999999999999E-7</v>
      </c>
      <c r="EW11" s="69">
        <v>1.3370000000000001E-7</v>
      </c>
      <c r="EX11" s="69">
        <v>1.2849999999999999E-7</v>
      </c>
      <c r="EY11" s="69">
        <v>1.236E-7</v>
      </c>
      <c r="EZ11" s="69">
        <v>1.1880000000000001E-7</v>
      </c>
      <c r="FA11" s="69">
        <v>1.142E-7</v>
      </c>
      <c r="FB11" s="69">
        <v>1.097E-7</v>
      </c>
      <c r="FC11" s="69">
        <v>1.055E-7</v>
      </c>
      <c r="FD11" s="69">
        <v>1.0139999999999999E-7</v>
      </c>
      <c r="FE11" s="69">
        <v>9.7500000000000006E-8</v>
      </c>
      <c r="FF11" s="69">
        <v>9.3699999999999999E-8</v>
      </c>
      <c r="FG11" s="69">
        <v>8.9999999999999999E-8</v>
      </c>
      <c r="FH11" s="69">
        <v>8.6599999999999995E-8</v>
      </c>
      <c r="FI11" s="69">
        <v>8.3200000000000004E-8</v>
      </c>
      <c r="FJ11" s="69">
        <v>8.0000000000000002E-8</v>
      </c>
      <c r="FK11" s="69">
        <v>7.6899999999999994E-8</v>
      </c>
      <c r="FL11" s="69">
        <v>7.3900000000000007E-8</v>
      </c>
      <c r="FM11" s="69">
        <v>7.1E-8</v>
      </c>
      <c r="FN11" s="69">
        <v>6.8299999999999996E-8</v>
      </c>
      <c r="FO11" s="69">
        <v>6.5600000000000005E-8</v>
      </c>
      <c r="FP11" s="69">
        <v>6.3100000000000003E-8</v>
      </c>
      <c r="FQ11" s="69">
        <v>6.06E-8</v>
      </c>
    </row>
    <row r="12" spans="1:173" x14ac:dyDescent="0.25">
      <c r="A12" s="71">
        <v>10</v>
      </c>
      <c r="B12" s="69">
        <v>5.44614E-5</v>
      </c>
      <c r="C12" s="69">
        <v>5.27495E-5</v>
      </c>
      <c r="D12" s="69">
        <v>5.1072100000000002E-5</v>
      </c>
      <c r="E12" s="69">
        <v>4.9430700000000001E-5</v>
      </c>
      <c r="F12" s="69">
        <v>4.78263E-5</v>
      </c>
      <c r="G12" s="69">
        <v>4.62598E-5</v>
      </c>
      <c r="H12" s="69">
        <v>4.4731699999999997E-5</v>
      </c>
      <c r="I12" s="69">
        <v>4.3242499999999998E-5</v>
      </c>
      <c r="J12" s="69">
        <v>4.1792400000000003E-5</v>
      </c>
      <c r="K12" s="69">
        <v>4.03815E-5</v>
      </c>
      <c r="L12" s="69">
        <v>3.90096E-5</v>
      </c>
      <c r="M12" s="69">
        <v>3.7676599999999998E-5</v>
      </c>
      <c r="N12" s="69">
        <v>3.6382199999999999E-5</v>
      </c>
      <c r="O12" s="69">
        <v>3.5125900000000002E-5</v>
      </c>
      <c r="P12" s="69">
        <v>3.39074E-5</v>
      </c>
      <c r="Q12" s="69">
        <v>3.2725999999999998E-5</v>
      </c>
      <c r="R12" s="69">
        <v>3.1581200000000002E-5</v>
      </c>
      <c r="S12" s="69">
        <v>3.0472199999999999E-5</v>
      </c>
      <c r="T12" s="69">
        <v>2.93984E-5</v>
      </c>
      <c r="U12" s="69">
        <v>2.8359100000000001E-5</v>
      </c>
      <c r="V12" s="69">
        <v>2.7353500000000002E-5</v>
      </c>
      <c r="W12" s="69">
        <v>2.63808E-5</v>
      </c>
      <c r="X12" s="69">
        <v>2.5440100000000001E-5</v>
      </c>
      <c r="Y12" s="69">
        <v>2.4530799999999999E-5</v>
      </c>
      <c r="Z12" s="69">
        <v>2.3652E-5</v>
      </c>
      <c r="AA12" s="69">
        <v>2.2802900000000002E-5</v>
      </c>
      <c r="AB12" s="69">
        <v>2.1982599999999999E-5</v>
      </c>
      <c r="AC12" s="69">
        <v>2.1190299999999999E-5</v>
      </c>
      <c r="AD12" s="69">
        <v>2.0425299999999999E-5</v>
      </c>
      <c r="AE12" s="69">
        <v>1.9686599999999999E-5</v>
      </c>
      <c r="AF12" s="69">
        <v>1.8973700000000001E-5</v>
      </c>
      <c r="AG12" s="69">
        <v>1.82855E-5</v>
      </c>
      <c r="AH12" s="69">
        <v>1.7621500000000001E-5</v>
      </c>
      <c r="AI12" s="69">
        <v>1.6980799999999998E-5</v>
      </c>
      <c r="AJ12" s="69">
        <v>1.6362600000000002E-5</v>
      </c>
      <c r="AK12" s="69">
        <v>1.5766399999999999E-5</v>
      </c>
      <c r="AL12" s="69">
        <v>1.5191199999999999E-5</v>
      </c>
      <c r="AM12" s="69">
        <v>1.46366E-5</v>
      </c>
      <c r="AN12" s="69">
        <v>1.4101699999999999E-5</v>
      </c>
      <c r="AO12" s="69">
        <v>1.3586E-5</v>
      </c>
      <c r="AP12" s="69">
        <v>1.3088700000000001E-5</v>
      </c>
      <c r="AQ12" s="69">
        <v>1.26093E-5</v>
      </c>
      <c r="AR12" s="69">
        <v>1.2147099999999999E-5</v>
      </c>
      <c r="AS12" s="69">
        <v>1.17017E-5</v>
      </c>
      <c r="AT12" s="69">
        <v>1.12723E-5</v>
      </c>
      <c r="AU12" s="69">
        <v>1.0858399999999999E-5</v>
      </c>
      <c r="AV12" s="69">
        <v>1.04595E-5</v>
      </c>
      <c r="AW12" s="69">
        <v>1.0075099999999999E-5</v>
      </c>
      <c r="AX12" s="69">
        <v>9.7047000000000004E-6</v>
      </c>
      <c r="AY12" s="69">
        <v>9.3477000000000003E-6</v>
      </c>
      <c r="AZ12" s="69">
        <v>9.0038000000000001E-6</v>
      </c>
      <c r="BA12" s="69">
        <v>8.6723E-6</v>
      </c>
      <c r="BB12" s="69">
        <v>8.3529999999999995E-6</v>
      </c>
      <c r="BC12" s="69">
        <v>8.0453000000000007E-6</v>
      </c>
      <c r="BD12" s="69">
        <v>7.7488999999999996E-6</v>
      </c>
      <c r="BE12" s="69">
        <v>7.4633000000000002E-6</v>
      </c>
      <c r="BF12" s="69">
        <v>7.1882000000000001E-6</v>
      </c>
      <c r="BG12" s="69">
        <v>6.9230999999999998E-6</v>
      </c>
      <c r="BH12" s="69">
        <v>6.6677999999999999E-6</v>
      </c>
      <c r="BI12" s="69">
        <v>6.4218000000000001E-6</v>
      </c>
      <c r="BJ12" s="69">
        <v>6.1848999999999999E-6</v>
      </c>
      <c r="BK12" s="69">
        <v>5.9565999999999999E-6</v>
      </c>
      <c r="BL12" s="69">
        <v>5.7367999999999999E-6</v>
      </c>
      <c r="BM12" s="69">
        <v>5.5249999999999996E-6</v>
      </c>
      <c r="BN12" s="69">
        <v>5.3210000000000004E-6</v>
      </c>
      <c r="BO12" s="69">
        <v>5.1244999999999998E-6</v>
      </c>
      <c r="BP12" s="69">
        <v>4.9353E-6</v>
      </c>
      <c r="BQ12" s="69">
        <v>4.7530000000000001E-6</v>
      </c>
      <c r="BR12" s="69">
        <v>4.5774000000000004E-6</v>
      </c>
      <c r="BS12" s="69">
        <v>4.4082999999999998E-6</v>
      </c>
      <c r="BT12" s="69">
        <v>4.2454E-6</v>
      </c>
      <c r="BU12" s="69">
        <v>4.0886000000000001E-6</v>
      </c>
      <c r="BV12" s="69">
        <v>3.9375E-6</v>
      </c>
      <c r="BW12" s="69">
        <v>3.7919999999999999E-6</v>
      </c>
      <c r="BX12" s="69">
        <v>3.6517999999999999E-6</v>
      </c>
      <c r="BY12" s="69">
        <v>3.5167999999999999E-6</v>
      </c>
      <c r="BZ12" s="69">
        <v>3.3867999999999999E-6</v>
      </c>
      <c r="CA12" s="69">
        <v>3.2615999999999998E-6</v>
      </c>
      <c r="CB12" s="69">
        <v>3.1410999999999999E-6</v>
      </c>
      <c r="CC12" s="69">
        <v>3.0249E-6</v>
      </c>
      <c r="CD12" s="69">
        <v>2.9131000000000001E-6</v>
      </c>
      <c r="CE12" s="69">
        <v>2.8053999999999999E-6</v>
      </c>
      <c r="CF12" s="69">
        <v>2.7016000000000001E-6</v>
      </c>
      <c r="CG12" s="69">
        <v>2.6017E-6</v>
      </c>
      <c r="CH12" s="69">
        <v>2.5055E-6</v>
      </c>
      <c r="CI12" s="69">
        <v>2.4128999999999998E-6</v>
      </c>
      <c r="CJ12" s="69">
        <v>2.3236000000000001E-6</v>
      </c>
      <c r="CK12" s="69">
        <v>2.2377000000000002E-6</v>
      </c>
      <c r="CL12" s="69">
        <v>2.1550000000000001E-6</v>
      </c>
      <c r="CM12" s="69">
        <v>2.0752999999999998E-6</v>
      </c>
      <c r="CN12" s="69">
        <v>1.9985E-6</v>
      </c>
      <c r="CO12" s="69">
        <v>1.9246000000000002E-6</v>
      </c>
      <c r="CP12" s="69">
        <v>1.8533999999999999E-6</v>
      </c>
      <c r="CQ12" s="69">
        <v>1.7848E-6</v>
      </c>
      <c r="CR12" s="69">
        <v>1.7188E-6</v>
      </c>
      <c r="CS12" s="69">
        <v>1.6552000000000001E-6</v>
      </c>
      <c r="CT12" s="69">
        <v>1.5939999999999999E-6</v>
      </c>
      <c r="CU12" s="69">
        <v>1.5349999999999999E-6</v>
      </c>
      <c r="CV12" s="69">
        <v>1.4783000000000001E-6</v>
      </c>
      <c r="CW12" s="69">
        <v>1.4236E-6</v>
      </c>
      <c r="CX12" s="69">
        <v>1.3709000000000001E-6</v>
      </c>
      <c r="CY12" s="69">
        <v>1.3202000000000001E-6</v>
      </c>
      <c r="CZ12" s="69">
        <v>1.2714E-6</v>
      </c>
      <c r="DA12" s="69">
        <v>1.2243000000000001E-6</v>
      </c>
      <c r="DB12" s="69">
        <v>1.1790000000000001E-6</v>
      </c>
      <c r="DC12" s="69">
        <v>1.1354E-6</v>
      </c>
      <c r="DD12" s="69">
        <v>1.0934E-6</v>
      </c>
      <c r="DE12" s="69">
        <v>1.0529999999999999E-6</v>
      </c>
      <c r="DF12" s="69">
        <v>1.0139999999999999E-6</v>
      </c>
      <c r="DG12" s="69">
        <v>9.765000000000001E-7</v>
      </c>
      <c r="DH12" s="69">
        <v>9.4040000000000003E-7</v>
      </c>
      <c r="DI12" s="69">
        <v>9.0559999999999996E-7</v>
      </c>
      <c r="DJ12" s="69">
        <v>8.7209999999999998E-7</v>
      </c>
      <c r="DK12" s="69">
        <v>8.3979999999999999E-7</v>
      </c>
      <c r="DL12" s="69">
        <v>8.0869999999999998E-7</v>
      </c>
      <c r="DM12" s="69">
        <v>7.7879999999999996E-7</v>
      </c>
      <c r="DN12" s="69">
        <v>7.5000000000000002E-7</v>
      </c>
      <c r="DO12" s="69">
        <v>7.2229999999999995E-7</v>
      </c>
      <c r="DP12" s="69">
        <v>6.9549999999999995E-7</v>
      </c>
      <c r="DQ12" s="69">
        <v>6.6980000000000003E-7</v>
      </c>
      <c r="DR12" s="69">
        <v>6.4499999999999997E-7</v>
      </c>
      <c r="DS12" s="69">
        <v>6.2119999999999998E-7</v>
      </c>
      <c r="DT12" s="69">
        <v>5.9820000000000005E-7</v>
      </c>
      <c r="DU12" s="69">
        <v>5.7599999999999997E-7</v>
      </c>
      <c r="DV12" s="69">
        <v>5.5469999999999996E-7</v>
      </c>
      <c r="DW12" s="69">
        <v>5.3420000000000001E-7</v>
      </c>
      <c r="DX12" s="69">
        <v>5.144E-7</v>
      </c>
      <c r="DY12" s="69">
        <v>4.9539999999999995E-7</v>
      </c>
      <c r="DZ12" s="69">
        <v>4.7709999999999995E-7</v>
      </c>
      <c r="EA12" s="69">
        <v>4.594E-7</v>
      </c>
      <c r="EB12" s="69">
        <v>4.4239999999999999E-7</v>
      </c>
      <c r="EC12" s="69">
        <v>4.2609999999999998E-7</v>
      </c>
      <c r="ED12" s="69">
        <v>4.1030000000000001E-7</v>
      </c>
      <c r="EE12" s="69">
        <v>3.9509999999999998E-7</v>
      </c>
      <c r="EF12" s="69">
        <v>3.805E-7</v>
      </c>
      <c r="EG12" s="69">
        <v>3.664E-7</v>
      </c>
      <c r="EH12" s="69">
        <v>3.5289999999999999E-7</v>
      </c>
      <c r="EI12" s="69">
        <v>3.3980000000000001E-7</v>
      </c>
      <c r="EJ12" s="69">
        <v>3.2720000000000002E-7</v>
      </c>
      <c r="EK12" s="69">
        <v>3.1510000000000001E-7</v>
      </c>
      <c r="EL12" s="69">
        <v>3.0349999999999998E-7</v>
      </c>
      <c r="EM12" s="69">
        <v>2.9219999999999998E-7</v>
      </c>
      <c r="EN12" s="69">
        <v>2.8140000000000002E-7</v>
      </c>
      <c r="EO12" s="69">
        <v>2.7099999999999998E-7</v>
      </c>
      <c r="EP12" s="69">
        <v>2.6100000000000002E-7</v>
      </c>
      <c r="EQ12" s="69">
        <v>2.5129999999999998E-7</v>
      </c>
      <c r="ER12" s="69">
        <v>2.4200000000000002E-7</v>
      </c>
      <c r="ES12" s="69">
        <v>2.3309999999999999E-7</v>
      </c>
      <c r="ET12" s="69">
        <v>2.2450000000000001E-7</v>
      </c>
      <c r="EU12" s="69">
        <v>2.1610000000000001E-7</v>
      </c>
      <c r="EV12" s="69">
        <v>2.082E-7</v>
      </c>
      <c r="EW12" s="69">
        <v>2.0039999999999999E-7</v>
      </c>
      <c r="EX12" s="69">
        <v>1.9299999999999999E-7</v>
      </c>
      <c r="EY12" s="69">
        <v>1.8589999999999999E-7</v>
      </c>
      <c r="EZ12" s="69">
        <v>1.79E-7</v>
      </c>
      <c r="FA12" s="69">
        <v>1.7240000000000001E-7</v>
      </c>
      <c r="FB12" s="69">
        <v>1.66E-7</v>
      </c>
      <c r="FC12" s="69">
        <v>1.599E-7</v>
      </c>
      <c r="FD12" s="69">
        <v>1.54E-7</v>
      </c>
      <c r="FE12" s="69">
        <v>1.483E-7</v>
      </c>
      <c r="FF12" s="69">
        <v>1.4280000000000001E-7</v>
      </c>
      <c r="FG12" s="69">
        <v>1.3750000000000001E-7</v>
      </c>
      <c r="FH12" s="69">
        <v>1.3239999999999999E-7</v>
      </c>
      <c r="FI12" s="69">
        <v>1.275E-7</v>
      </c>
      <c r="FJ12" s="69">
        <v>1.2279999999999999E-7</v>
      </c>
      <c r="FK12" s="69">
        <v>1.182E-7</v>
      </c>
      <c r="FL12" s="69">
        <v>1.1389999999999999E-7</v>
      </c>
      <c r="FM12" s="69">
        <v>1.097E-7</v>
      </c>
      <c r="FN12" s="69">
        <v>1.0560000000000001E-7</v>
      </c>
      <c r="FO12" s="69">
        <v>1.017E-7</v>
      </c>
      <c r="FP12" s="69">
        <v>9.7899999999999997E-8</v>
      </c>
      <c r="FQ12" s="69">
        <v>9.4300000000000004E-8</v>
      </c>
    </row>
    <row r="13" spans="1:173" x14ac:dyDescent="0.25">
      <c r="A13" s="71">
        <v>11</v>
      </c>
      <c r="B13" s="69">
        <v>6.0202399999999998E-5</v>
      </c>
      <c r="C13" s="69">
        <v>5.8109599999999997E-5</v>
      </c>
      <c r="D13" s="69">
        <v>5.6093600000000001E-5</v>
      </c>
      <c r="E13" s="69">
        <v>5.4150999999999997E-5</v>
      </c>
      <c r="F13" s="69">
        <v>5.2278999999999999E-5</v>
      </c>
      <c r="G13" s="69">
        <v>5.04747E-5</v>
      </c>
      <c r="H13" s="69">
        <v>4.8735200000000001E-5</v>
      </c>
      <c r="I13" s="69">
        <v>4.7058100000000003E-5</v>
      </c>
      <c r="J13" s="69">
        <v>4.54408E-5</v>
      </c>
      <c r="K13" s="69">
        <v>4.3881100000000002E-5</v>
      </c>
      <c r="L13" s="69">
        <v>4.2376599999999997E-5</v>
      </c>
      <c r="M13" s="69">
        <v>4.0925299999999999E-5</v>
      </c>
      <c r="N13" s="69">
        <v>3.9525099999999999E-5</v>
      </c>
      <c r="O13" s="69">
        <v>3.8174199999999998E-5</v>
      </c>
      <c r="P13" s="69">
        <v>3.6870499999999999E-5</v>
      </c>
      <c r="Q13" s="69">
        <v>3.5612399999999998E-5</v>
      </c>
      <c r="R13" s="69">
        <v>3.4398199999999999E-5</v>
      </c>
      <c r="S13" s="69">
        <v>3.3226299999999997E-5</v>
      </c>
      <c r="T13" s="69">
        <v>3.2094999999999997E-5</v>
      </c>
      <c r="U13" s="69">
        <v>3.1003000000000001E-5</v>
      </c>
      <c r="V13" s="69">
        <v>2.99488E-5</v>
      </c>
      <c r="W13" s="69">
        <v>2.8930900000000001E-5</v>
      </c>
      <c r="X13" s="69">
        <v>2.7948200000000001E-5</v>
      </c>
      <c r="Y13" s="69">
        <v>2.6999300000000001E-5</v>
      </c>
      <c r="Z13" s="69">
        <v>2.6083100000000001E-5</v>
      </c>
      <c r="AA13" s="69">
        <v>2.5198299999999999E-5</v>
      </c>
      <c r="AB13" s="69">
        <v>2.4343899999999999E-5</v>
      </c>
      <c r="AC13" s="69">
        <v>2.3518699999999999E-5</v>
      </c>
      <c r="AD13" s="69">
        <v>2.27218E-5</v>
      </c>
      <c r="AE13" s="69">
        <v>2.19522E-5</v>
      </c>
      <c r="AF13" s="69">
        <v>2.1208799999999999E-5</v>
      </c>
      <c r="AG13" s="69">
        <v>2.0490900000000001E-5</v>
      </c>
      <c r="AH13" s="69">
        <v>1.9797400000000001E-5</v>
      </c>
      <c r="AI13" s="69">
        <v>1.9127499999999999E-5</v>
      </c>
      <c r="AJ13" s="69">
        <v>1.84805E-5</v>
      </c>
      <c r="AK13" s="69">
        <v>1.7855499999999999E-5</v>
      </c>
      <c r="AL13" s="69">
        <v>1.72517E-5</v>
      </c>
      <c r="AM13" s="69">
        <v>1.6668500000000001E-5</v>
      </c>
      <c r="AN13" s="69">
        <v>1.6105099999999999E-5</v>
      </c>
      <c r="AO13" s="69">
        <v>1.5560799999999998E-5</v>
      </c>
      <c r="AP13" s="69">
        <v>1.5035099999999999E-5</v>
      </c>
      <c r="AQ13" s="69">
        <v>1.45271E-5</v>
      </c>
      <c r="AR13" s="69">
        <v>1.40364E-5</v>
      </c>
      <c r="AS13" s="69">
        <v>1.3562300000000001E-5</v>
      </c>
      <c r="AT13" s="69">
        <v>1.3104299999999999E-5</v>
      </c>
      <c r="AU13" s="69">
        <v>1.2661699999999999E-5</v>
      </c>
      <c r="AV13" s="69">
        <v>1.2234200000000001E-5</v>
      </c>
      <c r="AW13" s="69">
        <v>1.18212E-5</v>
      </c>
      <c r="AX13" s="69">
        <v>1.14221E-5</v>
      </c>
      <c r="AY13" s="69">
        <v>1.10366E-5</v>
      </c>
      <c r="AZ13" s="69">
        <v>1.0664E-5</v>
      </c>
      <c r="BA13" s="69">
        <v>1.03041E-5</v>
      </c>
      <c r="BB13" s="69">
        <v>9.9564000000000001E-6</v>
      </c>
      <c r="BC13" s="69">
        <v>9.6204000000000003E-6</v>
      </c>
      <c r="BD13" s="69">
        <v>9.2958E-6</v>
      </c>
      <c r="BE13" s="69">
        <v>8.9820999999999999E-6</v>
      </c>
      <c r="BF13" s="69">
        <v>8.6790999999999996E-6</v>
      </c>
      <c r="BG13" s="69">
        <v>8.3861999999999994E-6</v>
      </c>
      <c r="BH13" s="69">
        <v>8.1033000000000008E-6</v>
      </c>
      <c r="BI13" s="69">
        <v>7.8299999999999996E-6</v>
      </c>
      <c r="BJ13" s="69">
        <v>7.5657999999999996E-6</v>
      </c>
      <c r="BK13" s="69">
        <v>7.3105999999999999E-6</v>
      </c>
      <c r="BL13" s="69">
        <v>7.0639999999999996E-6</v>
      </c>
      <c r="BM13" s="69">
        <v>6.8256999999999997E-6</v>
      </c>
      <c r="BN13" s="69">
        <v>6.5954999999999998E-6</v>
      </c>
      <c r="BO13" s="69">
        <v>6.3729999999999998E-6</v>
      </c>
      <c r="BP13" s="69">
        <v>6.1581000000000004E-6</v>
      </c>
      <c r="BQ13" s="69">
        <v>5.9503999999999998E-6</v>
      </c>
      <c r="BR13" s="69">
        <v>5.7497000000000002E-6</v>
      </c>
      <c r="BS13" s="69">
        <v>5.5558000000000002E-6</v>
      </c>
      <c r="BT13" s="69">
        <v>5.3684000000000001E-6</v>
      </c>
      <c r="BU13" s="69">
        <v>5.1873999999999997E-6</v>
      </c>
      <c r="BV13" s="69">
        <v>5.0124999999999999E-6</v>
      </c>
      <c r="BW13" s="69">
        <v>4.8434000000000001E-6</v>
      </c>
      <c r="BX13" s="69">
        <v>4.6801000000000003E-6</v>
      </c>
      <c r="BY13" s="69">
        <v>4.5222999999999999E-6</v>
      </c>
      <c r="BZ13" s="69">
        <v>4.3698000000000001E-6</v>
      </c>
      <c r="CA13" s="69">
        <v>4.2223999999999996E-6</v>
      </c>
      <c r="CB13" s="69">
        <v>4.0801000000000001E-6</v>
      </c>
      <c r="CC13" s="69">
        <v>3.9424999999999999E-6</v>
      </c>
      <c r="CD13" s="69">
        <v>3.8095000000000001E-6</v>
      </c>
      <c r="CE13" s="69">
        <v>3.6810999999999998E-6</v>
      </c>
      <c r="CF13" s="69">
        <v>3.557E-6</v>
      </c>
      <c r="CG13" s="69">
        <v>3.4369999999999999E-6</v>
      </c>
      <c r="CH13" s="69">
        <v>3.3210999999999998E-6</v>
      </c>
      <c r="CI13" s="69">
        <v>3.2090999999999999E-6</v>
      </c>
      <c r="CJ13" s="69">
        <v>3.1008999999999998E-6</v>
      </c>
      <c r="CK13" s="69">
        <v>2.9963999999999998E-6</v>
      </c>
      <c r="CL13" s="69">
        <v>2.8953999999999998E-6</v>
      </c>
      <c r="CM13" s="69">
        <v>2.7976999999999999E-6</v>
      </c>
      <c r="CN13" s="69">
        <v>2.7033999999999998E-6</v>
      </c>
      <c r="CO13" s="69">
        <v>2.6122000000000002E-6</v>
      </c>
      <c r="CP13" s="69">
        <v>2.5241999999999999E-6</v>
      </c>
      <c r="CQ13" s="69">
        <v>2.4391000000000001E-6</v>
      </c>
      <c r="CR13" s="69">
        <v>2.3568E-6</v>
      </c>
      <c r="CS13" s="69">
        <v>2.2774E-6</v>
      </c>
      <c r="CT13" s="69">
        <v>2.2006000000000002E-6</v>
      </c>
      <c r="CU13" s="69">
        <v>2.1264000000000001E-6</v>
      </c>
      <c r="CV13" s="69">
        <v>2.0547E-6</v>
      </c>
      <c r="CW13" s="69">
        <v>1.9854000000000001E-6</v>
      </c>
      <c r="CX13" s="69">
        <v>1.9184999999999999E-6</v>
      </c>
      <c r="CY13" s="69">
        <v>1.8537999999999999E-6</v>
      </c>
      <c r="CZ13" s="69">
        <v>1.7912999999999999E-6</v>
      </c>
      <c r="DA13" s="69">
        <v>1.7309E-6</v>
      </c>
      <c r="DB13" s="69">
        <v>1.6725000000000001E-6</v>
      </c>
      <c r="DC13" s="69">
        <v>1.6161000000000001E-6</v>
      </c>
      <c r="DD13" s="69">
        <v>1.5617E-6</v>
      </c>
      <c r="DE13" s="69">
        <v>1.5090000000000001E-6</v>
      </c>
      <c r="DF13" s="69">
        <v>1.4581000000000001E-6</v>
      </c>
      <c r="DG13" s="69">
        <v>1.409E-6</v>
      </c>
      <c r="DH13" s="69">
        <v>1.3615E-6</v>
      </c>
      <c r="DI13" s="69">
        <v>1.3155999999999999E-6</v>
      </c>
      <c r="DJ13" s="69">
        <v>1.2712E-6</v>
      </c>
      <c r="DK13" s="69">
        <v>1.2283E-6</v>
      </c>
      <c r="DL13" s="69">
        <v>1.1869E-6</v>
      </c>
      <c r="DM13" s="69">
        <v>1.1469E-6</v>
      </c>
      <c r="DN13" s="69">
        <v>1.1082E-6</v>
      </c>
      <c r="DO13" s="69">
        <v>1.0709E-6</v>
      </c>
      <c r="DP13" s="69">
        <v>1.0348E-6</v>
      </c>
      <c r="DQ13" s="69">
        <v>9.9989999999999995E-7</v>
      </c>
      <c r="DR13" s="69">
        <v>9.6619999999999996E-7</v>
      </c>
      <c r="DS13" s="69">
        <v>9.3360000000000005E-7</v>
      </c>
      <c r="DT13" s="69">
        <v>9.0210000000000001E-7</v>
      </c>
      <c r="DU13" s="69">
        <v>8.7169999999999995E-7</v>
      </c>
      <c r="DV13" s="69">
        <v>8.4229999999999997E-7</v>
      </c>
      <c r="DW13" s="69">
        <v>8.1389999999999995E-7</v>
      </c>
      <c r="DX13" s="69">
        <v>7.8650000000000001E-7</v>
      </c>
      <c r="DY13" s="69">
        <v>7.6000000000000003E-7</v>
      </c>
      <c r="DZ13" s="69">
        <v>7.343E-7</v>
      </c>
      <c r="EA13" s="69">
        <v>7.0959999999999995E-7</v>
      </c>
      <c r="EB13" s="69">
        <v>6.8569999999999995E-7</v>
      </c>
      <c r="EC13" s="69">
        <v>6.6250000000000001E-7</v>
      </c>
      <c r="ED13" s="69">
        <v>6.4020000000000003E-7</v>
      </c>
      <c r="EE13" s="69">
        <v>6.1859999999999999E-7</v>
      </c>
      <c r="EF13" s="69">
        <v>5.9780000000000002E-7</v>
      </c>
      <c r="EG13" s="69">
        <v>5.7759999999999998E-7</v>
      </c>
      <c r="EH13" s="69">
        <v>5.581E-7</v>
      </c>
      <c r="EI13" s="69">
        <v>5.3929999999999997E-7</v>
      </c>
      <c r="EJ13" s="69">
        <v>5.2109999999999997E-7</v>
      </c>
      <c r="EK13" s="69">
        <v>5.0360000000000004E-7</v>
      </c>
      <c r="EL13" s="69">
        <v>4.8660000000000003E-7</v>
      </c>
      <c r="EM13" s="69">
        <v>4.7020000000000001E-7</v>
      </c>
      <c r="EN13" s="69">
        <v>4.5429999999999999E-7</v>
      </c>
      <c r="EO13" s="69">
        <v>4.39E-7</v>
      </c>
      <c r="EP13" s="69">
        <v>4.242E-7</v>
      </c>
      <c r="EQ13" s="69">
        <v>4.0989999999999998E-7</v>
      </c>
      <c r="ER13" s="69">
        <v>3.9610000000000001E-7</v>
      </c>
      <c r="ES13" s="69">
        <v>3.8270000000000001E-7</v>
      </c>
      <c r="ET13" s="69">
        <v>3.6979999999999999E-7</v>
      </c>
      <c r="EU13" s="69">
        <v>3.5740000000000001E-7</v>
      </c>
      <c r="EV13" s="69">
        <v>3.453E-7</v>
      </c>
      <c r="EW13" s="69">
        <v>3.3369999999999998E-7</v>
      </c>
      <c r="EX13" s="69">
        <v>3.2239999999999998E-7</v>
      </c>
      <c r="EY13" s="69">
        <v>3.1160000000000001E-7</v>
      </c>
      <c r="EZ13" s="69">
        <v>3.0110000000000002E-7</v>
      </c>
      <c r="FA13" s="69">
        <v>2.9089999999999999E-7</v>
      </c>
      <c r="FB13" s="69">
        <v>2.811E-7</v>
      </c>
      <c r="FC13" s="69">
        <v>2.7160000000000002E-7</v>
      </c>
      <c r="FD13" s="69">
        <v>2.6249999999999997E-7</v>
      </c>
      <c r="FE13" s="69">
        <v>2.5359999999999999E-7</v>
      </c>
      <c r="FF13" s="69">
        <v>2.4509999999999999E-7</v>
      </c>
      <c r="FG13" s="69">
        <v>2.368E-7</v>
      </c>
      <c r="FH13" s="69">
        <v>2.2880000000000001E-7</v>
      </c>
      <c r="FI13" s="69">
        <v>2.2109999999999999E-7</v>
      </c>
      <c r="FJ13" s="69">
        <v>2.1360000000000001E-7</v>
      </c>
      <c r="FK13" s="69">
        <v>2.064E-7</v>
      </c>
      <c r="FL13" s="69">
        <v>1.9950000000000001E-7</v>
      </c>
      <c r="FM13" s="69">
        <v>1.9280000000000001E-7</v>
      </c>
      <c r="FN13" s="69">
        <v>1.8629999999999999E-7</v>
      </c>
      <c r="FO13" s="69">
        <v>1.8E-7</v>
      </c>
      <c r="FP13" s="69">
        <v>1.7389999999999999E-7</v>
      </c>
      <c r="FQ13" s="69">
        <v>1.68E-7</v>
      </c>
    </row>
    <row r="14" spans="1:173" x14ac:dyDescent="0.25">
      <c r="A14" s="71">
        <v>12</v>
      </c>
      <c r="B14" s="69">
        <v>6.9508100000000006E-5</v>
      </c>
      <c r="C14" s="69">
        <v>6.8183700000000002E-5</v>
      </c>
      <c r="D14" s="69">
        <v>6.68291E-5</v>
      </c>
      <c r="E14" s="69">
        <v>6.5450600000000007E-5</v>
      </c>
      <c r="F14" s="69">
        <v>6.4054100000000001E-5</v>
      </c>
      <c r="G14" s="69">
        <v>6.2644900000000001E-5</v>
      </c>
      <c r="H14" s="69">
        <v>6.1227899999999997E-5</v>
      </c>
      <c r="I14" s="69">
        <v>5.98076E-5</v>
      </c>
      <c r="J14" s="69">
        <v>5.8387899999999997E-5</v>
      </c>
      <c r="K14" s="69">
        <v>5.6972399999999997E-5</v>
      </c>
      <c r="L14" s="69">
        <v>5.5564399999999999E-5</v>
      </c>
      <c r="M14" s="69">
        <v>5.4166699999999998E-5</v>
      </c>
      <c r="N14" s="69">
        <v>5.2781899999999997E-5</v>
      </c>
      <c r="O14" s="69">
        <v>5.1412200000000002E-5</v>
      </c>
      <c r="P14" s="69">
        <v>5.0059499999999997E-5</v>
      </c>
      <c r="Q14" s="69">
        <v>4.87257E-5</v>
      </c>
      <c r="R14" s="69">
        <v>4.74121E-5</v>
      </c>
      <c r="S14" s="69">
        <v>4.6119999999999999E-5</v>
      </c>
      <c r="T14" s="69">
        <v>4.48505E-5</v>
      </c>
      <c r="U14" s="69">
        <v>4.3604399999999999E-5</v>
      </c>
      <c r="V14" s="69">
        <v>4.2382600000000003E-5</v>
      </c>
      <c r="W14" s="69">
        <v>4.1185500000000001E-5</v>
      </c>
      <c r="X14" s="69">
        <v>4.0013599999999999E-5</v>
      </c>
      <c r="Y14" s="69">
        <v>3.88673E-5</v>
      </c>
      <c r="Z14" s="69">
        <v>3.7746700000000002E-5</v>
      </c>
      <c r="AA14" s="69">
        <v>3.6652000000000001E-5</v>
      </c>
      <c r="AB14" s="69">
        <v>3.5583200000000002E-5</v>
      </c>
      <c r="AC14" s="69">
        <v>3.4540299999999999E-5</v>
      </c>
      <c r="AD14" s="69">
        <v>3.3523199999999998E-5</v>
      </c>
      <c r="AE14" s="69">
        <v>3.2531599999999999E-5</v>
      </c>
      <c r="AF14" s="69">
        <v>3.1565400000000001E-5</v>
      </c>
      <c r="AG14" s="69">
        <v>3.0624399999999998E-5</v>
      </c>
      <c r="AH14" s="69">
        <v>2.9708100000000001E-5</v>
      </c>
      <c r="AI14" s="69">
        <v>2.8816300000000001E-5</v>
      </c>
      <c r="AJ14" s="69">
        <v>2.7948599999999999E-5</v>
      </c>
      <c r="AK14" s="69">
        <v>2.7104600000000001E-5</v>
      </c>
      <c r="AL14" s="69">
        <v>2.6283900000000001E-5</v>
      </c>
      <c r="AM14" s="69">
        <v>2.54861E-5</v>
      </c>
      <c r="AN14" s="69">
        <v>2.47107E-5</v>
      </c>
      <c r="AO14" s="69">
        <v>2.3957200000000002E-5</v>
      </c>
      <c r="AP14" s="69">
        <v>2.3225199999999999E-5</v>
      </c>
      <c r="AQ14" s="69">
        <v>2.2514299999999999E-5</v>
      </c>
      <c r="AR14" s="69">
        <v>2.18239E-5</v>
      </c>
      <c r="AS14" s="69">
        <v>2.11536E-5</v>
      </c>
      <c r="AT14" s="69">
        <v>2.05029E-5</v>
      </c>
      <c r="AU14" s="69">
        <v>1.98712E-5</v>
      </c>
      <c r="AV14" s="69">
        <v>1.9258300000000002E-5</v>
      </c>
      <c r="AW14" s="69">
        <v>1.8663499999999998E-5</v>
      </c>
      <c r="AX14" s="69">
        <v>1.80863E-5</v>
      </c>
      <c r="AY14" s="69">
        <v>1.7526499999999999E-5</v>
      </c>
      <c r="AZ14" s="69">
        <v>1.6983400000000001E-5</v>
      </c>
      <c r="BA14" s="69">
        <v>1.6456600000000001E-5</v>
      </c>
      <c r="BB14" s="69">
        <v>1.5945799999999999E-5</v>
      </c>
      <c r="BC14" s="69">
        <v>1.54503E-5</v>
      </c>
      <c r="BD14" s="69">
        <v>1.49699E-5</v>
      </c>
      <c r="BE14" s="69">
        <v>1.4504100000000001E-5</v>
      </c>
      <c r="BF14" s="69">
        <v>1.40525E-5</v>
      </c>
      <c r="BG14" s="69">
        <v>1.36147E-5</v>
      </c>
      <c r="BH14" s="69">
        <v>1.31903E-5</v>
      </c>
      <c r="BI14" s="69">
        <v>1.27788E-5</v>
      </c>
      <c r="BJ14" s="69">
        <v>1.238E-5</v>
      </c>
      <c r="BK14" s="69">
        <v>1.19935E-5</v>
      </c>
      <c r="BL14" s="69">
        <v>1.16189E-5</v>
      </c>
      <c r="BM14" s="69">
        <v>1.12558E-5</v>
      </c>
      <c r="BN14" s="69">
        <v>1.0903900000000001E-5</v>
      </c>
      <c r="BO14" s="69">
        <v>1.05629E-5</v>
      </c>
      <c r="BP14" s="69">
        <v>1.0232500000000001E-5</v>
      </c>
      <c r="BQ14" s="69">
        <v>9.9121999999999997E-6</v>
      </c>
      <c r="BR14" s="69">
        <v>9.6020000000000006E-6</v>
      </c>
      <c r="BS14" s="69">
        <v>9.3013000000000002E-6</v>
      </c>
      <c r="BT14" s="69">
        <v>9.0100000000000001E-6</v>
      </c>
      <c r="BU14" s="69">
        <v>8.7276999999999995E-6</v>
      </c>
      <c r="BV14" s="69">
        <v>8.4541999999999995E-6</v>
      </c>
      <c r="BW14" s="69">
        <v>8.1892999999999997E-6</v>
      </c>
      <c r="BX14" s="69">
        <v>7.9325999999999992E-6</v>
      </c>
      <c r="BY14" s="69">
        <v>7.6838999999999994E-6</v>
      </c>
      <c r="BZ14" s="69">
        <v>7.4429000000000003E-6</v>
      </c>
      <c r="CA14" s="69">
        <v>7.2095000000000002E-6</v>
      </c>
      <c r="CB14" s="69">
        <v>6.9832999999999997E-6</v>
      </c>
      <c r="CC14" s="69">
        <v>6.7642000000000004E-6</v>
      </c>
      <c r="CD14" s="69">
        <v>6.5520000000000001E-6</v>
      </c>
      <c r="CE14" s="69">
        <v>6.3463999999999999E-6</v>
      </c>
      <c r="CF14" s="69">
        <v>6.1472000000000002E-6</v>
      </c>
      <c r="CG14" s="69">
        <v>5.9541999999999997E-6</v>
      </c>
      <c r="CH14" s="69">
        <v>5.7672999999999998E-6</v>
      </c>
      <c r="CI14" s="69">
        <v>5.5863000000000002E-6</v>
      </c>
      <c r="CJ14" s="69">
        <v>5.4109000000000002E-6</v>
      </c>
      <c r="CK14" s="69">
        <v>5.2410000000000003E-6</v>
      </c>
      <c r="CL14" s="69">
        <v>5.0764000000000002E-6</v>
      </c>
      <c r="CM14" s="69">
        <v>4.9169999999999997E-6</v>
      </c>
      <c r="CN14" s="69">
        <v>4.7625999999999999E-6</v>
      </c>
      <c r="CO14" s="69">
        <v>4.6129999999999997E-6</v>
      </c>
      <c r="CP14" s="69">
        <v>4.4680999999999996E-6</v>
      </c>
      <c r="CQ14" s="69">
        <v>4.3277000000000001E-6</v>
      </c>
      <c r="CR14" s="69">
        <v>4.1918000000000003E-6</v>
      </c>
      <c r="CS14" s="69">
        <v>4.0601000000000003E-6</v>
      </c>
      <c r="CT14" s="69">
        <v>3.9326000000000003E-6</v>
      </c>
      <c r="CU14" s="69">
        <v>3.8089999999999999E-6</v>
      </c>
      <c r="CV14" s="69">
        <v>3.6893E-6</v>
      </c>
      <c r="CW14" s="69">
        <v>3.5734E-6</v>
      </c>
      <c r="CX14" s="69">
        <v>3.4611000000000002E-6</v>
      </c>
      <c r="CY14" s="69">
        <v>3.3523999999999999E-6</v>
      </c>
      <c r="CZ14" s="69">
        <v>3.247E-6</v>
      </c>
      <c r="DA14" s="69">
        <v>3.145E-6</v>
      </c>
      <c r="DB14" s="69">
        <v>3.0462000000000002E-6</v>
      </c>
      <c r="DC14" s="69">
        <v>2.9504000000000002E-6</v>
      </c>
      <c r="DD14" s="69">
        <v>2.8577000000000002E-6</v>
      </c>
      <c r="DE14" s="69">
        <v>2.7678999999999998E-6</v>
      </c>
      <c r="DF14" s="69">
        <v>2.6809E-6</v>
      </c>
      <c r="DG14" s="69">
        <v>2.5967000000000001E-6</v>
      </c>
      <c r="DH14" s="69">
        <v>2.5150999999999999E-6</v>
      </c>
      <c r="DI14" s="69">
        <v>2.4360000000000001E-6</v>
      </c>
      <c r="DJ14" s="69">
        <v>2.3593999999999998E-6</v>
      </c>
      <c r="DK14" s="69">
        <v>2.2853E-6</v>
      </c>
      <c r="DL14" s="69">
        <v>2.2135000000000001E-6</v>
      </c>
      <c r="DM14" s="69">
        <v>2.1438999999999999E-6</v>
      </c>
      <c r="DN14" s="69">
        <v>2.0764999999999999E-6</v>
      </c>
      <c r="DO14" s="69">
        <v>2.0111999999999999E-6</v>
      </c>
      <c r="DP14" s="69">
        <v>1.9479999999999998E-6</v>
      </c>
      <c r="DQ14" s="69">
        <v>1.8868000000000001E-6</v>
      </c>
      <c r="DR14" s="69">
        <v>1.8275000000000001E-6</v>
      </c>
      <c r="DS14" s="69">
        <v>1.77E-6</v>
      </c>
      <c r="DT14" s="69">
        <v>1.7144000000000001E-6</v>
      </c>
      <c r="DU14" s="69">
        <v>1.6605E-6</v>
      </c>
      <c r="DV14" s="69">
        <v>1.6082999999999999E-6</v>
      </c>
      <c r="DW14" s="69">
        <v>1.5577999999999999E-6</v>
      </c>
      <c r="DX14" s="69">
        <v>1.5088000000000001E-6</v>
      </c>
      <c r="DY14" s="69">
        <v>1.4614000000000001E-6</v>
      </c>
      <c r="DZ14" s="69">
        <v>1.4154E-6</v>
      </c>
      <c r="EA14" s="69">
        <v>1.3709000000000001E-6</v>
      </c>
      <c r="EB14" s="69">
        <v>1.3278E-6</v>
      </c>
      <c r="EC14" s="69">
        <v>1.2861000000000001E-6</v>
      </c>
      <c r="ED14" s="69">
        <v>1.2457E-6</v>
      </c>
      <c r="EE14" s="69">
        <v>1.2065E-6</v>
      </c>
      <c r="EF14" s="69">
        <v>1.1685999999999999E-6</v>
      </c>
      <c r="EG14" s="69">
        <v>1.1318999999999999E-6</v>
      </c>
      <c r="EH14" s="69">
        <v>1.0963E-6</v>
      </c>
      <c r="EI14" s="69">
        <v>1.0617999999999999E-6</v>
      </c>
      <c r="EJ14" s="69">
        <v>1.0284E-6</v>
      </c>
      <c r="EK14" s="69">
        <v>9.9610000000000009E-7</v>
      </c>
      <c r="EL14" s="69">
        <v>9.6480000000000006E-7</v>
      </c>
      <c r="EM14" s="69">
        <v>9.3450000000000001E-7</v>
      </c>
      <c r="EN14" s="69">
        <v>9.0510000000000002E-7</v>
      </c>
      <c r="EO14" s="69">
        <v>8.766E-7</v>
      </c>
      <c r="EP14" s="69">
        <v>8.4910000000000005E-7</v>
      </c>
      <c r="EQ14" s="69">
        <v>8.2239999999999995E-7</v>
      </c>
      <c r="ER14" s="69">
        <v>7.9650000000000002E-7</v>
      </c>
      <c r="ES14" s="69">
        <v>7.7150000000000005E-7</v>
      </c>
      <c r="ET14" s="69">
        <v>7.4720000000000002E-7</v>
      </c>
      <c r="EU14" s="69">
        <v>7.2379999999999996E-7</v>
      </c>
      <c r="EV14" s="69">
        <v>7.0100000000000004E-7</v>
      </c>
      <c r="EW14" s="69">
        <v>6.7899999999999998E-7</v>
      </c>
      <c r="EX14" s="69">
        <v>6.5759999999999996E-7</v>
      </c>
      <c r="EY14" s="69">
        <v>6.3689999999999999E-7</v>
      </c>
      <c r="EZ14" s="69">
        <v>6.1689999999999997E-7</v>
      </c>
      <c r="FA14" s="69">
        <v>5.975E-7</v>
      </c>
      <c r="FB14" s="69">
        <v>5.7869999999999996E-7</v>
      </c>
      <c r="FC14" s="69">
        <v>5.6059999999999998E-7</v>
      </c>
      <c r="FD14" s="69">
        <v>5.4290000000000002E-7</v>
      </c>
      <c r="FE14" s="69">
        <v>5.2590000000000002E-7</v>
      </c>
      <c r="FF14" s="69">
        <v>5.0930000000000004E-7</v>
      </c>
      <c r="FG14" s="69">
        <v>4.933E-7</v>
      </c>
      <c r="FH14" s="69">
        <v>4.778E-7</v>
      </c>
      <c r="FI14" s="69">
        <v>4.6279999999999999E-7</v>
      </c>
      <c r="FJ14" s="69">
        <v>4.482E-7</v>
      </c>
      <c r="FK14" s="69">
        <v>4.3420000000000001E-7</v>
      </c>
      <c r="FL14" s="69">
        <v>4.2049999999999999E-7</v>
      </c>
      <c r="FM14" s="69">
        <v>4.073E-7</v>
      </c>
      <c r="FN14" s="69">
        <v>3.9449999999999999E-7</v>
      </c>
      <c r="FO14" s="69">
        <v>3.8210000000000001E-7</v>
      </c>
      <c r="FP14" s="69">
        <v>3.7010000000000001E-7</v>
      </c>
      <c r="FQ14" s="69">
        <v>3.5839999999999998E-7</v>
      </c>
    </row>
    <row r="15" spans="1:173" x14ac:dyDescent="0.25">
      <c r="A15" s="71">
        <v>13</v>
      </c>
      <c r="B15" s="69">
        <v>8.5587099999999999E-5</v>
      </c>
      <c r="C15" s="69">
        <v>8.3457399999999998E-5</v>
      </c>
      <c r="D15" s="69">
        <v>8.1350199999999999E-5</v>
      </c>
      <c r="E15" s="69">
        <v>7.9268400000000002E-5</v>
      </c>
      <c r="F15" s="69">
        <v>7.7214700000000005E-5</v>
      </c>
      <c r="G15" s="69">
        <v>7.5191099999999999E-5</v>
      </c>
      <c r="H15" s="69">
        <v>7.3199699999999996E-5</v>
      </c>
      <c r="I15" s="69">
        <v>7.1242000000000007E-5</v>
      </c>
      <c r="J15" s="69">
        <v>6.9319299999999999E-5</v>
      </c>
      <c r="K15" s="69">
        <v>6.7432800000000003E-5</v>
      </c>
      <c r="L15" s="69">
        <v>6.5583300000000006E-5</v>
      </c>
      <c r="M15" s="69">
        <v>6.3771500000000004E-5</v>
      </c>
      <c r="N15" s="69">
        <v>6.1997999999999998E-5</v>
      </c>
      <c r="O15" s="69">
        <v>6.0263100000000002E-5</v>
      </c>
      <c r="P15" s="69">
        <v>5.8566900000000003E-5</v>
      </c>
      <c r="Q15" s="69">
        <v>5.6909700000000002E-5</v>
      </c>
      <c r="R15" s="69">
        <v>5.5291299999999997E-5</v>
      </c>
      <c r="S15" s="69">
        <v>5.3711600000000003E-5</v>
      </c>
      <c r="T15" s="69">
        <v>5.2170399999999998E-5</v>
      </c>
      <c r="U15" s="69">
        <v>5.0667400000000002E-5</v>
      </c>
      <c r="V15" s="69">
        <v>4.9202300000000002E-5</v>
      </c>
      <c r="W15" s="69">
        <v>4.7774600000000002E-5</v>
      </c>
      <c r="X15" s="69">
        <v>4.6383800000000001E-5</v>
      </c>
      <c r="Y15" s="69">
        <v>4.50294E-5</v>
      </c>
      <c r="Z15" s="69">
        <v>4.3710800000000002E-5</v>
      </c>
      <c r="AA15" s="69">
        <v>4.24275E-5</v>
      </c>
      <c r="AB15" s="69">
        <v>4.11789E-5</v>
      </c>
      <c r="AC15" s="69">
        <v>3.9964199999999999E-5</v>
      </c>
      <c r="AD15" s="69">
        <v>3.8782799999999997E-5</v>
      </c>
      <c r="AE15" s="69">
        <v>3.7634099999999999E-5</v>
      </c>
      <c r="AF15" s="69">
        <v>3.6517399999999997E-5</v>
      </c>
      <c r="AG15" s="69">
        <v>3.5431900000000002E-5</v>
      </c>
      <c r="AH15" s="69">
        <v>3.4376899999999999E-5</v>
      </c>
      <c r="AI15" s="69">
        <v>3.3351900000000002E-5</v>
      </c>
      <c r="AJ15" s="69">
        <v>3.2356E-5</v>
      </c>
      <c r="AK15" s="69">
        <v>3.13886E-5</v>
      </c>
      <c r="AL15" s="69">
        <v>3.0448999999999999E-5</v>
      </c>
      <c r="AM15" s="69">
        <v>2.9536400000000001E-5</v>
      </c>
      <c r="AN15" s="69">
        <v>2.8650299999999999E-5</v>
      </c>
      <c r="AO15" s="69">
        <v>2.77899E-5</v>
      </c>
      <c r="AP15" s="69">
        <v>2.6954600000000001E-5</v>
      </c>
      <c r="AQ15" s="69">
        <v>2.6143600000000002E-5</v>
      </c>
      <c r="AR15" s="69">
        <v>2.53564E-5</v>
      </c>
      <c r="AS15" s="69">
        <v>2.4592399999999999E-5</v>
      </c>
      <c r="AT15" s="69">
        <v>2.3850799999999999E-5</v>
      </c>
      <c r="AU15" s="69">
        <v>2.31312E-5</v>
      </c>
      <c r="AV15" s="69">
        <v>2.24328E-5</v>
      </c>
      <c r="AW15" s="69">
        <v>2.1755100000000001E-5</v>
      </c>
      <c r="AX15" s="69">
        <v>2.1097499999999999E-5</v>
      </c>
      <c r="AY15" s="69">
        <v>2.04595E-5</v>
      </c>
      <c r="AZ15" s="69">
        <v>1.9840500000000001E-5</v>
      </c>
      <c r="BA15" s="69">
        <v>1.9239999999999999E-5</v>
      </c>
      <c r="BB15" s="69">
        <v>1.8657399999999999E-5</v>
      </c>
      <c r="BC15" s="69">
        <v>1.8092199999999999E-5</v>
      </c>
      <c r="BD15" s="69">
        <v>1.7544E-5</v>
      </c>
      <c r="BE15" s="69">
        <v>1.7012099999999999E-5</v>
      </c>
      <c r="BF15" s="69">
        <v>1.64963E-5</v>
      </c>
      <c r="BG15" s="69">
        <v>1.59959E-5</v>
      </c>
      <c r="BH15" s="69">
        <v>1.55106E-5</v>
      </c>
      <c r="BI15" s="69">
        <v>1.50399E-5</v>
      </c>
      <c r="BJ15" s="69">
        <v>1.45834E-5</v>
      </c>
      <c r="BK15" s="69">
        <v>1.41406E-5</v>
      </c>
      <c r="BL15" s="69">
        <v>1.37112E-5</v>
      </c>
      <c r="BM15" s="69">
        <v>1.32947E-5</v>
      </c>
      <c r="BN15" s="69">
        <v>1.28908E-5</v>
      </c>
      <c r="BO15" s="69">
        <v>1.24991E-5</v>
      </c>
      <c r="BP15" s="69">
        <v>1.2119299999999999E-5</v>
      </c>
      <c r="BQ15" s="69">
        <v>1.17509E-5</v>
      </c>
      <c r="BR15" s="69">
        <v>1.1393700000000001E-5</v>
      </c>
      <c r="BS15" s="69">
        <v>1.10473E-5</v>
      </c>
      <c r="BT15" s="69">
        <v>1.07114E-5</v>
      </c>
      <c r="BU15" s="69">
        <v>1.03857E-5</v>
      </c>
      <c r="BV15" s="69">
        <v>1.00699E-5</v>
      </c>
      <c r="BW15" s="69">
        <v>9.7636000000000008E-6</v>
      </c>
      <c r="BX15" s="69">
        <v>9.4666000000000001E-6</v>
      </c>
      <c r="BY15" s="69">
        <v>9.1786000000000005E-6</v>
      </c>
      <c r="BZ15" s="69">
        <v>8.8993999999999999E-6</v>
      </c>
      <c r="CA15" s="69">
        <v>8.6286000000000007E-6</v>
      </c>
      <c r="CB15" s="69">
        <v>8.3660999999999994E-6</v>
      </c>
      <c r="CC15" s="69">
        <v>8.1115000000000002E-6</v>
      </c>
      <c r="CD15" s="69">
        <v>7.8645999999999992E-6</v>
      </c>
      <c r="CE15" s="69">
        <v>7.6252999999999997E-6</v>
      </c>
      <c r="CF15" s="69">
        <v>7.3931999999999998E-6</v>
      </c>
      <c r="CG15" s="69">
        <v>7.1682000000000002E-6</v>
      </c>
      <c r="CH15" s="69">
        <v>6.9500000000000004E-6</v>
      </c>
      <c r="CI15" s="69">
        <v>6.7384999999999999E-6</v>
      </c>
      <c r="CJ15" s="69">
        <v>6.5332999999999998E-6</v>
      </c>
      <c r="CK15" s="69">
        <v>6.3343999999999999E-6</v>
      </c>
      <c r="CL15" s="69">
        <v>6.1415999999999998E-6</v>
      </c>
      <c r="CM15" s="69">
        <v>5.9545999999999997E-6</v>
      </c>
      <c r="CN15" s="69">
        <v>5.7733000000000003E-6</v>
      </c>
      <c r="CO15" s="69">
        <v>5.5976000000000004E-6</v>
      </c>
      <c r="CP15" s="69">
        <v>5.4271000000000001E-6</v>
      </c>
      <c r="CQ15" s="69">
        <v>5.2619000000000004E-6</v>
      </c>
      <c r="CR15" s="69">
        <v>5.1016999999999998E-6</v>
      </c>
      <c r="CS15" s="69">
        <v>4.9463999999999998E-6</v>
      </c>
      <c r="CT15" s="69">
        <v>4.7956999999999997E-6</v>
      </c>
      <c r="CU15" s="69">
        <v>4.6496999999999997E-6</v>
      </c>
      <c r="CV15" s="69">
        <v>4.5081000000000001E-6</v>
      </c>
      <c r="CW15" s="69">
        <v>4.3708999999999999E-6</v>
      </c>
      <c r="CX15" s="69">
        <v>4.2378000000000003E-6</v>
      </c>
      <c r="CY15" s="69">
        <v>4.1087000000000002E-6</v>
      </c>
      <c r="CZ15" s="69">
        <v>3.9836000000000003E-6</v>
      </c>
      <c r="DA15" s="69">
        <v>3.8623000000000003E-6</v>
      </c>
      <c r="DB15" s="69">
        <v>3.7446999999999999E-6</v>
      </c>
      <c r="DC15" s="69">
        <v>3.6306E-6</v>
      </c>
      <c r="DD15" s="69">
        <v>3.5201E-6</v>
      </c>
      <c r="DE15" s="69">
        <v>3.4129E-6</v>
      </c>
      <c r="DF15" s="69">
        <v>3.3089000000000002E-6</v>
      </c>
      <c r="DG15" s="69">
        <v>3.2080999999999998E-6</v>
      </c>
      <c r="DH15" s="69">
        <v>3.1103999999999999E-6</v>
      </c>
      <c r="DI15" s="69">
        <v>3.0157000000000002E-6</v>
      </c>
      <c r="DJ15" s="69">
        <v>2.9239000000000001E-6</v>
      </c>
      <c r="DK15" s="69">
        <v>2.8347999999999999E-6</v>
      </c>
      <c r="DL15" s="69">
        <v>2.7485E-6</v>
      </c>
      <c r="DM15" s="69">
        <v>2.6647999999999999E-6</v>
      </c>
      <c r="DN15" s="69">
        <v>2.5836000000000001E-6</v>
      </c>
      <c r="DO15" s="69">
        <v>2.5048999999999999E-6</v>
      </c>
      <c r="DP15" s="69">
        <v>2.4285999999999999E-6</v>
      </c>
      <c r="DQ15" s="69">
        <v>2.3547000000000001E-6</v>
      </c>
      <c r="DR15" s="69">
        <v>2.283E-6</v>
      </c>
      <c r="DS15" s="69">
        <v>2.2133999999999998E-6</v>
      </c>
      <c r="DT15" s="69">
        <v>2.1459999999999999E-6</v>
      </c>
      <c r="DU15" s="69">
        <v>2.0806999999999998E-6</v>
      </c>
      <c r="DV15" s="69">
        <v>2.0173000000000002E-6</v>
      </c>
      <c r="DW15" s="69">
        <v>1.9558E-6</v>
      </c>
      <c r="DX15" s="69">
        <v>1.8963E-6</v>
      </c>
      <c r="DY15" s="69">
        <v>1.8385000000000001E-6</v>
      </c>
      <c r="DZ15" s="69">
        <v>1.7825000000000001E-6</v>
      </c>
      <c r="EA15" s="69">
        <v>1.7282E-6</v>
      </c>
      <c r="EB15" s="69">
        <v>1.6756000000000001E-6</v>
      </c>
      <c r="EC15" s="69">
        <v>1.6246000000000001E-6</v>
      </c>
      <c r="ED15" s="69">
        <v>1.5751E-6</v>
      </c>
      <c r="EE15" s="69">
        <v>1.5271E-6</v>
      </c>
      <c r="EF15" s="69">
        <v>1.4806000000000001E-6</v>
      </c>
      <c r="EG15" s="69">
        <v>1.4355000000000001E-6</v>
      </c>
      <c r="EH15" s="69">
        <v>1.3918E-6</v>
      </c>
      <c r="EI15" s="69">
        <v>1.3493999999999999E-6</v>
      </c>
      <c r="EJ15" s="69">
        <v>1.3083E-6</v>
      </c>
      <c r="EK15" s="69">
        <v>1.2684E-6</v>
      </c>
      <c r="EL15" s="69">
        <v>1.2298000000000001E-6</v>
      </c>
      <c r="EM15" s="69">
        <v>1.1923E-6</v>
      </c>
      <c r="EN15" s="69">
        <v>1.156E-6</v>
      </c>
      <c r="EO15" s="69">
        <v>1.1207999999999999E-6</v>
      </c>
      <c r="EP15" s="69">
        <v>1.0866999999999999E-6</v>
      </c>
      <c r="EQ15" s="69">
        <v>1.0536E-6</v>
      </c>
      <c r="ER15" s="69">
        <v>1.0215000000000001E-6</v>
      </c>
      <c r="ES15" s="69">
        <v>9.9040000000000008E-7</v>
      </c>
      <c r="ET15" s="69">
        <v>9.6019999999999993E-7</v>
      </c>
      <c r="EU15" s="69">
        <v>9.3099999999999996E-7</v>
      </c>
      <c r="EV15" s="69">
        <v>9.0260000000000005E-7</v>
      </c>
      <c r="EW15" s="69">
        <v>8.7509999999999999E-7</v>
      </c>
      <c r="EX15" s="69">
        <v>8.4850000000000001E-7</v>
      </c>
      <c r="EY15" s="69">
        <v>8.2259999999999997E-7</v>
      </c>
      <c r="EZ15" s="69">
        <v>7.976E-7</v>
      </c>
      <c r="FA15" s="69">
        <v>7.7329999999999997E-7</v>
      </c>
      <c r="FB15" s="69">
        <v>7.497E-7</v>
      </c>
      <c r="FC15" s="69">
        <v>7.2689999999999998E-7</v>
      </c>
      <c r="FD15" s="69">
        <v>7.047E-7</v>
      </c>
      <c r="FE15" s="69">
        <v>6.8329999999999998E-7</v>
      </c>
      <c r="FF15" s="69">
        <v>6.6250000000000001E-7</v>
      </c>
      <c r="FG15" s="69">
        <v>6.4229999999999997E-7</v>
      </c>
      <c r="FH15" s="69">
        <v>6.2269999999999998E-7</v>
      </c>
      <c r="FI15" s="69">
        <v>6.0380000000000005E-7</v>
      </c>
      <c r="FJ15" s="69">
        <v>5.8540000000000004E-7</v>
      </c>
      <c r="FK15" s="69">
        <v>5.6749999999999997E-7</v>
      </c>
      <c r="FL15" s="69">
        <v>5.5030000000000005E-7</v>
      </c>
      <c r="FM15" s="69">
        <v>5.3349999999999995E-7</v>
      </c>
      <c r="FN15" s="69">
        <v>5.172E-7</v>
      </c>
      <c r="FO15" s="69">
        <v>5.0149999999999998E-7</v>
      </c>
      <c r="FP15" s="69">
        <v>4.862E-7</v>
      </c>
      <c r="FQ15" s="69">
        <v>4.714E-7</v>
      </c>
    </row>
    <row r="16" spans="1:173" x14ac:dyDescent="0.25">
      <c r="A16" s="71">
        <v>14</v>
      </c>
      <c r="B16" s="69">
        <v>1.003353E-4</v>
      </c>
      <c r="C16" s="69">
        <v>9.79243E-5</v>
      </c>
      <c r="D16" s="69">
        <v>9.5539399999999995E-5</v>
      </c>
      <c r="E16" s="69">
        <v>9.31837E-5</v>
      </c>
      <c r="F16" s="69">
        <v>9.08597E-5</v>
      </c>
      <c r="G16" s="69">
        <v>8.85696E-5</v>
      </c>
      <c r="H16" s="69">
        <v>8.6315299999999997E-5</v>
      </c>
      <c r="I16" s="69">
        <v>8.4098500000000001E-5</v>
      </c>
      <c r="J16" s="69">
        <v>8.1920400000000003E-5</v>
      </c>
      <c r="K16" s="69">
        <v>7.9782200000000003E-5</v>
      </c>
      <c r="L16" s="69">
        <v>7.7684799999999999E-5</v>
      </c>
      <c r="M16" s="69">
        <v>7.5628899999999997E-5</v>
      </c>
      <c r="N16" s="69">
        <v>7.3614899999999999E-5</v>
      </c>
      <c r="O16" s="69">
        <v>7.1643099999999999E-5</v>
      </c>
      <c r="P16" s="69">
        <v>6.9714000000000004E-5</v>
      </c>
      <c r="Q16" s="69">
        <v>6.7827299999999993E-5</v>
      </c>
      <c r="R16" s="69">
        <v>6.5983300000000002E-5</v>
      </c>
      <c r="S16" s="69">
        <v>6.4181600000000002E-5</v>
      </c>
      <c r="T16" s="69">
        <v>6.2422000000000006E-5</v>
      </c>
      <c r="U16" s="69">
        <v>6.0704300000000001E-5</v>
      </c>
      <c r="V16" s="69">
        <v>5.9028099999999998E-5</v>
      </c>
      <c r="W16" s="69">
        <v>5.7392799999999997E-5</v>
      </c>
      <c r="X16" s="69">
        <v>5.5798099999999997E-5</v>
      </c>
      <c r="Y16" s="69">
        <v>5.4243300000000003E-5</v>
      </c>
      <c r="Z16" s="69">
        <v>5.27278E-5</v>
      </c>
      <c r="AA16" s="69">
        <v>5.1251100000000001E-5</v>
      </c>
      <c r="AB16" s="69">
        <v>4.9812499999999998E-5</v>
      </c>
      <c r="AC16" s="69">
        <v>4.8411300000000002E-5</v>
      </c>
      <c r="AD16" s="69">
        <v>4.7046799999999998E-5</v>
      </c>
      <c r="AE16" s="69">
        <v>4.5718299999999999E-5</v>
      </c>
      <c r="AF16" s="69">
        <v>4.4425100000000003E-5</v>
      </c>
      <c r="AG16" s="69">
        <v>4.3166400000000001E-5</v>
      </c>
      <c r="AH16" s="69">
        <v>4.1941599999999998E-5</v>
      </c>
      <c r="AI16" s="69">
        <v>4.0749900000000001E-5</v>
      </c>
      <c r="AJ16" s="69">
        <v>3.95905E-5</v>
      </c>
      <c r="AK16" s="69">
        <v>3.84627E-5</v>
      </c>
      <c r="AL16" s="69">
        <v>3.7365800000000001E-5</v>
      </c>
      <c r="AM16" s="69">
        <v>3.6298999999999999E-5</v>
      </c>
      <c r="AN16" s="69">
        <v>3.5261700000000002E-5</v>
      </c>
      <c r="AO16" s="69">
        <v>3.4253099999999999E-5</v>
      </c>
      <c r="AP16" s="69">
        <v>3.3272399999999997E-5</v>
      </c>
      <c r="AQ16" s="69">
        <v>3.23191E-5</v>
      </c>
      <c r="AR16" s="69">
        <v>3.1392400000000001E-5</v>
      </c>
      <c r="AS16" s="69">
        <v>3.0491600000000001E-5</v>
      </c>
      <c r="AT16" s="69">
        <v>2.9616099999999999E-5</v>
      </c>
      <c r="AU16" s="69">
        <v>2.87652E-5</v>
      </c>
      <c r="AV16" s="69">
        <v>2.79383E-5</v>
      </c>
      <c r="AW16" s="69">
        <v>2.71347E-5</v>
      </c>
      <c r="AX16" s="69">
        <v>2.6353899999999999E-5</v>
      </c>
      <c r="AY16" s="69">
        <v>2.5595100000000002E-5</v>
      </c>
      <c r="AZ16" s="69">
        <v>2.4857900000000001E-5</v>
      </c>
      <c r="BA16" s="69">
        <v>2.4141599999999999E-5</v>
      </c>
      <c r="BB16" s="69">
        <v>2.3445700000000002E-5</v>
      </c>
      <c r="BC16" s="69">
        <v>2.27697E-5</v>
      </c>
      <c r="BD16" s="69">
        <v>2.2112799999999999E-5</v>
      </c>
      <c r="BE16" s="69">
        <v>2.14748E-5</v>
      </c>
      <c r="BF16" s="69">
        <v>2.0854899999999999E-5</v>
      </c>
      <c r="BG16" s="69">
        <v>2.02528E-5</v>
      </c>
      <c r="BH16" s="69">
        <v>1.9667999999999999E-5</v>
      </c>
      <c r="BI16" s="69">
        <v>1.90999E-5</v>
      </c>
      <c r="BJ16" s="69">
        <v>1.8547999999999999E-5</v>
      </c>
      <c r="BK16" s="69">
        <v>1.8012E-5</v>
      </c>
      <c r="BL16" s="69">
        <v>1.74914E-5</v>
      </c>
      <c r="BM16" s="69">
        <v>1.6985799999999999E-5</v>
      </c>
      <c r="BN16" s="69">
        <v>1.64946E-5</v>
      </c>
      <c r="BO16" s="69">
        <v>1.6017700000000001E-5</v>
      </c>
      <c r="BP16" s="69">
        <v>1.5554400000000001E-5</v>
      </c>
      <c r="BQ16" s="69">
        <v>1.5104500000000001E-5</v>
      </c>
      <c r="BR16" s="69">
        <v>1.46675E-5</v>
      </c>
      <c r="BS16" s="69">
        <v>1.4243099999999999E-5</v>
      </c>
      <c r="BT16" s="69">
        <v>1.38309E-5</v>
      </c>
      <c r="BU16" s="69">
        <v>1.34307E-5</v>
      </c>
      <c r="BV16" s="69">
        <v>1.3042E-5</v>
      </c>
      <c r="BW16" s="69">
        <v>1.26644E-5</v>
      </c>
      <c r="BX16" s="69">
        <v>1.2297799999999999E-5</v>
      </c>
      <c r="BY16" s="69">
        <v>1.19418E-5</v>
      </c>
      <c r="BZ16" s="69">
        <v>1.1596100000000001E-5</v>
      </c>
      <c r="CA16" s="69">
        <v>1.12603E-5</v>
      </c>
      <c r="CB16" s="69">
        <v>1.0934199999999999E-5</v>
      </c>
      <c r="CC16" s="69">
        <v>1.06176E-5</v>
      </c>
      <c r="CD16" s="69">
        <v>1.03101E-5</v>
      </c>
      <c r="CE16" s="69">
        <v>1.0011500000000001E-5</v>
      </c>
      <c r="CF16" s="69">
        <v>9.7216000000000002E-6</v>
      </c>
      <c r="CG16" s="69">
        <v>9.4399999999999994E-6</v>
      </c>
      <c r="CH16" s="69">
        <v>9.1664999999999994E-6</v>
      </c>
      <c r="CI16" s="69">
        <v>8.901E-6</v>
      </c>
      <c r="CJ16" s="69">
        <v>8.6432000000000005E-6</v>
      </c>
      <c r="CK16" s="69">
        <v>8.3928000000000003E-6</v>
      </c>
      <c r="CL16" s="69">
        <v>8.1496999999999992E-6</v>
      </c>
      <c r="CM16" s="69">
        <v>7.9135999999999999E-6</v>
      </c>
      <c r="CN16" s="69">
        <v>7.6843000000000003E-6</v>
      </c>
      <c r="CO16" s="69">
        <v>7.4617000000000001E-6</v>
      </c>
      <c r="CP16" s="69">
        <v>7.2455000000000003E-6</v>
      </c>
      <c r="CQ16" s="69">
        <v>7.0354999999999998E-6</v>
      </c>
      <c r="CR16" s="69">
        <v>6.8317000000000002E-6</v>
      </c>
      <c r="CS16" s="69">
        <v>6.6336999999999997E-6</v>
      </c>
      <c r="CT16" s="69">
        <v>6.4415000000000001E-6</v>
      </c>
      <c r="CU16" s="69">
        <v>6.2549E-6</v>
      </c>
      <c r="CV16" s="69">
        <v>6.0735999999999998E-6</v>
      </c>
      <c r="CW16" s="69">
        <v>5.8976000000000001E-6</v>
      </c>
      <c r="CX16" s="69">
        <v>5.7266999999999997E-6</v>
      </c>
      <c r="CY16" s="69">
        <v>5.5608000000000002E-6</v>
      </c>
      <c r="CZ16" s="69">
        <v>5.3995999999999999E-6</v>
      </c>
      <c r="DA16" s="69">
        <v>5.2432E-6</v>
      </c>
      <c r="DB16" s="69">
        <v>5.0911999999999996E-6</v>
      </c>
      <c r="DC16" s="69">
        <v>4.9436999999999998E-6</v>
      </c>
      <c r="DD16" s="69">
        <v>4.8003999999999998E-6</v>
      </c>
      <c r="DE16" s="69">
        <v>4.6612999999999997E-6</v>
      </c>
      <c r="DF16" s="69">
        <v>4.5262E-6</v>
      </c>
      <c r="DG16" s="69">
        <v>4.3950000000000003E-6</v>
      </c>
      <c r="DH16" s="69">
        <v>4.2676999999999998E-6</v>
      </c>
      <c r="DI16" s="69">
        <v>4.1439999999999996E-6</v>
      </c>
      <c r="DJ16" s="69">
        <v>4.0238999999999997E-6</v>
      </c>
      <c r="DK16" s="69">
        <v>3.9072999999999998E-6</v>
      </c>
      <c r="DL16" s="69">
        <v>3.794E-6</v>
      </c>
      <c r="DM16" s="69">
        <v>3.6841E-6</v>
      </c>
      <c r="DN16" s="69">
        <v>3.5773E-6</v>
      </c>
      <c r="DO16" s="69">
        <v>3.4736000000000001E-6</v>
      </c>
      <c r="DP16" s="69">
        <v>3.3730000000000001E-6</v>
      </c>
      <c r="DQ16" s="69">
        <v>3.2752E-6</v>
      </c>
      <c r="DR16" s="69">
        <v>3.1802999999999999E-6</v>
      </c>
      <c r="DS16" s="69">
        <v>3.0881000000000001E-6</v>
      </c>
      <c r="DT16" s="69">
        <v>2.9986E-6</v>
      </c>
      <c r="DU16" s="69">
        <v>2.9117E-6</v>
      </c>
      <c r="DV16" s="69">
        <v>2.8273E-6</v>
      </c>
      <c r="DW16" s="69">
        <v>2.7454E-6</v>
      </c>
      <c r="DX16" s="69">
        <v>2.6658E-6</v>
      </c>
      <c r="DY16" s="69">
        <v>2.5884999999999999E-6</v>
      </c>
      <c r="DZ16" s="69">
        <v>2.5135000000000002E-6</v>
      </c>
      <c r="EA16" s="69">
        <v>2.4407000000000002E-6</v>
      </c>
      <c r="EB16" s="69">
        <v>2.3699E-6</v>
      </c>
      <c r="EC16" s="69">
        <v>2.3012000000000001E-6</v>
      </c>
      <c r="ED16" s="69">
        <v>2.2345E-6</v>
      </c>
      <c r="EE16" s="69">
        <v>2.1698E-6</v>
      </c>
      <c r="EF16" s="69">
        <v>2.1069000000000001E-6</v>
      </c>
      <c r="EG16" s="69">
        <v>2.0458E-6</v>
      </c>
      <c r="EH16" s="69">
        <v>1.9865E-6</v>
      </c>
      <c r="EI16" s="69">
        <v>1.9290000000000001E-6</v>
      </c>
      <c r="EJ16" s="69">
        <v>1.8729999999999999E-6</v>
      </c>
      <c r="EK16" s="69">
        <v>1.8188000000000001E-6</v>
      </c>
      <c r="EL16" s="69">
        <v>1.7659999999999999E-6</v>
      </c>
      <c r="EM16" s="69">
        <v>1.7149000000000001E-6</v>
      </c>
      <c r="EN16" s="69">
        <v>1.6652E-6</v>
      </c>
      <c r="EO16" s="69">
        <v>1.6168999999999999E-6</v>
      </c>
      <c r="EP16" s="69">
        <v>1.57E-6</v>
      </c>
      <c r="EQ16" s="69">
        <v>1.5245E-6</v>
      </c>
      <c r="ER16" s="69">
        <v>1.4803E-6</v>
      </c>
      <c r="ES16" s="69">
        <v>1.4374E-6</v>
      </c>
      <c r="ET16" s="69">
        <v>1.3958E-6</v>
      </c>
      <c r="EU16" s="69">
        <v>1.3553E-6</v>
      </c>
      <c r="EV16" s="69">
        <v>1.316E-6</v>
      </c>
      <c r="EW16" s="69">
        <v>1.2779000000000001E-6</v>
      </c>
      <c r="EX16" s="69">
        <v>1.2409000000000001E-6</v>
      </c>
      <c r="EY16" s="69">
        <v>1.2049000000000001E-6</v>
      </c>
      <c r="EZ16" s="69">
        <v>1.17E-6</v>
      </c>
      <c r="FA16" s="69">
        <v>1.1361E-6</v>
      </c>
      <c r="FB16" s="69">
        <v>1.1031000000000001E-6</v>
      </c>
      <c r="FC16" s="69">
        <v>1.0712E-6</v>
      </c>
      <c r="FD16" s="69">
        <v>1.0401E-6</v>
      </c>
      <c r="FE16" s="69">
        <v>1.0100000000000001E-6</v>
      </c>
      <c r="FF16" s="69">
        <v>9.8069999999999999E-7</v>
      </c>
      <c r="FG16" s="69">
        <v>9.5229999999999997E-7</v>
      </c>
      <c r="FH16" s="69">
        <v>9.2470000000000002E-7</v>
      </c>
      <c r="FI16" s="69">
        <v>8.9790000000000001E-7</v>
      </c>
      <c r="FJ16" s="69">
        <v>8.7179999999999996E-7</v>
      </c>
      <c r="FK16" s="69">
        <v>8.4659999999999997E-7</v>
      </c>
      <c r="FL16" s="69">
        <v>8.2200000000000003E-7</v>
      </c>
      <c r="FM16" s="69">
        <v>7.9820000000000004E-7</v>
      </c>
      <c r="FN16" s="69">
        <v>7.751E-7</v>
      </c>
      <c r="FO16" s="69">
        <v>7.526E-7</v>
      </c>
      <c r="FP16" s="69">
        <v>7.3079999999999995E-7</v>
      </c>
      <c r="FQ16" s="69">
        <v>7.0959999999999995E-7</v>
      </c>
    </row>
    <row r="17" spans="1:173" x14ac:dyDescent="0.25">
      <c r="A17" s="71">
        <v>15</v>
      </c>
      <c r="B17" s="69">
        <v>1.2531780000000001E-4</v>
      </c>
      <c r="C17" s="69">
        <v>1.223447E-4</v>
      </c>
      <c r="D17" s="69">
        <v>1.1940510000000001E-4</v>
      </c>
      <c r="E17" s="69">
        <v>1.165022E-4</v>
      </c>
      <c r="F17" s="69">
        <v>1.13639E-4</v>
      </c>
      <c r="G17" s="69">
        <v>1.108181E-4</v>
      </c>
      <c r="H17" s="69">
        <v>1.0804160000000001E-4</v>
      </c>
      <c r="I17" s="69">
        <v>1.053113E-4</v>
      </c>
      <c r="J17" s="69">
        <v>1.026287E-4</v>
      </c>
      <c r="K17" s="69">
        <v>9.9995100000000001E-5</v>
      </c>
      <c r="L17" s="69">
        <v>9.7411399999999994E-5</v>
      </c>
      <c r="M17" s="69">
        <v>9.4878500000000003E-5</v>
      </c>
      <c r="N17" s="69">
        <v>9.2396800000000003E-5</v>
      </c>
      <c r="O17" s="69">
        <v>8.9966699999999994E-5</v>
      </c>
      <c r="P17" s="69">
        <v>8.7588400000000003E-5</v>
      </c>
      <c r="Q17" s="69">
        <v>8.5261999999999998E-5</v>
      </c>
      <c r="R17" s="69">
        <v>8.2987399999999998E-5</v>
      </c>
      <c r="S17" s="69">
        <v>8.0764299999999995E-5</v>
      </c>
      <c r="T17" s="69">
        <v>7.8592500000000004E-5</v>
      </c>
      <c r="U17" s="69">
        <v>7.6471500000000001E-5</v>
      </c>
      <c r="V17" s="69">
        <v>7.4400999999999995E-5</v>
      </c>
      <c r="W17" s="69">
        <v>7.2380300000000002E-5</v>
      </c>
      <c r="X17" s="69">
        <v>7.0408700000000002E-5</v>
      </c>
      <c r="Y17" s="69">
        <v>6.8485799999999994E-5</v>
      </c>
      <c r="Z17" s="69">
        <v>6.6610600000000002E-5</v>
      </c>
      <c r="AA17" s="69">
        <v>6.4782600000000006E-5</v>
      </c>
      <c r="AB17" s="69">
        <v>6.3000800000000002E-5</v>
      </c>
      <c r="AC17" s="69">
        <v>6.1264600000000003E-5</v>
      </c>
      <c r="AD17" s="69">
        <v>5.9573E-5</v>
      </c>
      <c r="AE17" s="69">
        <v>5.7925199999999999E-5</v>
      </c>
      <c r="AF17" s="69">
        <v>5.6320299999999997E-5</v>
      </c>
      <c r="AG17" s="69">
        <v>5.4757499999999999E-5</v>
      </c>
      <c r="AH17" s="69">
        <v>5.3235900000000003E-5</v>
      </c>
      <c r="AI17" s="69">
        <v>5.1754600000000001E-5</v>
      </c>
      <c r="AJ17" s="69">
        <v>5.0312699999999997E-5</v>
      </c>
      <c r="AK17" s="69">
        <v>4.8909300000000003E-5</v>
      </c>
      <c r="AL17" s="69">
        <v>4.7543600000000003E-5</v>
      </c>
      <c r="AM17" s="69">
        <v>4.6214700000000003E-5</v>
      </c>
      <c r="AN17" s="69">
        <v>4.4921700000000001E-5</v>
      </c>
      <c r="AO17" s="69">
        <v>4.36637E-5</v>
      </c>
      <c r="AP17" s="69">
        <v>4.244E-5</v>
      </c>
      <c r="AQ17" s="69">
        <v>4.1249599999999999E-5</v>
      </c>
      <c r="AR17" s="69">
        <v>4.0091800000000001E-5</v>
      </c>
      <c r="AS17" s="69">
        <v>3.8965799999999999E-5</v>
      </c>
      <c r="AT17" s="69">
        <v>3.7870600000000003E-5</v>
      </c>
      <c r="AU17" s="69">
        <v>3.6805699999999999E-5</v>
      </c>
      <c r="AV17" s="69">
        <v>3.5770099999999998E-5</v>
      </c>
      <c r="AW17" s="69">
        <v>3.4763099999999999E-5</v>
      </c>
      <c r="AX17" s="69">
        <v>3.3784E-5</v>
      </c>
      <c r="AY17" s="69">
        <v>3.28321E-5</v>
      </c>
      <c r="AZ17" s="69">
        <v>3.1906499999999997E-5</v>
      </c>
      <c r="BA17" s="69">
        <v>3.1006800000000003E-5</v>
      </c>
      <c r="BB17" s="69">
        <v>3.0132099999999999E-5</v>
      </c>
      <c r="BC17" s="69">
        <v>2.9281700000000001E-5</v>
      </c>
      <c r="BD17" s="69">
        <v>2.8455100000000001E-5</v>
      </c>
      <c r="BE17" s="69">
        <v>2.7651600000000001E-5</v>
      </c>
      <c r="BF17" s="69">
        <v>2.68706E-5</v>
      </c>
      <c r="BG17" s="69">
        <v>2.6111399999999999E-5</v>
      </c>
      <c r="BH17" s="69">
        <v>2.53735E-5</v>
      </c>
      <c r="BI17" s="69">
        <v>2.46563E-5</v>
      </c>
      <c r="BJ17" s="69">
        <v>2.3959199999999999E-5</v>
      </c>
      <c r="BK17" s="69">
        <v>2.3281700000000001E-5</v>
      </c>
      <c r="BL17" s="69">
        <v>2.2623200000000001E-5</v>
      </c>
      <c r="BM17" s="69">
        <v>2.19832E-5</v>
      </c>
      <c r="BN17" s="69">
        <v>2.1361300000000002E-5</v>
      </c>
      <c r="BO17" s="69">
        <v>2.0756800000000001E-5</v>
      </c>
      <c r="BP17" s="69">
        <v>2.01694E-5</v>
      </c>
      <c r="BQ17" s="69">
        <v>1.9598499999999999E-5</v>
      </c>
      <c r="BR17" s="69">
        <v>1.9043699999999999E-5</v>
      </c>
      <c r="BS17" s="69">
        <v>1.8504499999999999E-5</v>
      </c>
      <c r="BT17" s="69">
        <v>1.7980599999999999E-5</v>
      </c>
      <c r="BU17" s="69">
        <v>1.74714E-5</v>
      </c>
      <c r="BV17" s="69">
        <v>1.6976599999999999E-5</v>
      </c>
      <c r="BW17" s="69">
        <v>1.6495799999999999E-5</v>
      </c>
      <c r="BX17" s="69">
        <v>1.6028600000000001E-5</v>
      </c>
      <c r="BY17" s="69">
        <v>1.5574500000000001E-5</v>
      </c>
      <c r="BZ17" s="69">
        <v>1.51333E-5</v>
      </c>
      <c r="CA17" s="69">
        <v>1.47046E-5</v>
      </c>
      <c r="CB17" s="69">
        <v>1.4287999999999999E-5</v>
      </c>
      <c r="CC17" s="69">
        <v>1.3883099999999999E-5</v>
      </c>
      <c r="CD17" s="69">
        <v>1.3489700000000001E-5</v>
      </c>
      <c r="CE17" s="69">
        <v>1.3107499999999999E-5</v>
      </c>
      <c r="CF17" s="69">
        <v>1.2736E-5</v>
      </c>
      <c r="CG17" s="69">
        <v>1.2375099999999999E-5</v>
      </c>
      <c r="CH17" s="69">
        <v>1.2024299999999999E-5</v>
      </c>
      <c r="CI17" s="69">
        <v>1.1683499999999999E-5</v>
      </c>
      <c r="CJ17" s="69">
        <v>1.13524E-5</v>
      </c>
      <c r="CK17" s="69">
        <v>1.1030600000000001E-5</v>
      </c>
      <c r="CL17" s="69">
        <v>1.0718E-5</v>
      </c>
      <c r="CM17" s="69">
        <v>1.0414100000000001E-5</v>
      </c>
      <c r="CN17" s="69">
        <v>1.0118900000000001E-5</v>
      </c>
      <c r="CO17" s="69">
        <v>9.8321000000000003E-6</v>
      </c>
      <c r="CP17" s="69">
        <v>9.5534000000000007E-6</v>
      </c>
      <c r="CQ17" s="69">
        <v>9.2824999999999996E-6</v>
      </c>
      <c r="CR17" s="69">
        <v>9.0194000000000004E-6</v>
      </c>
      <c r="CS17" s="69">
        <v>8.7637000000000005E-6</v>
      </c>
      <c r="CT17" s="69">
        <v>8.5151999999999994E-6</v>
      </c>
      <c r="CU17" s="69">
        <v>8.2738000000000003E-6</v>
      </c>
      <c r="CV17" s="69">
        <v>8.0391999999999992E-6</v>
      </c>
      <c r="CW17" s="69">
        <v>7.8112999999999992E-6</v>
      </c>
      <c r="CX17" s="69">
        <v>7.5897999999999997E-6</v>
      </c>
      <c r="CY17" s="69">
        <v>7.3745999999999997E-6</v>
      </c>
      <c r="CZ17" s="69">
        <v>7.1655000000000003E-6</v>
      </c>
      <c r="DA17" s="69">
        <v>6.9623999999999996E-6</v>
      </c>
      <c r="DB17" s="69">
        <v>6.7649999999999996E-6</v>
      </c>
      <c r="DC17" s="69">
        <v>6.5730999999999998E-6</v>
      </c>
      <c r="DD17" s="69">
        <v>6.3868000000000004E-6</v>
      </c>
      <c r="DE17" s="69">
        <v>6.2056999999999997E-6</v>
      </c>
      <c r="DF17" s="69">
        <v>6.0297000000000001E-6</v>
      </c>
      <c r="DG17" s="69">
        <v>5.8587000000000003E-6</v>
      </c>
      <c r="DH17" s="69">
        <v>5.6926000000000004E-6</v>
      </c>
      <c r="DI17" s="69">
        <v>5.5311999999999997E-6</v>
      </c>
      <c r="DJ17" s="69">
        <v>5.3743000000000004E-6</v>
      </c>
      <c r="DK17" s="69">
        <v>5.2218999999999999E-6</v>
      </c>
      <c r="DL17" s="69">
        <v>5.0738999999999998E-6</v>
      </c>
      <c r="DM17" s="69">
        <v>4.9300000000000002E-6</v>
      </c>
      <c r="DN17" s="69">
        <v>4.7902000000000003E-6</v>
      </c>
      <c r="DO17" s="69">
        <v>4.6543999999999999E-6</v>
      </c>
      <c r="DP17" s="69">
        <v>4.5224000000000001E-6</v>
      </c>
      <c r="DQ17" s="69">
        <v>4.3941E-6</v>
      </c>
      <c r="DR17" s="69">
        <v>4.2695000000000004E-6</v>
      </c>
      <c r="DS17" s="69">
        <v>4.1485000000000002E-6</v>
      </c>
      <c r="DT17" s="69">
        <v>4.0307999999999996E-6</v>
      </c>
      <c r="DU17" s="69">
        <v>3.9164999999999997E-6</v>
      </c>
      <c r="DV17" s="69">
        <v>3.8054999999999998E-6</v>
      </c>
      <c r="DW17" s="69">
        <v>3.6976E-6</v>
      </c>
      <c r="DX17" s="69">
        <v>3.5926999999999999E-6</v>
      </c>
      <c r="DY17" s="69">
        <v>3.4908000000000001E-6</v>
      </c>
      <c r="DZ17" s="69">
        <v>3.3917999999999999E-6</v>
      </c>
      <c r="EA17" s="69">
        <v>3.2955999999999998E-6</v>
      </c>
      <c r="EB17" s="69">
        <v>3.2022E-6</v>
      </c>
      <c r="EC17" s="69">
        <v>3.1114E-6</v>
      </c>
      <c r="ED17" s="69">
        <v>3.0230999999999999E-6</v>
      </c>
      <c r="EE17" s="69">
        <v>2.9374E-6</v>
      </c>
      <c r="EF17" s="69">
        <v>2.8540999999999999E-6</v>
      </c>
      <c r="EG17" s="69">
        <v>2.7732E-6</v>
      </c>
      <c r="EH17" s="69">
        <v>2.6945000000000002E-6</v>
      </c>
      <c r="EI17" s="69">
        <v>2.6181E-6</v>
      </c>
      <c r="EJ17" s="69">
        <v>2.5438999999999999E-6</v>
      </c>
      <c r="EK17" s="69">
        <v>2.4717E-6</v>
      </c>
      <c r="EL17" s="69">
        <v>2.4016999999999998E-6</v>
      </c>
      <c r="EM17" s="69">
        <v>2.3335000000000002E-6</v>
      </c>
      <c r="EN17" s="69">
        <v>2.2674000000000001E-6</v>
      </c>
      <c r="EO17" s="69">
        <v>2.2031000000000001E-6</v>
      </c>
      <c r="EP17" s="69">
        <v>2.1405999999999999E-6</v>
      </c>
      <c r="EQ17" s="69">
        <v>2.0799000000000002E-6</v>
      </c>
      <c r="ER17" s="69">
        <v>2.0209E-6</v>
      </c>
      <c r="ES17" s="69">
        <v>1.9636000000000001E-6</v>
      </c>
      <c r="ET17" s="69">
        <v>1.9079E-6</v>
      </c>
      <c r="EU17" s="69">
        <v>1.8537999999999999E-6</v>
      </c>
      <c r="EV17" s="69">
        <v>1.8012E-6</v>
      </c>
      <c r="EW17" s="69">
        <v>1.7502E-6</v>
      </c>
      <c r="EX17" s="69">
        <v>1.7005000000000001E-6</v>
      </c>
      <c r="EY17" s="69">
        <v>1.6523E-6</v>
      </c>
      <c r="EZ17" s="69">
        <v>1.6054999999999999E-6</v>
      </c>
      <c r="FA17" s="69">
        <v>1.5599000000000001E-6</v>
      </c>
      <c r="FB17" s="69">
        <v>1.5156999999999999E-6</v>
      </c>
      <c r="FC17" s="69">
        <v>1.4727000000000001E-6</v>
      </c>
      <c r="FD17" s="69">
        <v>1.4308999999999999E-6</v>
      </c>
      <c r="FE17" s="69">
        <v>1.3904000000000001E-6</v>
      </c>
      <c r="FF17" s="69">
        <v>1.3509000000000001E-6</v>
      </c>
      <c r="FG17" s="69">
        <v>1.3125999999999999E-6</v>
      </c>
      <c r="FH17" s="69">
        <v>1.2754000000000001E-6</v>
      </c>
      <c r="FI17" s="69">
        <v>1.2391999999999999E-6</v>
      </c>
      <c r="FJ17" s="69">
        <v>1.2041E-6</v>
      </c>
      <c r="FK17" s="69">
        <v>1.1699E-6</v>
      </c>
      <c r="FL17" s="69">
        <v>1.1368000000000001E-6</v>
      </c>
      <c r="FM17" s="69">
        <v>1.1045E-6</v>
      </c>
      <c r="FN17" s="69">
        <v>1.0731999999999999E-6</v>
      </c>
      <c r="FO17" s="69">
        <v>1.0428E-6</v>
      </c>
      <c r="FP17" s="69">
        <v>1.0132000000000001E-6</v>
      </c>
      <c r="FQ17" s="69">
        <v>9.8450000000000006E-7</v>
      </c>
    </row>
    <row r="18" spans="1:173" x14ac:dyDescent="0.25">
      <c r="A18" s="71">
        <v>16</v>
      </c>
      <c r="B18" s="69">
        <v>1.7787160000000001E-4</v>
      </c>
      <c r="C18" s="69">
        <v>1.740089E-4</v>
      </c>
      <c r="D18" s="69">
        <v>1.7013179999999999E-4</v>
      </c>
      <c r="E18" s="69">
        <v>1.6625130000000001E-4</v>
      </c>
      <c r="F18" s="69">
        <v>1.623773E-4</v>
      </c>
      <c r="G18" s="69">
        <v>1.5851870000000001E-4</v>
      </c>
      <c r="H18" s="69">
        <v>1.5468360000000001E-4</v>
      </c>
      <c r="I18" s="69">
        <v>1.5087910000000001E-4</v>
      </c>
      <c r="J18" s="69">
        <v>1.4711149999999999E-4</v>
      </c>
      <c r="K18" s="69">
        <v>1.4338630000000001E-4</v>
      </c>
      <c r="L18" s="69">
        <v>1.397084E-4</v>
      </c>
      <c r="M18" s="69">
        <v>1.360821E-4</v>
      </c>
      <c r="N18" s="69">
        <v>1.3251079999999999E-4</v>
      </c>
      <c r="O18" s="69">
        <v>1.2899790000000001E-4</v>
      </c>
      <c r="P18" s="69">
        <v>1.2554579999999999E-4</v>
      </c>
      <c r="Q18" s="69">
        <v>1.221568E-4</v>
      </c>
      <c r="R18" s="69">
        <v>1.188326E-4</v>
      </c>
      <c r="S18" s="69">
        <v>1.155745E-4</v>
      </c>
      <c r="T18" s="69">
        <v>1.123838E-4</v>
      </c>
      <c r="U18" s="69">
        <v>1.092612E-4</v>
      </c>
      <c r="V18" s="69">
        <v>1.062071E-4</v>
      </c>
      <c r="W18" s="69">
        <v>1.0322179999999999E-4</v>
      </c>
      <c r="X18" s="69">
        <v>1.003055E-4</v>
      </c>
      <c r="Y18" s="69">
        <v>9.7457899999999994E-5</v>
      </c>
      <c r="Z18" s="69">
        <v>9.4678699999999999E-5</v>
      </c>
      <c r="AA18" s="69">
        <v>9.1967599999999997E-5</v>
      </c>
      <c r="AB18" s="69">
        <v>8.9323899999999994E-5</v>
      </c>
      <c r="AC18" s="69">
        <v>8.6747000000000001E-5</v>
      </c>
      <c r="AD18" s="69">
        <v>8.4235999999999998E-5</v>
      </c>
      <c r="AE18" s="69">
        <v>8.1790000000000001E-5</v>
      </c>
      <c r="AF18" s="69">
        <v>7.9408100000000003E-5</v>
      </c>
      <c r="AG18" s="69">
        <v>7.7089300000000001E-5</v>
      </c>
      <c r="AH18" s="69">
        <v>7.4832600000000006E-5</v>
      </c>
      <c r="AI18" s="69">
        <v>7.2636699999999995E-5</v>
      </c>
      <c r="AJ18" s="69">
        <v>7.0500599999999994E-5</v>
      </c>
      <c r="AK18" s="69">
        <v>6.8423000000000005E-5</v>
      </c>
      <c r="AL18" s="69">
        <v>6.6402799999999994E-5</v>
      </c>
      <c r="AM18" s="69">
        <v>6.4438700000000004E-5</v>
      </c>
      <c r="AN18" s="69">
        <v>6.2529599999999998E-5</v>
      </c>
      <c r="AO18" s="69">
        <v>6.0674100000000002E-5</v>
      </c>
      <c r="AP18" s="69">
        <v>5.88711E-5</v>
      </c>
      <c r="AQ18" s="69">
        <v>5.71193E-5</v>
      </c>
      <c r="AR18" s="69">
        <v>5.5417500000000003E-5</v>
      </c>
      <c r="AS18" s="69">
        <v>5.3764400000000003E-5</v>
      </c>
      <c r="AT18" s="69">
        <v>5.21589E-5</v>
      </c>
      <c r="AU18" s="69">
        <v>5.0599700000000003E-5</v>
      </c>
      <c r="AV18" s="69">
        <v>4.9085600000000003E-5</v>
      </c>
      <c r="AW18" s="69">
        <v>4.7615599999999999E-5</v>
      </c>
      <c r="AX18" s="69">
        <v>4.61884E-5</v>
      </c>
      <c r="AY18" s="69">
        <v>4.4802899999999998E-5</v>
      </c>
      <c r="AZ18" s="69">
        <v>4.3457900000000003E-5</v>
      </c>
      <c r="BA18" s="69">
        <v>4.21525E-5</v>
      </c>
      <c r="BB18" s="69">
        <v>4.08854E-5</v>
      </c>
      <c r="BC18" s="69">
        <v>3.96557E-5</v>
      </c>
      <c r="BD18" s="69">
        <v>3.84624E-5</v>
      </c>
      <c r="BE18" s="69">
        <v>3.7304300000000001E-5</v>
      </c>
      <c r="BF18" s="69">
        <v>3.6180599999999997E-5</v>
      </c>
      <c r="BG18" s="69">
        <v>3.5090199999999998E-5</v>
      </c>
      <c r="BH18" s="69">
        <v>3.4032200000000003E-5</v>
      </c>
      <c r="BI18" s="69">
        <v>3.3005800000000002E-5</v>
      </c>
      <c r="BJ18" s="69">
        <v>3.20099E-5</v>
      </c>
      <c r="BK18" s="69">
        <v>3.1043700000000002E-5</v>
      </c>
      <c r="BL18" s="69">
        <v>3.01064E-5</v>
      </c>
      <c r="BM18" s="69">
        <v>2.9197099999999999E-5</v>
      </c>
      <c r="BN18" s="69">
        <v>2.8314999999999999E-5</v>
      </c>
      <c r="BO18" s="69">
        <v>2.74594E-5</v>
      </c>
      <c r="BP18" s="69">
        <v>2.66294E-5</v>
      </c>
      <c r="BQ18" s="69">
        <v>2.5824299999999999E-5</v>
      </c>
      <c r="BR18" s="69">
        <v>2.5043400000000001E-5</v>
      </c>
      <c r="BS18" s="69">
        <v>2.4285900000000001E-5</v>
      </c>
      <c r="BT18" s="69">
        <v>2.3551299999999999E-5</v>
      </c>
      <c r="BU18" s="69">
        <v>2.2838699999999999E-5</v>
      </c>
      <c r="BV18" s="69">
        <v>2.2147500000000001E-5</v>
      </c>
      <c r="BW18" s="69">
        <v>2.1477200000000002E-5</v>
      </c>
      <c r="BX18" s="69">
        <v>2.0827099999999999E-5</v>
      </c>
      <c r="BY18" s="69">
        <v>2.0196599999999999E-5</v>
      </c>
      <c r="BZ18" s="69">
        <v>1.9585E-5</v>
      </c>
      <c r="CA18" s="69">
        <v>1.8992E-5</v>
      </c>
      <c r="CB18" s="69">
        <v>1.84168E-5</v>
      </c>
      <c r="CC18" s="69">
        <v>1.7859E-5</v>
      </c>
      <c r="CD18" s="69">
        <v>1.7317999999999999E-5</v>
      </c>
      <c r="CE18" s="69">
        <v>1.6793400000000001E-5</v>
      </c>
      <c r="CF18" s="69">
        <v>1.62846E-5</v>
      </c>
      <c r="CG18" s="69">
        <v>1.5791199999999999E-5</v>
      </c>
      <c r="CH18" s="69">
        <v>1.53127E-5</v>
      </c>
      <c r="CI18" s="69">
        <v>1.4848700000000001E-5</v>
      </c>
      <c r="CJ18" s="69">
        <v>1.43987E-5</v>
      </c>
      <c r="CK18" s="69">
        <v>1.39623E-5</v>
      </c>
      <c r="CL18" s="69">
        <v>1.3539100000000001E-5</v>
      </c>
      <c r="CM18" s="69">
        <v>1.31288E-5</v>
      </c>
      <c r="CN18" s="69">
        <v>1.27308E-5</v>
      </c>
      <c r="CO18" s="69">
        <v>1.2344899999999999E-5</v>
      </c>
      <c r="CP18" s="69">
        <v>1.19707E-5</v>
      </c>
      <c r="CQ18" s="69">
        <v>1.1607799999999999E-5</v>
      </c>
      <c r="CR18" s="69">
        <v>1.12559E-5</v>
      </c>
      <c r="CS18" s="69">
        <v>1.09146E-5</v>
      </c>
      <c r="CT18" s="69">
        <v>1.05837E-5</v>
      </c>
      <c r="CU18" s="69">
        <v>1.0262799999999999E-5</v>
      </c>
      <c r="CV18" s="69">
        <v>9.9515999999999997E-6</v>
      </c>
      <c r="CW18" s="69">
        <v>9.6499000000000006E-6</v>
      </c>
      <c r="CX18" s="69">
        <v>9.3572999999999993E-6</v>
      </c>
      <c r="CY18" s="69">
        <v>9.0735000000000005E-6</v>
      </c>
      <c r="CZ18" s="69">
        <v>8.7984000000000003E-6</v>
      </c>
      <c r="DA18" s="69">
        <v>8.5315999999999998E-6</v>
      </c>
      <c r="DB18" s="69">
        <v>8.2729E-6</v>
      </c>
      <c r="DC18" s="69">
        <v>8.0220000000000004E-6</v>
      </c>
      <c r="DD18" s="69">
        <v>7.7787000000000006E-6</v>
      </c>
      <c r="DE18" s="69">
        <v>7.5428E-6</v>
      </c>
      <c r="DF18" s="69">
        <v>7.3141E-6</v>
      </c>
      <c r="DG18" s="69">
        <v>7.0922999999999998E-6</v>
      </c>
      <c r="DH18" s="69">
        <v>6.8772E-6</v>
      </c>
      <c r="DI18" s="69">
        <v>6.6686E-6</v>
      </c>
      <c r="DJ18" s="69">
        <v>6.4663999999999996E-6</v>
      </c>
      <c r="DK18" s="69">
        <v>6.2702999999999999E-6</v>
      </c>
      <c r="DL18" s="69">
        <v>6.0800999999999996E-6</v>
      </c>
      <c r="DM18" s="69">
        <v>5.8957000000000002E-6</v>
      </c>
      <c r="DN18" s="69">
        <v>5.7169000000000003E-6</v>
      </c>
      <c r="DO18" s="69">
        <v>5.5435000000000004E-6</v>
      </c>
      <c r="DP18" s="69">
        <v>5.3754000000000002E-6</v>
      </c>
      <c r="DQ18" s="69">
        <v>5.2123000000000001E-6</v>
      </c>
      <c r="DR18" s="69">
        <v>5.0541999999999998E-6</v>
      </c>
      <c r="DS18" s="69">
        <v>4.9009E-6</v>
      </c>
      <c r="DT18" s="69">
        <v>4.7523000000000002E-6</v>
      </c>
      <c r="DU18" s="69">
        <v>4.6081E-6</v>
      </c>
      <c r="DV18" s="69">
        <v>4.4684000000000003E-6</v>
      </c>
      <c r="DW18" s="69">
        <v>4.3328999999999996E-6</v>
      </c>
      <c r="DX18" s="69">
        <v>4.2014000000000001E-6</v>
      </c>
      <c r="DY18" s="69">
        <v>4.0740000000000003E-6</v>
      </c>
      <c r="DZ18" s="69">
        <v>3.9504000000000003E-6</v>
      </c>
      <c r="EA18" s="69">
        <v>3.8306000000000002E-6</v>
      </c>
      <c r="EB18" s="69">
        <v>3.7144E-6</v>
      </c>
      <c r="EC18" s="69">
        <v>3.6018E-6</v>
      </c>
      <c r="ED18" s="69">
        <v>3.4925E-6</v>
      </c>
      <c r="EE18" s="69">
        <v>3.3865999999999999E-6</v>
      </c>
      <c r="EF18" s="69">
        <v>3.2839E-6</v>
      </c>
      <c r="EG18" s="69">
        <v>3.1843000000000002E-6</v>
      </c>
      <c r="EH18" s="69">
        <v>3.0877000000000001E-6</v>
      </c>
      <c r="EI18" s="69">
        <v>2.994E-6</v>
      </c>
      <c r="EJ18" s="69">
        <v>2.9032E-6</v>
      </c>
      <c r="EK18" s="69">
        <v>2.8150999999999999E-6</v>
      </c>
      <c r="EL18" s="69">
        <v>2.7296999999999999E-6</v>
      </c>
      <c r="EM18" s="69">
        <v>2.6469E-6</v>
      </c>
      <c r="EN18" s="69">
        <v>2.5666999999999999E-6</v>
      </c>
      <c r="EO18" s="69">
        <v>2.4888000000000002E-6</v>
      </c>
      <c r="EP18" s="69">
        <v>2.4132999999999998E-6</v>
      </c>
      <c r="EQ18" s="69">
        <v>2.3400999999999998E-6</v>
      </c>
      <c r="ER18" s="69">
        <v>2.2691E-6</v>
      </c>
      <c r="ES18" s="69">
        <v>2.2002999999999999E-6</v>
      </c>
      <c r="ET18" s="69">
        <v>2.1336000000000002E-6</v>
      </c>
      <c r="EU18" s="69">
        <v>2.0688999999999998E-6</v>
      </c>
      <c r="EV18" s="69">
        <v>2.0061000000000002E-6</v>
      </c>
      <c r="EW18" s="69">
        <v>1.9452E-6</v>
      </c>
      <c r="EX18" s="69">
        <v>1.8862E-6</v>
      </c>
      <c r="EY18" s="69">
        <v>1.829E-6</v>
      </c>
      <c r="EZ18" s="69">
        <v>1.7736000000000001E-6</v>
      </c>
      <c r="FA18" s="69">
        <v>1.7198E-6</v>
      </c>
      <c r="FB18" s="69">
        <v>1.6675999999999999E-6</v>
      </c>
      <c r="FC18" s="69">
        <v>1.6169999999999999E-6</v>
      </c>
      <c r="FD18" s="69">
        <v>1.5680000000000001E-6</v>
      </c>
      <c r="FE18" s="69">
        <v>1.5204000000000001E-6</v>
      </c>
      <c r="FF18" s="69">
        <v>1.4743E-6</v>
      </c>
      <c r="FG18" s="69">
        <v>1.4296E-6</v>
      </c>
      <c r="FH18" s="69">
        <v>1.3862E-6</v>
      </c>
      <c r="FI18" s="69">
        <v>1.3442E-6</v>
      </c>
      <c r="FJ18" s="69">
        <v>1.3034000000000001E-6</v>
      </c>
      <c r="FK18" s="69">
        <v>1.2638000000000001E-6</v>
      </c>
      <c r="FL18" s="69">
        <v>1.2255E-6</v>
      </c>
      <c r="FM18" s="69">
        <v>1.1882999999999999E-6</v>
      </c>
      <c r="FN18" s="69">
        <v>1.1523E-6</v>
      </c>
      <c r="FO18" s="69">
        <v>1.1173000000000001E-6</v>
      </c>
      <c r="FP18" s="69">
        <v>1.0834000000000001E-6</v>
      </c>
      <c r="FQ18" s="69">
        <v>1.0505999999999999E-6</v>
      </c>
    </row>
    <row r="19" spans="1:173" x14ac:dyDescent="0.25">
      <c r="A19" s="71">
        <v>17</v>
      </c>
      <c r="B19" s="69">
        <v>1.974011E-4</v>
      </c>
      <c r="C19" s="69">
        <v>1.9285830000000001E-4</v>
      </c>
      <c r="D19" s="69">
        <v>1.8832460000000001E-4</v>
      </c>
      <c r="E19" s="69">
        <v>1.838105E-4</v>
      </c>
      <c r="F19" s="69">
        <v>1.793252E-4</v>
      </c>
      <c r="G19" s="69">
        <v>1.7487709999999999E-4</v>
      </c>
      <c r="H19" s="69">
        <v>1.7047349999999999E-4</v>
      </c>
      <c r="I19" s="69">
        <v>1.6612070000000001E-4</v>
      </c>
      <c r="J19" s="69">
        <v>1.6182450000000001E-4</v>
      </c>
      <c r="K19" s="69">
        <v>1.5758960000000001E-4</v>
      </c>
      <c r="L19" s="69">
        <v>1.534203E-4</v>
      </c>
      <c r="M19" s="69">
        <v>1.4932009999999999E-4</v>
      </c>
      <c r="N19" s="69">
        <v>1.4529199999999999E-4</v>
      </c>
      <c r="O19" s="69">
        <v>1.4133860000000001E-4</v>
      </c>
      <c r="P19" s="69">
        <v>1.3746179999999999E-4</v>
      </c>
      <c r="Q19" s="69">
        <v>1.336632E-4</v>
      </c>
      <c r="R19" s="69">
        <v>1.2994410000000001E-4</v>
      </c>
      <c r="S19" s="69">
        <v>1.2630519999999999E-4</v>
      </c>
      <c r="T19" s="69">
        <v>1.2274709999999999E-4</v>
      </c>
      <c r="U19" s="69">
        <v>1.192701E-4</v>
      </c>
      <c r="V19" s="69">
        <v>1.158741E-4</v>
      </c>
      <c r="W19" s="69">
        <v>1.125591E-4</v>
      </c>
      <c r="X19" s="69">
        <v>1.093246E-4</v>
      </c>
      <c r="Y19" s="69">
        <v>1.0616999999999999E-4</v>
      </c>
      <c r="Z19" s="69">
        <v>1.030946E-4</v>
      </c>
      <c r="AA19" s="69">
        <v>1.000976E-4</v>
      </c>
      <c r="AB19" s="69">
        <v>9.7177999999999997E-5</v>
      </c>
      <c r="AC19" s="69">
        <v>9.4334700000000003E-5</v>
      </c>
      <c r="AD19" s="69">
        <v>9.1566700000000005E-5</v>
      </c>
      <c r="AE19" s="69">
        <v>8.8872500000000007E-5</v>
      </c>
      <c r="AF19" s="69">
        <v>8.6251100000000005E-5</v>
      </c>
      <c r="AG19" s="69">
        <v>8.3701000000000004E-5</v>
      </c>
      <c r="AH19" s="69">
        <v>8.12208E-5</v>
      </c>
      <c r="AI19" s="69">
        <v>7.8809300000000005E-5</v>
      </c>
      <c r="AJ19" s="69">
        <v>7.6464799999999993E-5</v>
      </c>
      <c r="AK19" s="69">
        <v>7.4186100000000004E-5</v>
      </c>
      <c r="AL19" s="69">
        <v>7.1971599999999994E-5</v>
      </c>
      <c r="AM19" s="69">
        <v>6.9819899999999999E-5</v>
      </c>
      <c r="AN19" s="69">
        <v>6.7729600000000003E-5</v>
      </c>
      <c r="AO19" s="69">
        <v>6.5698999999999996E-5</v>
      </c>
      <c r="AP19" s="69">
        <v>6.3726900000000001E-5</v>
      </c>
      <c r="AQ19" s="69">
        <v>6.1811700000000003E-5</v>
      </c>
      <c r="AR19" s="69">
        <v>5.9951999999999998E-5</v>
      </c>
      <c r="AS19" s="69">
        <v>5.8146500000000003E-5</v>
      </c>
      <c r="AT19" s="69">
        <v>5.6393600000000002E-5</v>
      </c>
      <c r="AU19" s="69">
        <v>5.4692099999999998E-5</v>
      </c>
      <c r="AV19" s="69">
        <v>5.3040500000000001E-5</v>
      </c>
      <c r="AW19" s="69">
        <v>5.1437599999999997E-5</v>
      </c>
      <c r="AX19" s="69">
        <v>4.9881900000000001E-5</v>
      </c>
      <c r="AY19" s="69">
        <v>4.8372299999999998E-5</v>
      </c>
      <c r="AZ19" s="69">
        <v>4.6907499999999998E-5</v>
      </c>
      <c r="BA19" s="69">
        <v>4.5486099999999998E-5</v>
      </c>
      <c r="BB19" s="69">
        <v>4.4107100000000003E-5</v>
      </c>
      <c r="BC19" s="69">
        <v>4.2769199999999997E-5</v>
      </c>
      <c r="BD19" s="69">
        <v>4.1471199999999997E-5</v>
      </c>
      <c r="BE19" s="69">
        <v>4.0212100000000001E-5</v>
      </c>
      <c r="BF19" s="69">
        <v>3.8990699999999999E-5</v>
      </c>
      <c r="BG19" s="69">
        <v>3.7805899999999997E-5</v>
      </c>
      <c r="BH19" s="69">
        <v>3.6656699999999998E-5</v>
      </c>
      <c r="BI19" s="69">
        <v>3.5542E-5</v>
      </c>
      <c r="BJ19" s="69">
        <v>3.4460900000000001E-5</v>
      </c>
      <c r="BK19" s="69">
        <v>3.3412399999999999E-5</v>
      </c>
      <c r="BL19" s="69">
        <v>3.2395499999999998E-5</v>
      </c>
      <c r="BM19" s="69">
        <v>3.1409199999999997E-5</v>
      </c>
      <c r="BN19" s="69">
        <v>3.0452800000000001E-5</v>
      </c>
      <c r="BO19" s="69">
        <v>2.95253E-5</v>
      </c>
      <c r="BP19" s="69">
        <v>2.86258E-5</v>
      </c>
      <c r="BQ19" s="69">
        <v>2.7753600000000001E-5</v>
      </c>
      <c r="BR19" s="69">
        <v>2.69077E-5</v>
      </c>
      <c r="BS19" s="69">
        <v>2.6087600000000001E-5</v>
      </c>
      <c r="BT19" s="69">
        <v>2.5292200000000002E-5</v>
      </c>
      <c r="BU19" s="69">
        <v>2.4521000000000001E-5</v>
      </c>
      <c r="BV19" s="69">
        <v>2.3773300000000002E-5</v>
      </c>
      <c r="BW19" s="69">
        <v>2.3048200000000001E-5</v>
      </c>
      <c r="BX19" s="69">
        <v>2.2345100000000001E-5</v>
      </c>
      <c r="BY19" s="69">
        <v>2.16635E-5</v>
      </c>
      <c r="BZ19" s="69">
        <v>2.1002500000000001E-5</v>
      </c>
      <c r="CA19" s="69">
        <v>2.0361699999999999E-5</v>
      </c>
      <c r="CB19" s="69">
        <v>1.9740300000000001E-5</v>
      </c>
      <c r="CC19" s="69">
        <v>1.9137800000000002E-5</v>
      </c>
      <c r="CD19" s="69">
        <v>1.8553700000000002E-5</v>
      </c>
      <c r="CE19" s="69">
        <v>1.79874E-5</v>
      </c>
      <c r="CF19" s="69">
        <v>1.7438299999999999E-5</v>
      </c>
      <c r="CG19" s="69">
        <v>1.6906E-5</v>
      </c>
      <c r="CH19" s="69">
        <v>1.63898E-5</v>
      </c>
      <c r="CI19" s="69">
        <v>1.5889400000000001E-5</v>
      </c>
      <c r="CJ19" s="69">
        <v>1.5404200000000001E-5</v>
      </c>
      <c r="CK19" s="69">
        <v>1.4933899999999999E-5</v>
      </c>
      <c r="CL19" s="69">
        <v>1.4477800000000001E-5</v>
      </c>
      <c r="CM19" s="69">
        <v>1.40357E-5</v>
      </c>
      <c r="CN19" s="69">
        <v>1.3607100000000001E-5</v>
      </c>
      <c r="CO19" s="69">
        <v>1.3191500000000001E-5</v>
      </c>
      <c r="CP19" s="69">
        <v>1.27886E-5</v>
      </c>
      <c r="CQ19" s="69">
        <v>1.2398000000000001E-5</v>
      </c>
      <c r="CR19" s="69">
        <v>1.20193E-5</v>
      </c>
      <c r="CS19" s="69">
        <v>1.16522E-5</v>
      </c>
      <c r="CT19" s="69">
        <v>1.1296300000000001E-5</v>
      </c>
      <c r="CU19" s="69">
        <v>1.0951199999999999E-5</v>
      </c>
      <c r="CV19" s="69">
        <v>1.06167E-5</v>
      </c>
      <c r="CW19" s="69">
        <v>1.02924E-5</v>
      </c>
      <c r="CX19" s="69">
        <v>9.978E-6</v>
      </c>
      <c r="CY19" s="69">
        <v>9.6732000000000008E-6</v>
      </c>
      <c r="CZ19" s="69">
        <v>9.3775999999999998E-6</v>
      </c>
      <c r="DA19" s="69">
        <v>9.0912000000000003E-6</v>
      </c>
      <c r="DB19" s="69">
        <v>8.8133999999999993E-6</v>
      </c>
      <c r="DC19" s="69">
        <v>8.5442000000000003E-6</v>
      </c>
      <c r="DD19" s="69">
        <v>8.2831000000000004E-6</v>
      </c>
      <c r="DE19" s="69">
        <v>8.0300999999999996E-6</v>
      </c>
      <c r="DF19" s="69">
        <v>7.7847000000000002E-6</v>
      </c>
      <c r="DG19" s="69">
        <v>7.5468999999999997E-6</v>
      </c>
      <c r="DH19" s="69">
        <v>7.3162999999999997E-6</v>
      </c>
      <c r="DI19" s="69">
        <v>7.0928000000000001E-6</v>
      </c>
      <c r="DJ19" s="69">
        <v>6.8759999999999999E-6</v>
      </c>
      <c r="DK19" s="69">
        <v>6.6660000000000002E-6</v>
      </c>
      <c r="DL19" s="69">
        <v>6.4622999999999999E-6</v>
      </c>
      <c r="DM19" s="69">
        <v>6.2647999999999997E-6</v>
      </c>
      <c r="DN19" s="69">
        <v>6.0734000000000002E-6</v>
      </c>
      <c r="DO19" s="69">
        <v>5.8877999999999998E-6</v>
      </c>
      <c r="DP19" s="69">
        <v>5.7079E-6</v>
      </c>
      <c r="DQ19" s="69">
        <v>5.5334999999999996E-6</v>
      </c>
      <c r="DR19" s="69">
        <v>5.3645000000000001E-6</v>
      </c>
      <c r="DS19" s="69">
        <v>5.2004999999999996E-6</v>
      </c>
      <c r="DT19" s="69">
        <v>5.0416000000000001E-6</v>
      </c>
      <c r="DU19" s="69">
        <v>4.8875999999999996E-6</v>
      </c>
      <c r="DV19" s="69">
        <v>4.7381999999999998E-6</v>
      </c>
      <c r="DW19" s="69">
        <v>4.5935000000000002E-6</v>
      </c>
      <c r="DX19" s="69">
        <v>4.4530999999999998E-6</v>
      </c>
      <c r="DY19" s="69">
        <v>4.3170000000000003E-6</v>
      </c>
      <c r="DZ19" s="69">
        <v>4.1851E-6</v>
      </c>
      <c r="EA19" s="69">
        <v>4.0571999999999999E-6</v>
      </c>
      <c r="EB19" s="69">
        <v>3.9333000000000001E-6</v>
      </c>
      <c r="EC19" s="69">
        <v>3.8131E-6</v>
      </c>
      <c r="ED19" s="69">
        <v>3.6965999999999999E-6</v>
      </c>
      <c r="EE19" s="69">
        <v>3.5835999999999999E-6</v>
      </c>
      <c r="EF19" s="69">
        <v>3.4740999999999999E-6</v>
      </c>
      <c r="EG19" s="69">
        <v>3.3679E-6</v>
      </c>
      <c r="EH19" s="69">
        <v>3.2650000000000001E-6</v>
      </c>
      <c r="EI19" s="69">
        <v>3.1653E-6</v>
      </c>
      <c r="EJ19" s="69">
        <v>3.0684999999999999E-6</v>
      </c>
      <c r="EK19" s="69">
        <v>2.9747999999999999E-6</v>
      </c>
      <c r="EL19" s="69">
        <v>2.8839E-6</v>
      </c>
      <c r="EM19" s="69">
        <v>2.7957000000000002E-6</v>
      </c>
      <c r="EN19" s="69">
        <v>2.7103000000000001E-6</v>
      </c>
      <c r="EO19" s="69">
        <v>2.6274999999999998E-6</v>
      </c>
      <c r="EP19" s="69">
        <v>2.5471999999999999E-6</v>
      </c>
      <c r="EQ19" s="69">
        <v>2.4694E-6</v>
      </c>
      <c r="ER19" s="69">
        <v>2.3939000000000001E-6</v>
      </c>
      <c r="ES19" s="69">
        <v>2.3207999999999999E-6</v>
      </c>
      <c r="ET19" s="69">
        <v>2.2498E-6</v>
      </c>
      <c r="EU19" s="69">
        <v>2.1811000000000002E-6</v>
      </c>
      <c r="EV19" s="69">
        <v>2.1144E-6</v>
      </c>
      <c r="EW19" s="69">
        <v>2.0497999999999998E-6</v>
      </c>
      <c r="EX19" s="69">
        <v>1.9871999999999998E-6</v>
      </c>
      <c r="EY19" s="69">
        <v>1.9265000000000001E-6</v>
      </c>
      <c r="EZ19" s="69">
        <v>1.8675999999999999E-6</v>
      </c>
      <c r="FA19" s="69">
        <v>1.8105000000000001E-6</v>
      </c>
      <c r="FB19" s="69">
        <v>1.7551999999999999E-6</v>
      </c>
      <c r="FC19" s="69">
        <v>1.7015999999999999E-6</v>
      </c>
      <c r="FD19" s="69">
        <v>1.6496000000000001E-6</v>
      </c>
      <c r="FE19" s="69">
        <v>1.5992000000000001E-6</v>
      </c>
      <c r="FF19" s="69">
        <v>1.5503E-6</v>
      </c>
      <c r="FG19" s="69">
        <v>1.5029E-6</v>
      </c>
      <c r="FH19" s="69">
        <v>1.457E-6</v>
      </c>
      <c r="FI19" s="69">
        <v>1.4125E-6</v>
      </c>
      <c r="FJ19" s="69">
        <v>1.3693E-6</v>
      </c>
      <c r="FK19" s="69">
        <v>1.3275E-6</v>
      </c>
      <c r="FL19" s="69">
        <v>1.2868999999999999E-6</v>
      </c>
      <c r="FM19" s="69">
        <v>1.2475999999999999E-6</v>
      </c>
      <c r="FN19" s="69">
        <v>1.2095E-6</v>
      </c>
      <c r="FO19" s="69">
        <v>1.1725E-6</v>
      </c>
      <c r="FP19" s="69">
        <v>1.1367000000000001E-6</v>
      </c>
      <c r="FQ19" s="69">
        <v>1.1019E-6</v>
      </c>
    </row>
    <row r="20" spans="1:173" x14ac:dyDescent="0.25">
      <c r="A20" s="71">
        <v>18</v>
      </c>
      <c r="B20" s="69">
        <v>2.4351670000000001E-4</v>
      </c>
      <c r="C20" s="69">
        <v>2.3883420000000001E-4</v>
      </c>
      <c r="D20" s="69">
        <v>2.341147E-4</v>
      </c>
      <c r="E20" s="69">
        <v>2.2937200000000001E-4</v>
      </c>
      <c r="F20" s="69">
        <v>2.246188E-4</v>
      </c>
      <c r="G20" s="69">
        <v>2.198666E-4</v>
      </c>
      <c r="H20" s="69">
        <v>2.1512580000000001E-4</v>
      </c>
      <c r="I20" s="69">
        <v>2.1040570000000001E-4</v>
      </c>
      <c r="J20" s="69">
        <v>2.0571470000000001E-4</v>
      </c>
      <c r="K20" s="69">
        <v>2.0106019999999999E-4</v>
      </c>
      <c r="L20" s="69">
        <v>1.9644890000000001E-4</v>
      </c>
      <c r="M20" s="69">
        <v>1.9188659999999999E-4</v>
      </c>
      <c r="N20" s="69">
        <v>1.8737840000000001E-4</v>
      </c>
      <c r="O20" s="69">
        <v>1.8292889999999999E-4</v>
      </c>
      <c r="P20" s="69">
        <v>1.7854200000000001E-4</v>
      </c>
      <c r="Q20" s="69">
        <v>1.7422100000000001E-4</v>
      </c>
      <c r="R20" s="69">
        <v>1.6996869999999999E-4</v>
      </c>
      <c r="S20" s="69">
        <v>1.6578750000000001E-4</v>
      </c>
      <c r="T20" s="69">
        <v>1.6167929999999999E-4</v>
      </c>
      <c r="U20" s="69">
        <v>1.5764579999999999E-4</v>
      </c>
      <c r="V20" s="69">
        <v>1.5368820000000001E-4</v>
      </c>
      <c r="W20" s="69">
        <v>1.4980740000000001E-4</v>
      </c>
      <c r="X20" s="69">
        <v>1.4600409999999999E-4</v>
      </c>
      <c r="Y20" s="69">
        <v>1.4227860000000001E-4</v>
      </c>
      <c r="Z20" s="69">
        <v>1.3863109999999999E-4</v>
      </c>
      <c r="AA20" s="69">
        <v>1.3506170000000001E-4</v>
      </c>
      <c r="AB20" s="69">
        <v>1.3156999999999999E-4</v>
      </c>
      <c r="AC20" s="69">
        <v>1.2815569999999999E-4</v>
      </c>
      <c r="AD20" s="69">
        <v>1.248183E-4</v>
      </c>
      <c r="AE20" s="69">
        <v>1.215572E-4</v>
      </c>
      <c r="AF20" s="69">
        <v>1.183716E-4</v>
      </c>
      <c r="AG20" s="69">
        <v>1.1526060000000001E-4</v>
      </c>
      <c r="AH20" s="69">
        <v>1.122234E-4</v>
      </c>
      <c r="AI20" s="69">
        <v>1.092589E-4</v>
      </c>
      <c r="AJ20" s="69">
        <v>1.06366E-4</v>
      </c>
      <c r="AK20" s="69">
        <v>1.035437E-4</v>
      </c>
      <c r="AL20" s="69">
        <v>1.007908E-4</v>
      </c>
      <c r="AM20" s="69">
        <v>9.8105999999999999E-5</v>
      </c>
      <c r="AN20" s="69">
        <v>9.5488200000000005E-5</v>
      </c>
      <c r="AO20" s="69">
        <v>9.2936099999999999E-5</v>
      </c>
      <c r="AP20" s="69">
        <v>9.0448500000000007E-5</v>
      </c>
      <c r="AQ20" s="69">
        <v>8.8023999999999996E-5</v>
      </c>
      <c r="AR20" s="69">
        <v>8.5661299999999999E-5</v>
      </c>
      <c r="AS20" s="69">
        <v>8.3359300000000007E-5</v>
      </c>
      <c r="AT20" s="69">
        <v>8.1116499999999995E-5</v>
      </c>
      <c r="AU20" s="69">
        <v>7.8931700000000002E-5</v>
      </c>
      <c r="AV20" s="69">
        <v>7.6803699999999998E-5</v>
      </c>
      <c r="AW20" s="69">
        <v>7.4731E-5</v>
      </c>
      <c r="AX20" s="69">
        <v>7.2712499999999999E-5</v>
      </c>
      <c r="AY20" s="69">
        <v>7.0747000000000006E-5</v>
      </c>
      <c r="AZ20" s="69">
        <v>6.8833100000000003E-5</v>
      </c>
      <c r="BA20" s="69">
        <v>6.6969600000000003E-5</v>
      </c>
      <c r="BB20" s="69">
        <v>6.5155399999999996E-5</v>
      </c>
      <c r="BC20" s="69">
        <v>6.3389300000000006E-5</v>
      </c>
      <c r="BD20" s="69">
        <v>6.1669999999999997E-5</v>
      </c>
      <c r="BE20" s="69">
        <v>5.99964E-5</v>
      </c>
      <c r="BF20" s="69">
        <v>5.83675E-5</v>
      </c>
      <c r="BG20" s="69">
        <v>5.6781999999999999E-5</v>
      </c>
      <c r="BH20" s="69">
        <v>5.5238799999999997E-5</v>
      </c>
      <c r="BI20" s="69">
        <v>5.3737099999999997E-5</v>
      </c>
      <c r="BJ20" s="69">
        <v>5.2275499999999998E-5</v>
      </c>
      <c r="BK20" s="69">
        <v>5.0853200000000003E-5</v>
      </c>
      <c r="BL20" s="69">
        <v>4.9469199999999997E-5</v>
      </c>
      <c r="BM20" s="69">
        <v>4.8122299999999998E-5</v>
      </c>
      <c r="BN20" s="69">
        <v>4.6811799999999998E-5</v>
      </c>
      <c r="BO20" s="69">
        <v>4.55366E-5</v>
      </c>
      <c r="BP20" s="69">
        <v>4.4295799999999997E-5</v>
      </c>
      <c r="BQ20" s="69">
        <v>4.3088599999999999E-5</v>
      </c>
      <c r="BR20" s="69">
        <v>4.1913899999999999E-5</v>
      </c>
      <c r="BS20" s="69">
        <v>4.07711E-5</v>
      </c>
      <c r="BT20" s="69">
        <v>3.9659200000000001E-5</v>
      </c>
      <c r="BU20" s="69">
        <v>3.8577400000000001E-5</v>
      </c>
      <c r="BV20" s="69">
        <v>3.7524999999999997E-5</v>
      </c>
      <c r="BW20" s="69">
        <v>3.6501100000000002E-5</v>
      </c>
      <c r="BX20" s="69">
        <v>3.5505E-5</v>
      </c>
      <c r="BY20" s="69">
        <v>3.4535900000000003E-5</v>
      </c>
      <c r="BZ20" s="69">
        <v>3.3593200000000002E-5</v>
      </c>
      <c r="CA20" s="69">
        <v>3.2675999999999997E-5</v>
      </c>
      <c r="CB20" s="69">
        <v>3.1783899999999999E-5</v>
      </c>
      <c r="CC20" s="69">
        <v>3.09159E-5</v>
      </c>
      <c r="CD20" s="69">
        <v>3.0071599999999999E-5</v>
      </c>
      <c r="CE20" s="69">
        <v>2.92503E-5</v>
      </c>
      <c r="CF20" s="69">
        <v>2.84514E-5</v>
      </c>
      <c r="CG20" s="69">
        <v>2.76742E-5</v>
      </c>
      <c r="CH20" s="69">
        <v>2.6918199999999999E-5</v>
      </c>
      <c r="CI20" s="69">
        <v>2.6182699999999999E-5</v>
      </c>
      <c r="CJ20" s="69">
        <v>2.5467399999999999E-5</v>
      </c>
      <c r="CK20" s="69">
        <v>2.4771500000000002E-5</v>
      </c>
      <c r="CL20" s="69">
        <v>2.4094600000000001E-5</v>
      </c>
      <c r="CM20" s="69">
        <v>2.3436100000000001E-5</v>
      </c>
      <c r="CN20" s="69">
        <v>2.2795699999999999E-5</v>
      </c>
      <c r="CO20" s="69">
        <v>2.2172699999999999E-5</v>
      </c>
      <c r="CP20" s="69">
        <v>2.1566700000000001E-5</v>
      </c>
      <c r="CQ20" s="69">
        <v>2.09772E-5</v>
      </c>
      <c r="CR20" s="69">
        <v>2.0403799999999999E-5</v>
      </c>
      <c r="CS20" s="69">
        <v>1.98461E-5</v>
      </c>
      <c r="CT20" s="69">
        <v>1.9303599999999999E-5</v>
      </c>
      <c r="CU20" s="69">
        <v>1.8775900000000001E-5</v>
      </c>
      <c r="CV20" s="69">
        <v>1.82626E-5</v>
      </c>
      <c r="CW20" s="69">
        <v>1.77634E-5</v>
      </c>
      <c r="CX20" s="69">
        <v>1.7277699999999999E-5</v>
      </c>
      <c r="CY20" s="69">
        <v>1.68054E-5</v>
      </c>
      <c r="CZ20" s="69">
        <v>1.6345899999999999E-5</v>
      </c>
      <c r="DA20" s="69">
        <v>1.5899000000000001E-5</v>
      </c>
      <c r="DB20" s="69">
        <v>1.54643E-5</v>
      </c>
      <c r="DC20" s="69">
        <v>1.50415E-5</v>
      </c>
      <c r="DD20" s="69">
        <v>1.4630299999999999E-5</v>
      </c>
      <c r="DE20" s="69">
        <v>1.42302E-5</v>
      </c>
      <c r="DF20" s="69">
        <v>1.38411E-5</v>
      </c>
      <c r="DG20" s="69">
        <v>1.3462700000000001E-5</v>
      </c>
      <c r="DH20" s="69">
        <v>1.30946E-5</v>
      </c>
      <c r="DI20" s="69">
        <v>1.2736500000000001E-5</v>
      </c>
      <c r="DJ20" s="69">
        <v>1.2388199999999999E-5</v>
      </c>
      <c r="DK20" s="69">
        <v>1.20495E-5</v>
      </c>
      <c r="DL20" s="69">
        <v>1.172E-5</v>
      </c>
      <c r="DM20" s="69">
        <v>1.13995E-5</v>
      </c>
      <c r="DN20" s="69">
        <v>1.1087800000000001E-5</v>
      </c>
      <c r="DO20" s="69">
        <v>1.07846E-5</v>
      </c>
      <c r="DP20" s="69">
        <v>1.0489700000000001E-5</v>
      </c>
      <c r="DQ20" s="69">
        <v>1.02028E-5</v>
      </c>
      <c r="DR20" s="69">
        <v>9.9237999999999998E-6</v>
      </c>
      <c r="DS20" s="69">
        <v>9.6524999999999995E-6</v>
      </c>
      <c r="DT20" s="69">
        <v>9.3885E-6</v>
      </c>
      <c r="DU20" s="69">
        <v>9.1317999999999995E-6</v>
      </c>
      <c r="DV20" s="69">
        <v>8.8820000000000007E-6</v>
      </c>
      <c r="DW20" s="69">
        <v>8.6391E-6</v>
      </c>
      <c r="DX20" s="69">
        <v>8.4029000000000005E-6</v>
      </c>
      <c r="DY20" s="69">
        <v>8.1730999999999997E-6</v>
      </c>
      <c r="DZ20" s="69">
        <v>7.9495999999999992E-6</v>
      </c>
      <c r="EA20" s="69">
        <v>7.7322000000000003E-6</v>
      </c>
      <c r="EB20" s="69">
        <v>7.5206999999999998E-6</v>
      </c>
      <c r="EC20" s="69">
        <v>7.3150999999999996E-6</v>
      </c>
      <c r="ED20" s="69">
        <v>7.1149999999999996E-6</v>
      </c>
      <c r="EE20" s="69">
        <v>6.9203999999999998E-6</v>
      </c>
      <c r="EF20" s="69">
        <v>6.7312E-6</v>
      </c>
      <c r="EG20" s="69">
        <v>6.5471000000000004E-6</v>
      </c>
      <c r="EH20" s="69">
        <v>6.3679999999999998E-6</v>
      </c>
      <c r="EI20" s="69">
        <v>6.1939000000000001E-6</v>
      </c>
      <c r="EJ20" s="69">
        <v>6.0244999999999997E-6</v>
      </c>
      <c r="EK20" s="69">
        <v>5.8597E-6</v>
      </c>
      <c r="EL20" s="69">
        <v>5.6995000000000002E-6</v>
      </c>
      <c r="EM20" s="69">
        <v>5.5435999999999997E-6</v>
      </c>
      <c r="EN20" s="69">
        <v>5.3920000000000002E-6</v>
      </c>
      <c r="EO20" s="69">
        <v>5.2445000000000004E-6</v>
      </c>
      <c r="EP20" s="69">
        <v>5.1011000000000002E-6</v>
      </c>
      <c r="EQ20" s="69">
        <v>4.9616000000000001E-6</v>
      </c>
      <c r="ER20" s="69">
        <v>4.8258999999999998E-6</v>
      </c>
      <c r="ES20" s="69">
        <v>4.6939000000000001E-6</v>
      </c>
      <c r="ET20" s="69">
        <v>4.5656E-6</v>
      </c>
      <c r="EU20" s="69">
        <v>4.4406999999999997E-6</v>
      </c>
      <c r="EV20" s="69">
        <v>4.3193000000000003E-6</v>
      </c>
      <c r="EW20" s="69">
        <v>4.2011000000000003E-6</v>
      </c>
      <c r="EX20" s="69">
        <v>4.0861999999999999E-6</v>
      </c>
      <c r="EY20" s="69">
        <v>3.9744999999999998E-6</v>
      </c>
      <c r="EZ20" s="69">
        <v>3.8658000000000003E-6</v>
      </c>
      <c r="FA20" s="69">
        <v>3.7600999999999998E-6</v>
      </c>
      <c r="FB20" s="69">
        <v>3.6571999999999999E-6</v>
      </c>
      <c r="FC20" s="69">
        <v>3.5572E-6</v>
      </c>
      <c r="FD20" s="69">
        <v>3.4599000000000001E-6</v>
      </c>
      <c r="FE20" s="69">
        <v>3.3653000000000002E-6</v>
      </c>
      <c r="FF20" s="69">
        <v>3.2733000000000001E-6</v>
      </c>
      <c r="FG20" s="69">
        <v>3.1837999999999999E-6</v>
      </c>
      <c r="FH20" s="69">
        <v>3.0966999999999999E-6</v>
      </c>
      <c r="FI20" s="69">
        <v>3.0120000000000001E-6</v>
      </c>
      <c r="FJ20" s="69">
        <v>2.9295999999999999E-6</v>
      </c>
      <c r="FK20" s="69">
        <v>2.8495E-6</v>
      </c>
      <c r="FL20" s="69">
        <v>2.7715999999999999E-6</v>
      </c>
      <c r="FM20" s="69">
        <v>2.6958000000000001E-6</v>
      </c>
      <c r="FN20" s="69">
        <v>2.6220000000000001E-6</v>
      </c>
      <c r="FO20" s="69">
        <v>2.5503E-6</v>
      </c>
      <c r="FP20" s="69">
        <v>2.4806E-6</v>
      </c>
      <c r="FQ20" s="69">
        <v>2.4127000000000002E-6</v>
      </c>
    </row>
    <row r="21" spans="1:173" x14ac:dyDescent="0.25">
      <c r="A21" s="71">
        <v>19</v>
      </c>
      <c r="B21" s="69">
        <v>2.9369919999999998E-4</v>
      </c>
      <c r="C21" s="69">
        <v>2.8841750000000002E-4</v>
      </c>
      <c r="D21" s="69">
        <v>2.8307810000000001E-4</v>
      </c>
      <c r="E21" s="69">
        <v>2.7769760000000002E-4</v>
      </c>
      <c r="F21" s="69">
        <v>2.7229100000000003E-4</v>
      </c>
      <c r="G21" s="69">
        <v>2.6687230000000002E-4</v>
      </c>
      <c r="H21" s="69">
        <v>2.614537E-4</v>
      </c>
      <c r="I21" s="69">
        <v>2.5604669999999998E-4</v>
      </c>
      <c r="J21" s="69">
        <v>2.5066139999999998E-4</v>
      </c>
      <c r="K21" s="69">
        <v>2.4530690000000002E-4</v>
      </c>
      <c r="L21" s="69">
        <v>2.3999129999999999E-4</v>
      </c>
      <c r="M21" s="69">
        <v>2.3472209999999999E-4</v>
      </c>
      <c r="N21" s="69">
        <v>2.2950560000000001E-4</v>
      </c>
      <c r="O21" s="69">
        <v>2.2434749999999999E-4</v>
      </c>
      <c r="P21" s="69">
        <v>2.1925269999999999E-4</v>
      </c>
      <c r="Q21" s="69">
        <v>2.142256E-4</v>
      </c>
      <c r="R21" s="69">
        <v>2.0927000000000001E-4</v>
      </c>
      <c r="S21" s="69">
        <v>2.0438889999999999E-4</v>
      </c>
      <c r="T21" s="69">
        <v>1.995853E-4</v>
      </c>
      <c r="U21" s="69">
        <v>1.9486110000000001E-4</v>
      </c>
      <c r="V21" s="69">
        <v>1.902184E-4</v>
      </c>
      <c r="W21" s="69">
        <v>1.8565859999999999E-4</v>
      </c>
      <c r="X21" s="69">
        <v>1.811828E-4</v>
      </c>
      <c r="Y21" s="69">
        <v>1.767917E-4</v>
      </c>
      <c r="Z21" s="69">
        <v>1.724861E-4</v>
      </c>
      <c r="AA21" s="69">
        <v>1.6826610000000001E-4</v>
      </c>
      <c r="AB21" s="69">
        <v>1.6413190000000001E-4</v>
      </c>
      <c r="AC21" s="69">
        <v>1.6008330000000001E-4</v>
      </c>
      <c r="AD21" s="69">
        <v>1.561201E-4</v>
      </c>
      <c r="AE21" s="69">
        <v>1.522417E-4</v>
      </c>
      <c r="AF21" s="69">
        <v>1.4844749999999999E-4</v>
      </c>
      <c r="AG21" s="69">
        <v>1.447369E-4</v>
      </c>
      <c r="AH21" s="69">
        <v>1.411091E-4</v>
      </c>
      <c r="AI21" s="69">
        <v>1.37563E-4</v>
      </c>
      <c r="AJ21" s="69">
        <v>1.3409770000000001E-4</v>
      </c>
      <c r="AK21" s="69">
        <v>1.3071210000000001E-4</v>
      </c>
      <c r="AL21" s="69">
        <v>1.2740510000000001E-4</v>
      </c>
      <c r="AM21" s="69">
        <v>1.241755E-4</v>
      </c>
      <c r="AN21" s="69">
        <v>1.210219E-4</v>
      </c>
      <c r="AO21" s="69">
        <v>1.179433E-4</v>
      </c>
      <c r="AP21" s="69">
        <v>1.149382E-4</v>
      </c>
      <c r="AQ21" s="69">
        <v>1.120053E-4</v>
      </c>
      <c r="AR21" s="69">
        <v>1.091433E-4</v>
      </c>
      <c r="AS21" s="69">
        <v>1.0635090000000001E-4</v>
      </c>
      <c r="AT21" s="69">
        <v>1.036266E-4</v>
      </c>
      <c r="AU21" s="69">
        <v>1.009691E-4</v>
      </c>
      <c r="AV21" s="69">
        <v>9.8377100000000004E-5</v>
      </c>
      <c r="AW21" s="69">
        <v>9.5849100000000004E-5</v>
      </c>
      <c r="AX21" s="69">
        <v>9.3383799999999999E-5</v>
      </c>
      <c r="AY21" s="69">
        <v>9.0979900000000006E-5</v>
      </c>
      <c r="AZ21" s="69">
        <v>8.8635999999999996E-5</v>
      </c>
      <c r="BA21" s="69">
        <v>8.63508E-5</v>
      </c>
      <c r="BB21" s="69">
        <v>8.4122900000000001E-5</v>
      </c>
      <c r="BC21" s="69">
        <v>8.1951099999999995E-5</v>
      </c>
      <c r="BD21" s="69">
        <v>7.9834100000000002E-5</v>
      </c>
      <c r="BE21" s="69">
        <v>7.7770700000000004E-5</v>
      </c>
      <c r="BF21" s="69">
        <v>7.5759400000000005E-5</v>
      </c>
      <c r="BG21" s="69">
        <v>7.3799299999999997E-5</v>
      </c>
      <c r="BH21" s="69">
        <v>7.1888899999999995E-5</v>
      </c>
      <c r="BI21" s="69">
        <v>7.0027199999999999E-5</v>
      </c>
      <c r="BJ21" s="69">
        <v>6.8213000000000006E-5</v>
      </c>
      <c r="BK21" s="69">
        <v>6.6445099999999998E-5</v>
      </c>
      <c r="BL21" s="69">
        <v>6.4722500000000002E-5</v>
      </c>
      <c r="BM21" s="69">
        <v>6.3043899999999995E-5</v>
      </c>
      <c r="BN21" s="69">
        <v>6.1408400000000007E-5</v>
      </c>
      <c r="BO21" s="69">
        <v>5.9814800000000002E-5</v>
      </c>
      <c r="BP21" s="69">
        <v>5.8262199999999999E-5</v>
      </c>
      <c r="BQ21" s="69">
        <v>5.6749500000000003E-5</v>
      </c>
      <c r="BR21" s="69">
        <v>5.5275699999999997E-5</v>
      </c>
      <c r="BS21" s="69">
        <v>5.3839899999999999E-5</v>
      </c>
      <c r="BT21" s="69">
        <v>5.2441100000000002E-5</v>
      </c>
      <c r="BU21" s="69">
        <v>5.1078400000000002E-5</v>
      </c>
      <c r="BV21" s="69">
        <v>4.9750799999999998E-5</v>
      </c>
      <c r="BW21" s="69">
        <v>4.8457500000000001E-5</v>
      </c>
      <c r="BX21" s="69">
        <v>4.7197699999999997E-5</v>
      </c>
      <c r="BY21" s="69">
        <v>4.5970400000000003E-5</v>
      </c>
      <c r="BZ21" s="69">
        <v>4.4774899999999997E-5</v>
      </c>
      <c r="CA21" s="69">
        <v>4.3610299999999998E-5</v>
      </c>
      <c r="CB21" s="69">
        <v>4.2475899999999998E-5</v>
      </c>
      <c r="CC21" s="69">
        <v>4.1370900000000001E-5</v>
      </c>
      <c r="CD21" s="69">
        <v>4.0294499999999999E-5</v>
      </c>
      <c r="CE21" s="69">
        <v>3.9246000000000003E-5</v>
      </c>
      <c r="CF21" s="69">
        <v>3.82247E-5</v>
      </c>
      <c r="CG21" s="69">
        <v>3.7229900000000001E-5</v>
      </c>
      <c r="CH21" s="69">
        <v>3.6260899999999997E-5</v>
      </c>
      <c r="CI21" s="69">
        <v>3.5317000000000001E-5</v>
      </c>
      <c r="CJ21" s="69">
        <v>3.4397699999999998E-5</v>
      </c>
      <c r="CK21" s="69">
        <v>3.3502199999999999E-5</v>
      </c>
      <c r="CL21" s="69">
        <v>3.2629999999999998E-5</v>
      </c>
      <c r="CM21" s="69">
        <v>3.1780399999999998E-5</v>
      </c>
      <c r="CN21" s="69">
        <v>3.09529E-5</v>
      </c>
      <c r="CO21" s="69">
        <v>3.0147000000000001E-5</v>
      </c>
      <c r="CP21" s="69">
        <v>2.9361900000000001E-5</v>
      </c>
      <c r="CQ21" s="69">
        <v>2.8597300000000001E-5</v>
      </c>
      <c r="CR21" s="69">
        <v>2.7852600000000002E-5</v>
      </c>
      <c r="CS21" s="69">
        <v>2.71272E-5</v>
      </c>
      <c r="CT21" s="69">
        <v>2.6420699999999999E-5</v>
      </c>
      <c r="CU21" s="69">
        <v>2.5732600000000002E-5</v>
      </c>
      <c r="CV21" s="69">
        <v>2.5062399999999999E-5</v>
      </c>
      <c r="CW21" s="69">
        <v>2.4409600000000001E-5</v>
      </c>
      <c r="CX21" s="69">
        <v>2.3773799999999999E-5</v>
      </c>
      <c r="CY21" s="69">
        <v>2.31545E-5</v>
      </c>
      <c r="CZ21" s="69">
        <v>2.2551399999999999E-5</v>
      </c>
      <c r="DA21" s="69">
        <v>2.1963900000000002E-5</v>
      </c>
      <c r="DB21" s="69">
        <v>2.1391800000000001E-5</v>
      </c>
      <c r="DC21" s="69">
        <v>2.0834499999999998E-5</v>
      </c>
      <c r="DD21" s="69">
        <v>2.0291800000000001E-5</v>
      </c>
      <c r="DE21" s="69">
        <v>1.9763200000000001E-5</v>
      </c>
      <c r="DF21" s="69">
        <v>1.92483E-5</v>
      </c>
      <c r="DG21" s="69">
        <v>1.8746800000000002E-5</v>
      </c>
      <c r="DH21" s="69">
        <v>1.8258400000000001E-5</v>
      </c>
      <c r="DI21" s="69">
        <v>1.7782799999999999E-5</v>
      </c>
      <c r="DJ21" s="69">
        <v>1.7319499999999999E-5</v>
      </c>
      <c r="DK21" s="69">
        <v>1.6868199999999999E-5</v>
      </c>
      <c r="DL21" s="69">
        <v>1.6428800000000001E-5</v>
      </c>
      <c r="DM21" s="69">
        <v>1.6000700000000001E-5</v>
      </c>
      <c r="DN21" s="69">
        <v>1.5583900000000002E-5</v>
      </c>
      <c r="DO21" s="69">
        <v>1.5177800000000001E-5</v>
      </c>
      <c r="DP21" s="69">
        <v>1.4782399999999999E-5</v>
      </c>
      <c r="DQ21" s="69">
        <v>1.43972E-5</v>
      </c>
      <c r="DR21" s="69">
        <v>1.4022100000000001E-5</v>
      </c>
      <c r="DS21" s="69">
        <v>1.3656799999999999E-5</v>
      </c>
      <c r="DT21" s="69">
        <v>1.33009E-5</v>
      </c>
      <c r="DU21" s="69">
        <v>1.2954399999999999E-5</v>
      </c>
      <c r="DV21" s="69">
        <v>1.2616899999999999E-5</v>
      </c>
      <c r="DW21" s="69">
        <v>1.22881E-5</v>
      </c>
      <c r="DX21" s="69">
        <v>1.1967899999999999E-5</v>
      </c>
      <c r="DY21" s="69">
        <v>1.16561E-5</v>
      </c>
      <c r="DZ21" s="69">
        <v>1.13524E-5</v>
      </c>
      <c r="EA21" s="69">
        <v>1.10566E-5</v>
      </c>
      <c r="EB21" s="69">
        <v>1.07685E-5</v>
      </c>
      <c r="EC21" s="69">
        <v>1.04879E-5</v>
      </c>
      <c r="ED21" s="69">
        <v>1.0214700000000001E-5</v>
      </c>
      <c r="EE21" s="69">
        <v>9.9484999999999997E-6</v>
      </c>
      <c r="EF21" s="69">
        <v>9.6893000000000006E-6</v>
      </c>
      <c r="EG21" s="69">
        <v>9.4367999999999992E-6</v>
      </c>
      <c r="EH21" s="69">
        <v>9.1909000000000004E-6</v>
      </c>
      <c r="EI21" s="69">
        <v>8.9514000000000004E-6</v>
      </c>
      <c r="EJ21" s="69">
        <v>8.7182000000000007E-6</v>
      </c>
      <c r="EK21" s="69">
        <v>8.4910000000000005E-6</v>
      </c>
      <c r="EL21" s="69">
        <v>8.2698E-6</v>
      </c>
      <c r="EM21" s="69">
        <v>8.0543000000000001E-6</v>
      </c>
      <c r="EN21" s="69">
        <v>7.8444000000000007E-6</v>
      </c>
      <c r="EO21" s="69">
        <v>7.6399999999999997E-6</v>
      </c>
      <c r="EP21" s="69">
        <v>7.4409000000000002E-6</v>
      </c>
      <c r="EQ21" s="69">
        <v>7.2470999999999996E-6</v>
      </c>
      <c r="ER21" s="69">
        <v>7.0581999999999996E-6</v>
      </c>
      <c r="ES21" s="69">
        <v>6.8743000000000004E-6</v>
      </c>
      <c r="ET21" s="69">
        <v>6.6951999999999999E-6</v>
      </c>
      <c r="EU21" s="69">
        <v>6.5207000000000001E-6</v>
      </c>
      <c r="EV21" s="69">
        <v>6.3508000000000002E-6</v>
      </c>
      <c r="EW21" s="69">
        <v>6.1852999999999999E-6</v>
      </c>
      <c r="EX21" s="69">
        <v>6.0241999999999999E-6</v>
      </c>
      <c r="EY21" s="69">
        <v>5.8672000000000003E-6</v>
      </c>
      <c r="EZ21" s="69">
        <v>5.7142999999999997E-6</v>
      </c>
      <c r="FA21" s="69">
        <v>5.5654000000000001E-6</v>
      </c>
      <c r="FB21" s="69">
        <v>5.4203999999999998E-6</v>
      </c>
      <c r="FC21" s="69">
        <v>5.2791E-6</v>
      </c>
      <c r="FD21" s="69">
        <v>5.1416E-6</v>
      </c>
      <c r="FE21" s="69">
        <v>5.0076000000000001E-6</v>
      </c>
      <c r="FF21" s="69">
        <v>4.8771000000000003E-6</v>
      </c>
      <c r="FG21" s="69">
        <v>4.7500000000000003E-6</v>
      </c>
      <c r="FH21" s="69">
        <v>4.6263000000000001E-6</v>
      </c>
      <c r="FI21" s="69">
        <v>4.5056999999999999E-6</v>
      </c>
      <c r="FJ21" s="69">
        <v>4.3883E-6</v>
      </c>
      <c r="FK21" s="69">
        <v>4.2740000000000001E-6</v>
      </c>
      <c r="FL21" s="69">
        <v>4.1625999999999998E-6</v>
      </c>
      <c r="FM21" s="69">
        <v>4.0540999999999999E-6</v>
      </c>
      <c r="FN21" s="69">
        <v>3.9485000000000004E-6</v>
      </c>
      <c r="FO21" s="69">
        <v>3.8456000000000001E-6</v>
      </c>
      <c r="FP21" s="69">
        <v>3.7454000000000002E-6</v>
      </c>
      <c r="FQ21" s="69">
        <v>3.6478E-6</v>
      </c>
    </row>
    <row r="22" spans="1:173" x14ac:dyDescent="0.25">
      <c r="A22" s="71">
        <v>20</v>
      </c>
      <c r="B22" s="69">
        <v>3.2137049999999998E-4</v>
      </c>
      <c r="C22" s="69">
        <v>3.1554439999999999E-4</v>
      </c>
      <c r="D22" s="69">
        <v>3.0970379999999999E-4</v>
      </c>
      <c r="E22" s="69">
        <v>3.0386140000000002E-4</v>
      </c>
      <c r="F22" s="69">
        <v>2.9802829999999998E-4</v>
      </c>
      <c r="G22" s="69">
        <v>2.9221480000000001E-4</v>
      </c>
      <c r="H22" s="69">
        <v>2.8643000000000001E-4</v>
      </c>
      <c r="I22" s="69">
        <v>2.8068210000000001E-4</v>
      </c>
      <c r="J22" s="69">
        <v>2.7497859999999998E-4</v>
      </c>
      <c r="K22" s="69">
        <v>2.6932600000000002E-4</v>
      </c>
      <c r="L22" s="69">
        <v>2.6373E-4</v>
      </c>
      <c r="M22" s="69">
        <v>2.581959E-4</v>
      </c>
      <c r="N22" s="69">
        <v>2.5272800000000002E-4</v>
      </c>
      <c r="O22" s="69">
        <v>2.4733040000000001E-4</v>
      </c>
      <c r="P22" s="69">
        <v>2.4200639999999999E-4</v>
      </c>
      <c r="Q22" s="69">
        <v>2.3675890000000001E-4</v>
      </c>
      <c r="R22" s="69">
        <v>2.3159029999999999E-4</v>
      </c>
      <c r="S22" s="69">
        <v>2.265027E-4</v>
      </c>
      <c r="T22" s="69">
        <v>2.2149769999999999E-4</v>
      </c>
      <c r="U22" s="69">
        <v>2.165767E-4</v>
      </c>
      <c r="V22" s="69">
        <v>2.117407E-4</v>
      </c>
      <c r="W22" s="69">
        <v>2.069905E-4</v>
      </c>
      <c r="X22" s="69">
        <v>2.023266E-4</v>
      </c>
      <c r="Y22" s="69">
        <v>1.9774920000000001E-4</v>
      </c>
      <c r="Z22" s="69">
        <v>1.932584E-4</v>
      </c>
      <c r="AA22" s="69">
        <v>1.888541E-4</v>
      </c>
      <c r="AB22" s="69">
        <v>1.8453609999999999E-4</v>
      </c>
      <c r="AC22" s="69">
        <v>1.8030389999999999E-4</v>
      </c>
      <c r="AD22" s="69">
        <v>1.76157E-4</v>
      </c>
      <c r="AE22" s="69">
        <v>1.7209460000000001E-4</v>
      </c>
      <c r="AF22" s="69">
        <v>1.6811619999999999E-4</v>
      </c>
      <c r="AG22" s="69">
        <v>1.6422069999999999E-4</v>
      </c>
      <c r="AH22" s="69">
        <v>1.6040729999999999E-4</v>
      </c>
      <c r="AI22" s="69">
        <v>1.56675E-4</v>
      </c>
      <c r="AJ22" s="69">
        <v>1.5302269999999999E-4</v>
      </c>
      <c r="AK22" s="69">
        <v>1.494492E-4</v>
      </c>
      <c r="AL22" s="69">
        <v>1.459536E-4</v>
      </c>
      <c r="AM22" s="69">
        <v>1.425345E-4</v>
      </c>
      <c r="AN22" s="69">
        <v>1.391908E-4</v>
      </c>
      <c r="AO22" s="69">
        <v>1.3592119999999999E-4</v>
      </c>
      <c r="AP22" s="69">
        <v>1.327244E-4</v>
      </c>
      <c r="AQ22" s="69">
        <v>1.295992E-4</v>
      </c>
      <c r="AR22" s="69">
        <v>1.2654429999999999E-4</v>
      </c>
      <c r="AS22" s="69">
        <v>1.2355849999999999E-4</v>
      </c>
      <c r="AT22" s="69">
        <v>1.206403E-4</v>
      </c>
      <c r="AU22" s="69">
        <v>1.177885E-4</v>
      </c>
      <c r="AV22" s="69">
        <v>1.150019E-4</v>
      </c>
      <c r="AW22" s="69">
        <v>1.1227909999999999E-4</v>
      </c>
      <c r="AX22" s="69">
        <v>1.096189E-4</v>
      </c>
      <c r="AY22" s="69">
        <v>1.0702E-4</v>
      </c>
      <c r="AZ22" s="69">
        <v>1.044811E-4</v>
      </c>
      <c r="BA22" s="69">
        <v>1.02001E-4</v>
      </c>
      <c r="BB22" s="69">
        <v>9.9578499999999995E-5</v>
      </c>
      <c r="BC22" s="69">
        <v>9.7212200000000004E-5</v>
      </c>
      <c r="BD22" s="69">
        <v>9.4901099999999998E-5</v>
      </c>
      <c r="BE22" s="69">
        <v>9.2644000000000003E-5</v>
      </c>
      <c r="BF22" s="69">
        <v>9.0439599999999994E-5</v>
      </c>
      <c r="BG22" s="69">
        <v>8.8286800000000003E-5</v>
      </c>
      <c r="BH22" s="69">
        <v>8.6184600000000002E-5</v>
      </c>
      <c r="BI22" s="69">
        <v>8.4131700000000006E-5</v>
      </c>
      <c r="BJ22" s="69">
        <v>8.2126999999999995E-5</v>
      </c>
      <c r="BK22" s="69">
        <v>8.0169500000000006E-5</v>
      </c>
      <c r="BL22" s="69">
        <v>7.8258199999999996E-5</v>
      </c>
      <c r="BM22" s="69">
        <v>7.6391900000000003E-5</v>
      </c>
      <c r="BN22" s="69">
        <v>7.4569799999999999E-5</v>
      </c>
      <c r="BO22" s="69">
        <v>7.2790600000000001E-5</v>
      </c>
      <c r="BP22" s="69">
        <v>7.10536E-5</v>
      </c>
      <c r="BQ22" s="69">
        <v>6.9357700000000002E-5</v>
      </c>
      <c r="BR22" s="69">
        <v>6.7701900000000003E-5</v>
      </c>
      <c r="BS22" s="69">
        <v>6.6085400000000003E-5</v>
      </c>
      <c r="BT22" s="69">
        <v>6.4507300000000005E-5</v>
      </c>
      <c r="BU22" s="69">
        <v>6.2966599999999994E-5</v>
      </c>
      <c r="BV22" s="69">
        <v>6.1462499999999996E-5</v>
      </c>
      <c r="BW22" s="69">
        <v>5.9994100000000002E-5</v>
      </c>
      <c r="BX22" s="69">
        <v>5.8560600000000003E-5</v>
      </c>
      <c r="BY22" s="69">
        <v>5.7161199999999997E-5</v>
      </c>
      <c r="BZ22" s="69">
        <v>5.5795099999999997E-5</v>
      </c>
      <c r="CA22" s="69">
        <v>5.44616E-5</v>
      </c>
      <c r="CB22" s="69">
        <v>5.3159699999999999E-5</v>
      </c>
      <c r="CC22" s="69">
        <v>5.1888899999999997E-5</v>
      </c>
      <c r="CD22" s="69">
        <v>5.0648400000000001E-5</v>
      </c>
      <c r="CE22" s="69">
        <v>4.9437400000000002E-5</v>
      </c>
      <c r="CF22" s="69">
        <v>4.8255299999999999E-5</v>
      </c>
      <c r="CG22" s="69">
        <v>4.7101400000000003E-5</v>
      </c>
      <c r="CH22" s="69">
        <v>4.5974999999999999E-5</v>
      </c>
      <c r="CI22" s="69">
        <v>4.4875500000000001E-5</v>
      </c>
      <c r="CJ22" s="69">
        <v>4.3802199999999999E-5</v>
      </c>
      <c r="CK22" s="69">
        <v>4.2754499999999999E-5</v>
      </c>
      <c r="CL22" s="69">
        <v>4.1731899999999999E-5</v>
      </c>
      <c r="CM22" s="69">
        <v>4.0733599999999999E-5</v>
      </c>
      <c r="CN22" s="69">
        <v>3.9759199999999997E-5</v>
      </c>
      <c r="CO22" s="69">
        <v>3.8808099999999999E-5</v>
      </c>
      <c r="CP22" s="69">
        <v>3.7879700000000003E-5</v>
      </c>
      <c r="CQ22" s="69">
        <v>3.6973400000000001E-5</v>
      </c>
      <c r="CR22" s="69">
        <v>3.6088799999999999E-5</v>
      </c>
      <c r="CS22" s="69">
        <v>3.5225400000000003E-5</v>
      </c>
      <c r="CT22" s="69">
        <v>3.4382599999999998E-5</v>
      </c>
      <c r="CU22" s="69">
        <v>3.3559899999999997E-5</v>
      </c>
      <c r="CV22" s="69">
        <v>3.2756899999999998E-5</v>
      </c>
      <c r="CW22" s="69">
        <v>3.1973100000000001E-5</v>
      </c>
      <c r="CX22" s="69">
        <v>3.1207999999999997E-5</v>
      </c>
      <c r="CY22" s="69">
        <v>3.0461299999999999E-5</v>
      </c>
      <c r="CZ22" s="69">
        <v>2.97324E-5</v>
      </c>
      <c r="DA22" s="69">
        <v>2.9020899999999999E-5</v>
      </c>
      <c r="DB22" s="69">
        <v>2.83264E-5</v>
      </c>
      <c r="DC22" s="69">
        <v>2.7648500000000001E-5</v>
      </c>
      <c r="DD22" s="69">
        <v>2.6986900000000001E-5</v>
      </c>
      <c r="DE22" s="69">
        <v>2.6341000000000001E-5</v>
      </c>
      <c r="DF22" s="69">
        <v>2.5710700000000001E-5</v>
      </c>
      <c r="DG22" s="69">
        <v>2.50954E-5</v>
      </c>
      <c r="DH22" s="69">
        <v>2.4494800000000001E-5</v>
      </c>
      <c r="DI22" s="69">
        <v>2.39086E-5</v>
      </c>
      <c r="DJ22" s="69">
        <v>2.3336399999999999E-5</v>
      </c>
      <c r="DK22" s="69">
        <v>2.2777900000000001E-5</v>
      </c>
      <c r="DL22" s="69">
        <v>2.2232700000000001E-5</v>
      </c>
      <c r="DM22" s="69">
        <v>2.17006E-5</v>
      </c>
      <c r="DN22" s="69">
        <v>2.11812E-5</v>
      </c>
      <c r="DO22" s="69">
        <v>2.06743E-5</v>
      </c>
      <c r="DP22" s="69">
        <v>2.0179499999999999E-5</v>
      </c>
      <c r="DQ22" s="69">
        <v>1.96965E-5</v>
      </c>
      <c r="DR22" s="69">
        <v>1.92251E-5</v>
      </c>
      <c r="DS22" s="69">
        <v>1.8765000000000001E-5</v>
      </c>
      <c r="DT22" s="69">
        <v>1.8315799999999998E-5</v>
      </c>
      <c r="DU22" s="69">
        <v>1.78775E-5</v>
      </c>
      <c r="DV22" s="69">
        <v>1.74496E-5</v>
      </c>
      <c r="DW22" s="69">
        <v>1.7031899999999999E-5</v>
      </c>
      <c r="DX22" s="69">
        <v>1.6624299999999999E-5</v>
      </c>
      <c r="DY22" s="69">
        <v>1.6226400000000001E-5</v>
      </c>
      <c r="DZ22" s="69">
        <v>1.5838E-5</v>
      </c>
      <c r="EA22" s="69">
        <v>1.5458899999999999E-5</v>
      </c>
      <c r="EB22" s="69">
        <v>1.50889E-5</v>
      </c>
      <c r="EC22" s="69">
        <v>1.47278E-5</v>
      </c>
      <c r="ED22" s="69">
        <v>1.4375299999999999E-5</v>
      </c>
      <c r="EE22" s="69">
        <v>1.40312E-5</v>
      </c>
      <c r="EF22" s="69">
        <v>1.3695300000000001E-5</v>
      </c>
      <c r="EG22" s="69">
        <v>1.33675E-5</v>
      </c>
      <c r="EH22" s="69">
        <v>1.30476E-5</v>
      </c>
      <c r="EI22" s="69">
        <v>1.27353E-5</v>
      </c>
      <c r="EJ22" s="69">
        <v>1.2430500000000001E-5</v>
      </c>
      <c r="EK22" s="69">
        <v>1.21329E-5</v>
      </c>
      <c r="EL22" s="69">
        <v>1.1842500000000001E-5</v>
      </c>
      <c r="EM22" s="69">
        <v>1.1559099999999999E-5</v>
      </c>
      <c r="EN22" s="69">
        <v>1.1282400000000001E-5</v>
      </c>
      <c r="EO22" s="69">
        <v>1.10124E-5</v>
      </c>
      <c r="EP22" s="69">
        <v>1.0748799999999999E-5</v>
      </c>
      <c r="EQ22" s="69">
        <v>1.0491499999999999E-5</v>
      </c>
      <c r="ER22" s="69">
        <v>1.0240399999999999E-5</v>
      </c>
      <c r="ES22" s="69">
        <v>9.9953000000000007E-6</v>
      </c>
      <c r="ET22" s="69">
        <v>9.7559999999999994E-6</v>
      </c>
      <c r="EU22" s="69">
        <v>9.5225000000000007E-6</v>
      </c>
      <c r="EV22" s="69">
        <v>9.2946000000000008E-6</v>
      </c>
      <c r="EW22" s="69">
        <v>9.0721000000000008E-6</v>
      </c>
      <c r="EX22" s="69">
        <v>8.8550000000000008E-6</v>
      </c>
      <c r="EY22" s="69">
        <v>8.6430000000000001E-6</v>
      </c>
      <c r="EZ22" s="69">
        <v>8.4361000000000004E-6</v>
      </c>
      <c r="FA22" s="69">
        <v>8.2341999999999999E-6</v>
      </c>
      <c r="FB22" s="69">
        <v>8.0370999999999997E-6</v>
      </c>
      <c r="FC22" s="69">
        <v>7.8446999999999996E-6</v>
      </c>
      <c r="FD22" s="69">
        <v>7.6569999999999997E-6</v>
      </c>
      <c r="FE22" s="69">
        <v>7.4737000000000001E-6</v>
      </c>
      <c r="FF22" s="69">
        <v>7.2948E-6</v>
      </c>
      <c r="FG22" s="69">
        <v>7.1202E-6</v>
      </c>
      <c r="FH22" s="69">
        <v>6.9497999999999999E-6</v>
      </c>
      <c r="FI22" s="69">
        <v>6.7834000000000001E-6</v>
      </c>
      <c r="FJ22" s="69">
        <v>6.6211E-6</v>
      </c>
      <c r="FK22" s="69">
        <v>6.4625999999999998E-6</v>
      </c>
      <c r="FL22" s="69">
        <v>6.3079000000000002E-6</v>
      </c>
      <c r="FM22" s="69">
        <v>6.1569000000000003E-6</v>
      </c>
      <c r="FN22" s="69">
        <v>6.0094999999999998E-6</v>
      </c>
      <c r="FO22" s="69">
        <v>5.8656999999999996E-6</v>
      </c>
      <c r="FP22" s="69">
        <v>5.7253000000000001E-6</v>
      </c>
      <c r="FQ22" s="69">
        <v>5.5882000000000001E-6</v>
      </c>
    </row>
    <row r="23" spans="1:173" x14ac:dyDescent="0.25">
      <c r="A23" s="71">
        <v>21</v>
      </c>
      <c r="B23" s="69">
        <v>3.3936220000000002E-4</v>
      </c>
      <c r="C23" s="69">
        <v>3.3319259999999999E-4</v>
      </c>
      <c r="D23" s="69">
        <v>3.2703799999999998E-4</v>
      </c>
      <c r="E23" s="69">
        <v>3.2090789999999998E-4</v>
      </c>
      <c r="F23" s="69">
        <v>3.1481100000000002E-4</v>
      </c>
      <c r="G23" s="69">
        <v>3.0875500000000002E-4</v>
      </c>
      <c r="H23" s="69">
        <v>3.0274689999999999E-4</v>
      </c>
      <c r="I23" s="69">
        <v>2.9679270000000001E-4</v>
      </c>
      <c r="J23" s="69">
        <v>2.9089790000000001E-4</v>
      </c>
      <c r="K23" s="69">
        <v>2.8506750000000002E-4</v>
      </c>
      <c r="L23" s="69">
        <v>2.7930549999999999E-4</v>
      </c>
      <c r="M23" s="69">
        <v>2.736158E-4</v>
      </c>
      <c r="N23" s="69">
        <v>2.680014E-4</v>
      </c>
      <c r="O23" s="69">
        <v>2.6246510000000001E-4</v>
      </c>
      <c r="P23" s="69">
        <v>2.5700920000000001E-4</v>
      </c>
      <c r="Q23" s="69">
        <v>2.5163559999999999E-4</v>
      </c>
      <c r="R23" s="69">
        <v>2.4634599999999999E-4</v>
      </c>
      <c r="S23" s="69">
        <v>2.4114150000000001E-4</v>
      </c>
      <c r="T23" s="69">
        <v>2.3602310000000001E-4</v>
      </c>
      <c r="U23" s="69">
        <v>2.3099169999999999E-4</v>
      </c>
      <c r="V23" s="69">
        <v>2.2604750000000001E-4</v>
      </c>
      <c r="W23" s="69">
        <v>2.21191E-4</v>
      </c>
      <c r="X23" s="69">
        <v>2.164221E-4</v>
      </c>
      <c r="Y23" s="69">
        <v>2.1174090000000001E-4</v>
      </c>
      <c r="Z23" s="69">
        <v>2.0714689999999999E-4</v>
      </c>
      <c r="AA23" s="69">
        <v>2.0263989999999999E-4</v>
      </c>
      <c r="AB23" s="69">
        <v>1.9821929999999999E-4</v>
      </c>
      <c r="AC23" s="69">
        <v>1.9388439999999999E-4</v>
      </c>
      <c r="AD23" s="69">
        <v>1.8963469999999999E-4</v>
      </c>
      <c r="AE23" s="69">
        <v>1.854692E-4</v>
      </c>
      <c r="AF23" s="69">
        <v>1.81387E-4</v>
      </c>
      <c r="AG23" s="69">
        <v>1.7738730000000001E-4</v>
      </c>
      <c r="AH23" s="69">
        <v>1.7346890000000001E-4</v>
      </c>
      <c r="AI23" s="69">
        <v>1.696309E-4</v>
      </c>
      <c r="AJ23" s="69">
        <v>1.6587209999999999E-4</v>
      </c>
      <c r="AK23" s="69">
        <v>1.6219149999999999E-4</v>
      </c>
      <c r="AL23" s="69">
        <v>1.5858770000000001E-4</v>
      </c>
      <c r="AM23" s="69">
        <v>1.550597E-4</v>
      </c>
      <c r="AN23" s="69">
        <v>1.516062E-4</v>
      </c>
      <c r="AO23" s="69">
        <v>1.48226E-4</v>
      </c>
      <c r="AP23" s="69">
        <v>1.449179E-4</v>
      </c>
      <c r="AQ23" s="69">
        <v>1.4168049999999999E-4</v>
      </c>
      <c r="AR23" s="69">
        <v>1.385127E-4</v>
      </c>
      <c r="AS23" s="69">
        <v>1.3541329999999999E-4</v>
      </c>
      <c r="AT23" s="69">
        <v>1.323808E-4</v>
      </c>
      <c r="AU23" s="69">
        <v>1.2941419999999999E-4</v>
      </c>
      <c r="AV23" s="69">
        <v>1.2651209999999999E-4</v>
      </c>
      <c r="AW23" s="69">
        <v>1.236733E-4</v>
      </c>
      <c r="AX23" s="69">
        <v>1.208967E-4</v>
      </c>
      <c r="AY23" s="69">
        <v>1.1818090000000001E-4</v>
      </c>
      <c r="AZ23" s="69">
        <v>1.155247E-4</v>
      </c>
      <c r="BA23" s="69">
        <v>1.12927E-4</v>
      </c>
      <c r="BB23" s="69">
        <v>1.103867E-4</v>
      </c>
      <c r="BC23" s="69">
        <v>1.079024E-4</v>
      </c>
      <c r="BD23" s="69">
        <v>1.054731E-4</v>
      </c>
      <c r="BE23" s="69">
        <v>1.030977E-4</v>
      </c>
      <c r="BF23" s="69">
        <v>1.007749E-4</v>
      </c>
      <c r="BG23" s="69">
        <v>9.8503800000000004E-5</v>
      </c>
      <c r="BH23" s="69">
        <v>9.62832E-5</v>
      </c>
      <c r="BI23" s="69">
        <v>9.4112100000000003E-5</v>
      </c>
      <c r="BJ23" s="69">
        <v>9.1989299999999997E-5</v>
      </c>
      <c r="BK23" s="69">
        <v>8.9913999999999993E-5</v>
      </c>
      <c r="BL23" s="69">
        <v>8.7885000000000003E-5</v>
      </c>
      <c r="BM23" s="69">
        <v>8.5901400000000004E-5</v>
      </c>
      <c r="BN23" s="69">
        <v>8.3962199999999994E-5</v>
      </c>
      <c r="BO23" s="69">
        <v>8.2066399999999997E-5</v>
      </c>
      <c r="BP23" s="69">
        <v>8.0213100000000006E-5</v>
      </c>
      <c r="BQ23" s="69">
        <v>7.8401399999999998E-5</v>
      </c>
      <c r="BR23" s="69">
        <v>7.6630299999999997E-5</v>
      </c>
      <c r="BS23" s="69">
        <v>7.4899000000000002E-5</v>
      </c>
      <c r="BT23" s="69">
        <v>7.3206600000000005E-5</v>
      </c>
      <c r="BU23" s="69">
        <v>7.1552199999999996E-5</v>
      </c>
      <c r="BV23" s="69">
        <v>6.9935E-5</v>
      </c>
      <c r="BW23" s="69">
        <v>6.8354200000000004E-5</v>
      </c>
      <c r="BX23" s="69">
        <v>6.6809000000000004E-5</v>
      </c>
      <c r="BY23" s="69">
        <v>6.5298599999999999E-5</v>
      </c>
      <c r="BZ23" s="69">
        <v>6.38222E-5</v>
      </c>
      <c r="CA23" s="69">
        <v>6.23791E-5</v>
      </c>
      <c r="CB23" s="69">
        <v>6.0968399999999997E-5</v>
      </c>
      <c r="CC23" s="69">
        <v>5.9589600000000003E-5</v>
      </c>
      <c r="CD23" s="69">
        <v>5.8241900000000002E-5</v>
      </c>
      <c r="CE23" s="69">
        <v>5.69246E-5</v>
      </c>
      <c r="CF23" s="69">
        <v>5.5636900000000003E-5</v>
      </c>
      <c r="CG23" s="69">
        <v>5.4378400000000001E-5</v>
      </c>
      <c r="CH23" s="69">
        <v>5.3148300000000001E-5</v>
      </c>
      <c r="CI23" s="69">
        <v>5.19459E-5</v>
      </c>
      <c r="CJ23" s="69">
        <v>5.0770699999999998E-5</v>
      </c>
      <c r="CK23" s="69">
        <v>4.9622E-5</v>
      </c>
      <c r="CL23" s="69">
        <v>4.8499199999999998E-5</v>
      </c>
      <c r="CM23" s="69">
        <v>4.7401899999999998E-5</v>
      </c>
      <c r="CN23" s="69">
        <v>4.6329299999999997E-5</v>
      </c>
      <c r="CO23" s="69">
        <v>4.5280900000000002E-5</v>
      </c>
      <c r="CP23" s="69">
        <v>4.4256299999999998E-5</v>
      </c>
      <c r="CQ23" s="69">
        <v>4.3254799999999998E-5</v>
      </c>
      <c r="CR23" s="69">
        <v>4.22759E-5</v>
      </c>
      <c r="CS23" s="69">
        <v>4.1319200000000002E-5</v>
      </c>
      <c r="CT23" s="69">
        <v>4.0384099999999998E-5</v>
      </c>
      <c r="CU23" s="69">
        <v>3.94701E-5</v>
      </c>
      <c r="CV23" s="69">
        <v>3.85768E-5</v>
      </c>
      <c r="CW23" s="69">
        <v>3.7703700000000003E-5</v>
      </c>
      <c r="CX23" s="69">
        <v>3.6850400000000002E-5</v>
      </c>
      <c r="CY23" s="69">
        <v>3.6016400000000003E-5</v>
      </c>
      <c r="CZ23" s="69">
        <v>3.5201199999999998E-5</v>
      </c>
      <c r="DA23" s="69">
        <v>3.4404399999999999E-5</v>
      </c>
      <c r="DB23" s="69">
        <v>3.3625699999999999E-5</v>
      </c>
      <c r="DC23" s="69">
        <v>3.2864599999999997E-5</v>
      </c>
      <c r="DD23" s="69">
        <v>3.2120699999999999E-5</v>
      </c>
      <c r="DE23" s="69">
        <v>3.1393699999999997E-5</v>
      </c>
      <c r="DF23" s="69">
        <v>3.0683099999999998E-5</v>
      </c>
      <c r="DG23" s="69">
        <v>2.9988499999999999E-5</v>
      </c>
      <c r="DH23" s="69">
        <v>2.9309700000000002E-5</v>
      </c>
      <c r="DI23" s="69">
        <v>2.86463E-5</v>
      </c>
      <c r="DJ23" s="69">
        <v>2.7997800000000002E-5</v>
      </c>
      <c r="DK23" s="69">
        <v>2.7364100000000001E-5</v>
      </c>
      <c r="DL23" s="69">
        <v>2.6744700000000002E-5</v>
      </c>
      <c r="DM23" s="69">
        <v>2.6139199999999999E-5</v>
      </c>
      <c r="DN23" s="69">
        <v>2.5547499999999999E-5</v>
      </c>
      <c r="DO23" s="69">
        <v>2.4969200000000001E-5</v>
      </c>
      <c r="DP23" s="69">
        <v>2.4403999999999999E-5</v>
      </c>
      <c r="DQ23" s="69">
        <v>2.38516E-5</v>
      </c>
      <c r="DR23" s="69">
        <v>2.3311599999999999E-5</v>
      </c>
      <c r="DS23" s="69">
        <v>2.2783900000000001E-5</v>
      </c>
      <c r="DT23" s="69">
        <v>2.2268200000000001E-5</v>
      </c>
      <c r="DU23" s="69">
        <v>2.1764100000000001E-5</v>
      </c>
      <c r="DV23" s="69">
        <v>2.1271400000000001E-5</v>
      </c>
      <c r="DW23" s="69">
        <v>2.0789799999999999E-5</v>
      </c>
      <c r="DX23" s="69">
        <v>2.03192E-5</v>
      </c>
      <c r="DY23" s="69">
        <v>1.9859200000000001E-5</v>
      </c>
      <c r="DZ23" s="69">
        <v>1.9409700000000002E-5</v>
      </c>
      <c r="EA23" s="69">
        <v>1.89703E-5</v>
      </c>
      <c r="EB23" s="69">
        <v>1.85408E-5</v>
      </c>
      <c r="EC23" s="69">
        <v>1.8121099999999998E-5</v>
      </c>
      <c r="ED23" s="69">
        <v>1.77109E-5</v>
      </c>
      <c r="EE23" s="69">
        <v>1.7309899999999998E-5</v>
      </c>
      <c r="EF23" s="69">
        <v>1.69181E-5</v>
      </c>
      <c r="EG23" s="69">
        <v>1.65351E-5</v>
      </c>
      <c r="EH23" s="69">
        <v>1.6160699999999999E-5</v>
      </c>
      <c r="EI23" s="69">
        <v>1.57949E-5</v>
      </c>
      <c r="EJ23" s="69">
        <v>1.5437299999999999E-5</v>
      </c>
      <c r="EK23" s="69">
        <v>1.50879E-5</v>
      </c>
      <c r="EL23" s="69">
        <v>1.47463E-5</v>
      </c>
      <c r="EM23" s="69">
        <v>1.44125E-5</v>
      </c>
      <c r="EN23" s="69">
        <v>1.4086200000000001E-5</v>
      </c>
      <c r="EO23" s="69">
        <v>1.3767299999999999E-5</v>
      </c>
      <c r="EP23" s="69">
        <v>1.34556E-5</v>
      </c>
      <c r="EQ23" s="69">
        <v>1.3151E-5</v>
      </c>
      <c r="ER23" s="69">
        <v>1.2853299999999999E-5</v>
      </c>
      <c r="ES23" s="69">
        <v>1.25623E-5</v>
      </c>
      <c r="ET23" s="69">
        <v>1.22779E-5</v>
      </c>
      <c r="EU23" s="69">
        <v>1.2E-5</v>
      </c>
      <c r="EV23" s="69">
        <v>1.1728299999999999E-5</v>
      </c>
      <c r="EW23" s="69">
        <v>1.14628E-5</v>
      </c>
      <c r="EX23" s="69">
        <v>1.12033E-5</v>
      </c>
      <c r="EY23" s="69">
        <v>1.09497E-5</v>
      </c>
      <c r="EZ23" s="69">
        <v>1.07018E-5</v>
      </c>
      <c r="FA23" s="69">
        <v>1.04595E-5</v>
      </c>
      <c r="FB23" s="69">
        <v>1.02227E-5</v>
      </c>
      <c r="FC23" s="69">
        <v>9.9913000000000004E-6</v>
      </c>
      <c r="FD23" s="69">
        <v>9.7651000000000007E-6</v>
      </c>
      <c r="FE23" s="69">
        <v>9.5440000000000004E-6</v>
      </c>
      <c r="FF23" s="69">
        <v>9.3279999999999995E-6</v>
      </c>
      <c r="FG23" s="69">
        <v>9.1168000000000005E-6</v>
      </c>
      <c r="FH23" s="69">
        <v>8.9104000000000003E-6</v>
      </c>
      <c r="FI23" s="69">
        <v>8.7087000000000002E-6</v>
      </c>
      <c r="FJ23" s="69">
        <v>8.5114999999999997E-6</v>
      </c>
      <c r="FK23" s="69">
        <v>8.3188000000000007E-6</v>
      </c>
      <c r="FL23" s="69">
        <v>8.1304999999999995E-6</v>
      </c>
      <c r="FM23" s="69">
        <v>7.9464000000000007E-6</v>
      </c>
      <c r="FN23" s="69">
        <v>7.7665999999999995E-6</v>
      </c>
      <c r="FO23" s="69">
        <v>7.5907E-6</v>
      </c>
      <c r="FP23" s="69">
        <v>7.4189000000000002E-6</v>
      </c>
      <c r="FQ23" s="69">
        <v>7.2509000000000003E-6</v>
      </c>
    </row>
    <row r="24" spans="1:173" x14ac:dyDescent="0.25">
      <c r="A24" s="71">
        <v>22</v>
      </c>
      <c r="B24" s="69">
        <v>3.4273430000000002E-4</v>
      </c>
      <c r="C24" s="69">
        <v>3.3649599999999998E-4</v>
      </c>
      <c r="D24" s="69">
        <v>3.302995E-4</v>
      </c>
      <c r="E24" s="69">
        <v>3.2415120000000002E-4</v>
      </c>
      <c r="F24" s="69">
        <v>3.1805689999999997E-4</v>
      </c>
      <c r="G24" s="69">
        <v>3.120218E-4</v>
      </c>
      <c r="H24" s="69">
        <v>3.0605040000000001E-4</v>
      </c>
      <c r="I24" s="69">
        <v>3.001468E-4</v>
      </c>
      <c r="J24" s="69">
        <v>2.943143E-4</v>
      </c>
      <c r="K24" s="69">
        <v>2.8855599999999998E-4</v>
      </c>
      <c r="L24" s="69">
        <v>2.828746E-4</v>
      </c>
      <c r="M24" s="69">
        <v>2.7727220000000003E-4</v>
      </c>
      <c r="N24" s="69">
        <v>2.7175069999999999E-4</v>
      </c>
      <c r="O24" s="69">
        <v>2.6631160000000002E-4</v>
      </c>
      <c r="P24" s="69">
        <v>2.6095619999999997E-4</v>
      </c>
      <c r="Q24" s="69">
        <v>2.5568530000000001E-4</v>
      </c>
      <c r="R24" s="69">
        <v>2.5049970000000002E-4</v>
      </c>
      <c r="S24" s="69">
        <v>2.4539990000000002E-4</v>
      </c>
      <c r="T24" s="69">
        <v>2.403862E-4</v>
      </c>
      <c r="U24" s="69">
        <v>2.3545869999999999E-4</v>
      </c>
      <c r="V24" s="69">
        <v>2.3061730000000001E-4</v>
      </c>
      <c r="W24" s="69">
        <v>2.258618E-4</v>
      </c>
      <c r="X24" s="69">
        <v>2.2119190000000001E-4</v>
      </c>
      <c r="Y24" s="69">
        <v>2.166072E-4</v>
      </c>
      <c r="Z24" s="69">
        <v>2.1210709999999999E-4</v>
      </c>
      <c r="AA24" s="69">
        <v>2.0769089999999999E-4</v>
      </c>
      <c r="AB24" s="69">
        <v>2.0335789999999999E-4</v>
      </c>
      <c r="AC24" s="69">
        <v>1.9910730000000001E-4</v>
      </c>
      <c r="AD24" s="69">
        <v>1.9493820000000001E-4</v>
      </c>
      <c r="AE24" s="69">
        <v>1.9084979999999999E-4</v>
      </c>
      <c r="AF24" s="69">
        <v>1.868409E-4</v>
      </c>
      <c r="AG24" s="69">
        <v>1.8291060000000001E-4</v>
      </c>
      <c r="AH24" s="69">
        <v>1.790579E-4</v>
      </c>
      <c r="AI24" s="69">
        <v>1.7528159999999999E-4</v>
      </c>
      <c r="AJ24" s="69">
        <v>1.715806E-4</v>
      </c>
      <c r="AK24" s="69">
        <v>1.6795389999999999E-4</v>
      </c>
      <c r="AL24" s="69">
        <v>1.644002E-4</v>
      </c>
      <c r="AM24" s="69">
        <v>1.6091839999999999E-4</v>
      </c>
      <c r="AN24" s="69">
        <v>1.5750740000000001E-4</v>
      </c>
      <c r="AO24" s="69">
        <v>1.5416590000000001E-4</v>
      </c>
      <c r="AP24" s="69">
        <v>1.5089270000000001E-4</v>
      </c>
      <c r="AQ24" s="69">
        <v>1.4768680000000001E-4</v>
      </c>
      <c r="AR24" s="69">
        <v>1.4454680000000001E-4</v>
      </c>
      <c r="AS24" s="69">
        <v>1.414717E-4</v>
      </c>
      <c r="AT24" s="69">
        <v>1.3846020000000001E-4</v>
      </c>
      <c r="AU24" s="69">
        <v>1.3551120000000001E-4</v>
      </c>
      <c r="AV24" s="69">
        <v>1.326236E-4</v>
      </c>
      <c r="AW24" s="69">
        <v>1.2979610000000001E-4</v>
      </c>
      <c r="AX24" s="69">
        <v>1.2702770000000001E-4</v>
      </c>
      <c r="AY24" s="69">
        <v>1.2431709999999999E-4</v>
      </c>
      <c r="AZ24" s="69">
        <v>1.216634E-4</v>
      </c>
      <c r="BA24" s="69">
        <v>1.190654E-4</v>
      </c>
      <c r="BB24" s="69">
        <v>1.1652199999999999E-4</v>
      </c>
      <c r="BC24" s="69">
        <v>1.140321E-4</v>
      </c>
      <c r="BD24" s="69">
        <v>1.115947E-4</v>
      </c>
      <c r="BE24" s="69">
        <v>1.092088E-4</v>
      </c>
      <c r="BF24" s="69">
        <v>1.0687320000000001E-4</v>
      </c>
      <c r="BG24" s="69">
        <v>1.0458699999999999E-4</v>
      </c>
      <c r="BH24" s="69">
        <v>1.023493E-4</v>
      </c>
      <c r="BI24" s="69">
        <v>1.0015889999999999E-4</v>
      </c>
      <c r="BJ24" s="69">
        <v>9.8015000000000003E-5</v>
      </c>
      <c r="BK24" s="69">
        <v>9.5916599999999996E-5</v>
      </c>
      <c r="BL24" s="69">
        <v>9.3862800000000005E-5</v>
      </c>
      <c r="BM24" s="69">
        <v>9.1852600000000002E-5</v>
      </c>
      <c r="BN24" s="69">
        <v>8.9885199999999998E-5</v>
      </c>
      <c r="BO24" s="69">
        <v>8.7959600000000004E-5</v>
      </c>
      <c r="BP24" s="69">
        <v>8.6075000000000005E-5</v>
      </c>
      <c r="BQ24" s="69">
        <v>8.42306E-5</v>
      </c>
      <c r="BR24" s="69">
        <v>8.2425500000000006E-5</v>
      </c>
      <c r="BS24" s="69">
        <v>8.0658899999999994E-5</v>
      </c>
      <c r="BT24" s="69">
        <v>7.8930000000000005E-5</v>
      </c>
      <c r="BU24" s="69">
        <v>7.7237999999999995E-5</v>
      </c>
      <c r="BV24" s="69">
        <v>7.5582100000000003E-5</v>
      </c>
      <c r="BW24" s="69">
        <v>7.3961599999999993E-5</v>
      </c>
      <c r="BX24" s="69">
        <v>7.2375700000000006E-5</v>
      </c>
      <c r="BY24" s="69">
        <v>7.0823599999999997E-5</v>
      </c>
      <c r="BZ24" s="69">
        <v>6.9304800000000001E-5</v>
      </c>
      <c r="CA24" s="69">
        <v>6.7818500000000001E-5</v>
      </c>
      <c r="CB24" s="69">
        <v>6.6363899999999997E-5</v>
      </c>
      <c r="CC24" s="69">
        <v>6.4940399999999999E-5</v>
      </c>
      <c r="CD24" s="69">
        <v>6.3547500000000001E-5</v>
      </c>
      <c r="CE24" s="69">
        <v>6.2184299999999993E-5</v>
      </c>
      <c r="CF24" s="69">
        <v>6.0850300000000003E-5</v>
      </c>
      <c r="CG24" s="69">
        <v>5.95449E-5</v>
      </c>
      <c r="CH24" s="69">
        <v>5.8267399999999997E-5</v>
      </c>
      <c r="CI24" s="69">
        <v>5.70173E-5</v>
      </c>
      <c r="CJ24" s="69">
        <v>5.5793900000000001E-5</v>
      </c>
      <c r="CK24" s="69">
        <v>5.4596799999999999E-5</v>
      </c>
      <c r="CL24" s="69">
        <v>5.3425299999999998E-5</v>
      </c>
      <c r="CM24" s="69">
        <v>5.2278999999999999E-5</v>
      </c>
      <c r="CN24" s="69">
        <v>5.1157199999999999E-5</v>
      </c>
      <c r="CO24" s="69">
        <v>5.0059399999999997E-5</v>
      </c>
      <c r="CP24" s="69">
        <v>4.89852E-5</v>
      </c>
      <c r="CQ24" s="69">
        <v>4.7933999999999999E-5</v>
      </c>
      <c r="CR24" s="69">
        <v>4.69053E-5</v>
      </c>
      <c r="CS24" s="69">
        <v>4.5898700000000002E-5</v>
      </c>
      <c r="CT24" s="69">
        <v>4.4913700000000003E-5</v>
      </c>
      <c r="CU24" s="69">
        <v>4.3949799999999997E-5</v>
      </c>
      <c r="CV24" s="69">
        <v>4.3006600000000003E-5</v>
      </c>
      <c r="CW24" s="69">
        <v>4.2083599999999998E-5</v>
      </c>
      <c r="CX24" s="69">
        <v>4.1180400000000003E-5</v>
      </c>
      <c r="CY24" s="69">
        <v>4.0296500000000003E-5</v>
      </c>
      <c r="CZ24" s="69">
        <v>3.9431699999999997E-5</v>
      </c>
      <c r="DA24" s="69">
        <v>3.8585299999999998E-5</v>
      </c>
      <c r="DB24" s="69">
        <v>3.7757199999999998E-5</v>
      </c>
      <c r="DC24" s="69">
        <v>3.6946799999999997E-5</v>
      </c>
      <c r="DD24" s="69">
        <v>3.6153799999999999E-5</v>
      </c>
      <c r="DE24" s="69">
        <v>3.5377799999999999E-5</v>
      </c>
      <c r="DF24" s="69">
        <v>3.46184E-5</v>
      </c>
      <c r="DG24" s="69">
        <v>3.3875399999999998E-5</v>
      </c>
      <c r="DH24" s="69">
        <v>3.3148300000000002E-5</v>
      </c>
      <c r="DI24" s="69">
        <v>3.2436800000000001E-5</v>
      </c>
      <c r="DJ24" s="69">
        <v>3.1740499999999999E-5</v>
      </c>
      <c r="DK24" s="69">
        <v>3.1059300000000003E-5</v>
      </c>
      <c r="DL24" s="69">
        <v>3.0392600000000001E-5</v>
      </c>
      <c r="DM24" s="69">
        <v>2.97402E-5</v>
      </c>
      <c r="DN24" s="69">
        <v>2.91018E-5</v>
      </c>
      <c r="DO24" s="69">
        <v>2.8477199999999999E-5</v>
      </c>
      <c r="DP24" s="69">
        <v>2.78659E-5</v>
      </c>
      <c r="DQ24" s="69">
        <v>2.72678E-5</v>
      </c>
      <c r="DR24" s="69">
        <v>2.6682400000000001E-5</v>
      </c>
      <c r="DS24" s="69">
        <v>2.6109699999999998E-5</v>
      </c>
      <c r="DT24" s="69">
        <v>2.5549199999999999E-5</v>
      </c>
      <c r="DU24" s="69">
        <v>2.50008E-5</v>
      </c>
      <c r="DV24" s="69">
        <v>2.4464199999999999E-5</v>
      </c>
      <c r="DW24" s="69">
        <v>2.3938999999999999E-5</v>
      </c>
      <c r="DX24" s="69">
        <v>2.3425200000000001E-5</v>
      </c>
      <c r="DY24" s="69">
        <v>2.2922299999999999E-5</v>
      </c>
      <c r="DZ24" s="69">
        <v>2.2430300000000001E-5</v>
      </c>
      <c r="EA24" s="69">
        <v>2.1948799999999999E-5</v>
      </c>
      <c r="EB24" s="69">
        <v>2.1477599999999999E-5</v>
      </c>
      <c r="EC24" s="69">
        <v>2.1016600000000001E-5</v>
      </c>
      <c r="ED24" s="69">
        <v>2.0565500000000002E-5</v>
      </c>
      <c r="EE24" s="69">
        <v>2.0123999999999999E-5</v>
      </c>
      <c r="EF24" s="69">
        <v>1.9692000000000001E-5</v>
      </c>
      <c r="EG24" s="69">
        <v>1.9269299999999999E-5</v>
      </c>
      <c r="EH24" s="69">
        <v>1.88557E-5</v>
      </c>
      <c r="EI24" s="69">
        <v>1.84509E-5</v>
      </c>
      <c r="EJ24" s="69">
        <v>1.8054899999999999E-5</v>
      </c>
      <c r="EK24" s="69">
        <v>1.7667299999999999E-5</v>
      </c>
      <c r="EL24" s="69">
        <v>1.7288000000000001E-5</v>
      </c>
      <c r="EM24" s="69">
        <v>1.6916900000000001E-5</v>
      </c>
      <c r="EN24" s="69">
        <v>1.6553800000000001E-5</v>
      </c>
      <c r="EO24" s="69">
        <v>1.6198500000000001E-5</v>
      </c>
      <c r="EP24" s="69">
        <v>1.5850700000000001E-5</v>
      </c>
      <c r="EQ24" s="69">
        <v>1.55105E-5</v>
      </c>
      <c r="ER24" s="69">
        <v>1.51775E-5</v>
      </c>
      <c r="ES24" s="69">
        <v>1.48517E-5</v>
      </c>
      <c r="ET24" s="69">
        <v>1.4532899999999999E-5</v>
      </c>
      <c r="EU24" s="69">
        <v>1.42209E-5</v>
      </c>
      <c r="EV24" s="69">
        <v>1.39157E-5</v>
      </c>
      <c r="EW24" s="69">
        <v>1.3617E-5</v>
      </c>
      <c r="EX24" s="69">
        <v>1.3324599999999999E-5</v>
      </c>
      <c r="EY24" s="69">
        <v>1.3038600000000001E-5</v>
      </c>
      <c r="EZ24" s="69">
        <v>1.27587E-5</v>
      </c>
      <c r="FA24" s="69">
        <v>1.2484799999999999E-5</v>
      </c>
      <c r="FB24" s="69">
        <v>1.22168E-5</v>
      </c>
      <c r="FC24" s="69">
        <v>1.1954600000000001E-5</v>
      </c>
      <c r="FD24" s="69">
        <v>1.1698E-5</v>
      </c>
      <c r="FE24" s="69">
        <v>1.14469E-5</v>
      </c>
      <c r="FF24" s="69">
        <v>1.12011E-5</v>
      </c>
      <c r="FG24" s="69">
        <v>1.09607E-5</v>
      </c>
      <c r="FH24" s="69">
        <v>1.0725400000000001E-5</v>
      </c>
      <c r="FI24" s="69">
        <v>1.0495200000000001E-5</v>
      </c>
      <c r="FJ24" s="69">
        <v>1.02699E-5</v>
      </c>
      <c r="FK24" s="69">
        <v>1.0049400000000001E-5</v>
      </c>
      <c r="FL24" s="69">
        <v>9.8337000000000004E-6</v>
      </c>
      <c r="FM24" s="69">
        <v>9.6226E-6</v>
      </c>
      <c r="FN24" s="69">
        <v>9.4159999999999993E-6</v>
      </c>
      <c r="FO24" s="69">
        <v>9.2139E-6</v>
      </c>
      <c r="FP24" s="69">
        <v>9.0161E-6</v>
      </c>
      <c r="FQ24" s="69">
        <v>8.8225999999999992E-6</v>
      </c>
    </row>
    <row r="25" spans="1:173" x14ac:dyDescent="0.25">
      <c r="A25" s="71">
        <v>23</v>
      </c>
      <c r="B25" s="69">
        <v>3.7909949999999999E-4</v>
      </c>
      <c r="C25" s="69">
        <v>3.7269650000000001E-4</v>
      </c>
      <c r="D25" s="69">
        <v>3.6634120000000002E-4</v>
      </c>
      <c r="E25" s="69">
        <v>3.6003869999999999E-4</v>
      </c>
      <c r="F25" s="69">
        <v>3.5379360000000002E-4</v>
      </c>
      <c r="G25" s="69">
        <v>3.4760999999999999E-4</v>
      </c>
      <c r="H25" s="69">
        <v>3.4149130000000002E-4</v>
      </c>
      <c r="I25" s="69">
        <v>3.3544089999999998E-4</v>
      </c>
      <c r="J25" s="69">
        <v>3.294614E-4</v>
      </c>
      <c r="K25" s="69">
        <v>3.2355520000000002E-4</v>
      </c>
      <c r="L25" s="69">
        <v>3.1772430000000002E-4</v>
      </c>
      <c r="M25" s="69">
        <v>3.1197039999999998E-4</v>
      </c>
      <c r="N25" s="69">
        <v>3.0629499999999999E-4</v>
      </c>
      <c r="O25" s="69">
        <v>3.0069919999999999E-4</v>
      </c>
      <c r="P25" s="69">
        <v>2.951839E-4</v>
      </c>
      <c r="Q25" s="69">
        <v>2.8974989999999999E-4</v>
      </c>
      <c r="R25" s="69">
        <v>2.8439779999999998E-4</v>
      </c>
      <c r="S25" s="69">
        <v>2.7912770000000002E-4</v>
      </c>
      <c r="T25" s="69">
        <v>2.7393989999999999E-4</v>
      </c>
      <c r="U25" s="69">
        <v>2.6883449999999998E-4</v>
      </c>
      <c r="V25" s="69">
        <v>2.6381130000000002E-4</v>
      </c>
      <c r="W25" s="69">
        <v>2.588701E-4</v>
      </c>
      <c r="X25" s="69">
        <v>2.5401059999999998E-4</v>
      </c>
      <c r="Y25" s="69">
        <v>2.4923239999999998E-4</v>
      </c>
      <c r="Z25" s="69">
        <v>2.4453479999999997E-4</v>
      </c>
      <c r="AA25" s="69">
        <v>2.3991750000000001E-4</v>
      </c>
      <c r="AB25" s="69">
        <v>2.3537960000000001E-4</v>
      </c>
      <c r="AC25" s="69">
        <v>2.309205E-4</v>
      </c>
      <c r="AD25" s="69">
        <v>2.265395E-4</v>
      </c>
      <c r="AE25" s="69">
        <v>2.222356E-4</v>
      </c>
      <c r="AF25" s="69">
        <v>2.18008E-4</v>
      </c>
      <c r="AG25" s="69">
        <v>2.138559E-4</v>
      </c>
      <c r="AH25" s="69">
        <v>2.097783E-4</v>
      </c>
      <c r="AI25" s="69">
        <v>2.057742E-4</v>
      </c>
      <c r="AJ25" s="69">
        <v>2.018427E-4</v>
      </c>
      <c r="AK25" s="69">
        <v>1.9798290000000001E-4</v>
      </c>
      <c r="AL25" s="69">
        <v>1.9419359999999999E-4</v>
      </c>
      <c r="AM25" s="69">
        <v>1.9047380000000001E-4</v>
      </c>
      <c r="AN25" s="69">
        <v>1.868226E-4</v>
      </c>
      <c r="AO25" s="69">
        <v>1.8323889999999999E-4</v>
      </c>
      <c r="AP25" s="69">
        <v>1.797217E-4</v>
      </c>
      <c r="AQ25" s="69">
        <v>1.7626990000000001E-4</v>
      </c>
      <c r="AR25" s="69">
        <v>1.7288239999999999E-4</v>
      </c>
      <c r="AS25" s="69">
        <v>1.6955830000000001E-4</v>
      </c>
      <c r="AT25" s="69">
        <v>1.662965E-4</v>
      </c>
      <c r="AU25" s="69">
        <v>1.63096E-4</v>
      </c>
      <c r="AV25" s="69">
        <v>1.599557E-4</v>
      </c>
      <c r="AW25" s="69">
        <v>1.568746E-4</v>
      </c>
      <c r="AX25" s="69">
        <v>1.5385170000000001E-4</v>
      </c>
      <c r="AY25" s="69">
        <v>1.5088600000000001E-4</v>
      </c>
      <c r="AZ25" s="69">
        <v>1.4797660000000001E-4</v>
      </c>
      <c r="BA25" s="69">
        <v>1.451224E-4</v>
      </c>
      <c r="BB25" s="69">
        <v>1.4232240000000001E-4</v>
      </c>
      <c r="BC25" s="69">
        <v>1.3957570000000001E-4</v>
      </c>
      <c r="BD25" s="69">
        <v>1.3688129999999999E-4</v>
      </c>
      <c r="BE25" s="69">
        <v>1.3423830000000001E-4</v>
      </c>
      <c r="BF25" s="69">
        <v>1.3164580000000001E-4</v>
      </c>
      <c r="BG25" s="69">
        <v>1.291028E-4</v>
      </c>
      <c r="BH25" s="69">
        <v>1.2660850000000001E-4</v>
      </c>
      <c r="BI25" s="69">
        <v>1.241619E-4</v>
      </c>
      <c r="BJ25" s="69">
        <v>1.217622E-4</v>
      </c>
      <c r="BK25" s="69">
        <v>1.1940859999999999E-4</v>
      </c>
      <c r="BL25" s="69">
        <v>1.171E-4</v>
      </c>
      <c r="BM25" s="69">
        <v>1.148358E-4</v>
      </c>
      <c r="BN25" s="69">
        <v>1.126151E-4</v>
      </c>
      <c r="BO25" s="69">
        <v>1.1043709999999999E-4</v>
      </c>
      <c r="BP25" s="69">
        <v>1.083009E-4</v>
      </c>
      <c r="BQ25" s="69">
        <v>1.062059E-4</v>
      </c>
      <c r="BR25" s="69">
        <v>1.041512E-4</v>
      </c>
      <c r="BS25" s="69">
        <v>1.02136E-4</v>
      </c>
      <c r="BT25" s="69">
        <v>1.001597E-4</v>
      </c>
      <c r="BU25" s="69">
        <v>9.8221399999999994E-5</v>
      </c>
      <c r="BV25" s="69">
        <v>9.6320600000000001E-5</v>
      </c>
      <c r="BW25" s="69">
        <v>9.4456400000000006E-5</v>
      </c>
      <c r="BX25" s="69">
        <v>9.2628100000000002E-5</v>
      </c>
      <c r="BY25" s="69">
        <v>9.08351E-5</v>
      </c>
      <c r="BZ25" s="69">
        <v>8.9076699999999994E-5</v>
      </c>
      <c r="CA25" s="69">
        <v>8.7352299999999994E-5</v>
      </c>
      <c r="CB25" s="69">
        <v>8.5661200000000006E-5</v>
      </c>
      <c r="CC25" s="69">
        <v>8.4002699999999994E-5</v>
      </c>
      <c r="CD25" s="69">
        <v>8.2376300000000006E-5</v>
      </c>
      <c r="CE25" s="69">
        <v>8.0781300000000005E-5</v>
      </c>
      <c r="CF25" s="69">
        <v>7.9217100000000004E-5</v>
      </c>
      <c r="CG25" s="69">
        <v>7.7683100000000002E-5</v>
      </c>
      <c r="CH25" s="69">
        <v>7.6178800000000003E-5</v>
      </c>
      <c r="CI25" s="69">
        <v>7.4703599999999994E-5</v>
      </c>
      <c r="CJ25" s="69">
        <v>7.32569E-5</v>
      </c>
      <c r="CK25" s="69">
        <v>7.1838199999999999E-5</v>
      </c>
      <c r="CL25" s="69">
        <v>7.0446900000000005E-5</v>
      </c>
      <c r="CM25" s="69">
        <v>6.9082600000000002E-5</v>
      </c>
      <c r="CN25" s="69">
        <v>6.7744599999999995E-5</v>
      </c>
      <c r="CO25" s="69">
        <v>6.6432499999999998E-5</v>
      </c>
      <c r="CP25" s="69">
        <v>6.5145800000000002E-5</v>
      </c>
      <c r="CQ25" s="69">
        <v>6.3884E-5</v>
      </c>
      <c r="CR25" s="69">
        <v>6.2646700000000004E-5</v>
      </c>
      <c r="CS25" s="69">
        <v>6.1433200000000007E-5</v>
      </c>
      <c r="CT25" s="69">
        <v>6.02433E-5</v>
      </c>
      <c r="CU25" s="69">
        <v>5.9076400000000002E-5</v>
      </c>
      <c r="CV25" s="69">
        <v>5.7932E-5</v>
      </c>
      <c r="CW25" s="69">
        <v>5.68099E-5</v>
      </c>
      <c r="CX25" s="69">
        <v>5.5709399999999999E-5</v>
      </c>
      <c r="CY25" s="69">
        <v>5.4630299999999998E-5</v>
      </c>
      <c r="CZ25" s="69">
        <v>5.3572000000000001E-5</v>
      </c>
      <c r="DA25" s="69">
        <v>5.2534300000000003E-5</v>
      </c>
      <c r="DB25" s="69">
        <v>5.1516600000000001E-5</v>
      </c>
      <c r="DC25" s="69">
        <v>5.0518600000000001E-5</v>
      </c>
      <c r="DD25" s="69">
        <v>4.9539999999999997E-5</v>
      </c>
      <c r="DE25" s="69">
        <v>4.85803E-5</v>
      </c>
      <c r="DF25" s="69">
        <v>4.7639200000000003E-5</v>
      </c>
      <c r="DG25" s="69">
        <v>4.6716299999999999E-5</v>
      </c>
      <c r="DH25" s="69">
        <v>4.58113E-5</v>
      </c>
      <c r="DI25" s="69">
        <v>4.4923799999999998E-5</v>
      </c>
      <c r="DJ25" s="69">
        <v>4.4053500000000001E-5</v>
      </c>
      <c r="DK25" s="69">
        <v>4.32001E-5</v>
      </c>
      <c r="DL25" s="69">
        <v>4.2363200000000001E-5</v>
      </c>
      <c r="DM25" s="69">
        <v>4.1542499999999997E-5</v>
      </c>
      <c r="DN25" s="69">
        <v>4.0737700000000001E-5</v>
      </c>
      <c r="DO25" s="69">
        <v>3.9948499999999999E-5</v>
      </c>
      <c r="DP25" s="69">
        <v>3.9174600000000003E-5</v>
      </c>
      <c r="DQ25" s="69">
        <v>3.8415599999999999E-5</v>
      </c>
      <c r="DR25" s="69">
        <v>3.76714E-5</v>
      </c>
      <c r="DS25" s="69">
        <v>3.6941599999999999E-5</v>
      </c>
      <c r="DT25" s="69">
        <v>3.6225900000000002E-5</v>
      </c>
      <c r="DU25" s="69">
        <v>3.5524100000000001E-5</v>
      </c>
      <c r="DV25" s="69">
        <v>3.4835900000000003E-5</v>
      </c>
      <c r="DW25" s="69">
        <v>3.4161E-5</v>
      </c>
      <c r="DX25" s="69">
        <v>3.3499099999999999E-5</v>
      </c>
      <c r="DY25" s="69">
        <v>3.2850199999999999E-5</v>
      </c>
      <c r="DZ25" s="69">
        <v>3.22137E-5</v>
      </c>
      <c r="EA25" s="69">
        <v>3.15896E-5</v>
      </c>
      <c r="EB25" s="69">
        <v>3.09776E-5</v>
      </c>
      <c r="EC25" s="69">
        <v>3.0377499999999998E-5</v>
      </c>
      <c r="ED25" s="69">
        <v>2.9788899999999999E-5</v>
      </c>
      <c r="EE25" s="69">
        <v>2.92118E-5</v>
      </c>
      <c r="EF25" s="69">
        <v>2.86459E-5</v>
      </c>
      <c r="EG25" s="69">
        <v>2.8090899999999999E-5</v>
      </c>
      <c r="EH25" s="69">
        <v>2.7546699999999998E-5</v>
      </c>
      <c r="EI25" s="69">
        <v>2.7013E-5</v>
      </c>
      <c r="EJ25" s="69">
        <v>2.6489600000000001E-5</v>
      </c>
      <c r="EK25" s="69">
        <v>2.5976400000000001E-5</v>
      </c>
      <c r="EL25" s="69">
        <v>2.5473199999999999E-5</v>
      </c>
      <c r="EM25" s="69">
        <v>2.4979600000000001E-5</v>
      </c>
      <c r="EN25" s="69">
        <v>2.44957E-5</v>
      </c>
      <c r="EO25" s="69">
        <v>2.4021099999999999E-5</v>
      </c>
      <c r="EP25" s="69">
        <v>2.3555699999999999E-5</v>
      </c>
      <c r="EQ25" s="69">
        <v>2.3099400000000001E-5</v>
      </c>
      <c r="ER25" s="69">
        <v>2.2651799999999999E-5</v>
      </c>
      <c r="ES25" s="69">
        <v>2.2212999999999999E-5</v>
      </c>
      <c r="ET25" s="69">
        <v>2.17826E-5</v>
      </c>
      <c r="EU25" s="69">
        <v>2.13606E-5</v>
      </c>
      <c r="EV25" s="69">
        <v>2.0946800000000001E-5</v>
      </c>
      <c r="EW25" s="69">
        <v>2.0540899999999998E-5</v>
      </c>
      <c r="EX25" s="69">
        <v>2.0143E-5</v>
      </c>
      <c r="EY25" s="69">
        <v>1.9752700000000001E-5</v>
      </c>
      <c r="EZ25" s="69">
        <v>1.9369999999999999E-5</v>
      </c>
      <c r="FA25" s="69">
        <v>1.89948E-5</v>
      </c>
      <c r="FB25" s="69">
        <v>1.8626699999999999E-5</v>
      </c>
      <c r="FC25" s="69">
        <v>1.8265900000000001E-5</v>
      </c>
      <c r="FD25" s="69">
        <v>1.7912000000000001E-5</v>
      </c>
      <c r="FE25" s="69">
        <v>1.7564999999999999E-5</v>
      </c>
      <c r="FF25" s="69">
        <v>1.7224600000000001E-5</v>
      </c>
      <c r="FG25" s="69">
        <v>1.6890900000000001E-5</v>
      </c>
      <c r="FH25" s="69">
        <v>1.6563699999999999E-5</v>
      </c>
      <c r="FI25" s="69">
        <v>1.62428E-5</v>
      </c>
      <c r="FJ25" s="69">
        <v>1.5928100000000001E-5</v>
      </c>
      <c r="FK25" s="69">
        <v>1.5619499999999998E-5</v>
      </c>
      <c r="FL25" s="69">
        <v>1.5316899999999999E-5</v>
      </c>
      <c r="FM25" s="69">
        <v>1.50201E-5</v>
      </c>
      <c r="FN25" s="69">
        <v>1.4729099999999999E-5</v>
      </c>
      <c r="FO25" s="69">
        <v>1.4443800000000001E-5</v>
      </c>
      <c r="FP25" s="69">
        <v>1.41639E-5</v>
      </c>
      <c r="FQ25" s="69">
        <v>1.38895E-5</v>
      </c>
    </row>
    <row r="26" spans="1:173" x14ac:dyDescent="0.25">
      <c r="A26" s="71">
        <v>24</v>
      </c>
      <c r="B26" s="69">
        <v>3.8560249999999998E-4</v>
      </c>
      <c r="C26" s="69">
        <v>3.8068409999999998E-4</v>
      </c>
      <c r="D26" s="69">
        <v>3.7570259999999999E-4</v>
      </c>
      <c r="E26" s="69">
        <v>3.7067019999999999E-4</v>
      </c>
      <c r="F26" s="69">
        <v>3.6559819999999998E-4</v>
      </c>
      <c r="G26" s="69">
        <v>3.6049710000000002E-4</v>
      </c>
      <c r="H26" s="69">
        <v>3.5537619999999998E-4</v>
      </c>
      <c r="I26" s="69">
        <v>3.5024440000000002E-4</v>
      </c>
      <c r="J26" s="69">
        <v>3.4510969999999999E-4</v>
      </c>
      <c r="K26" s="69">
        <v>3.3997919999999998E-4</v>
      </c>
      <c r="L26" s="69">
        <v>3.3485969999999998E-4</v>
      </c>
      <c r="M26" s="69">
        <v>3.297571E-4</v>
      </c>
      <c r="N26" s="69">
        <v>3.24677E-4</v>
      </c>
      <c r="O26" s="69">
        <v>3.1962409999999999E-4</v>
      </c>
      <c r="P26" s="69">
        <v>3.1460309999999998E-4</v>
      </c>
      <c r="Q26" s="69">
        <v>3.0961779999999999E-4</v>
      </c>
      <c r="R26" s="69">
        <v>3.0467189999999999E-4</v>
      </c>
      <c r="S26" s="69">
        <v>2.9976859999999999E-4</v>
      </c>
      <c r="T26" s="69">
        <v>2.9491059999999999E-4</v>
      </c>
      <c r="U26" s="69">
        <v>2.9010059999999999E-4</v>
      </c>
      <c r="V26" s="69">
        <v>2.8534060000000002E-4</v>
      </c>
      <c r="W26" s="69">
        <v>2.8063269999999997E-4</v>
      </c>
      <c r="X26" s="69">
        <v>2.7597860000000001E-4</v>
      </c>
      <c r="Y26" s="69">
        <v>2.7137960000000002E-4</v>
      </c>
      <c r="Z26" s="69">
        <v>2.6683700000000002E-4</v>
      </c>
      <c r="AA26" s="69">
        <v>2.623519E-4</v>
      </c>
      <c r="AB26" s="69">
        <v>2.5792509999999997E-4</v>
      </c>
      <c r="AC26" s="69">
        <v>2.5355730000000001E-4</v>
      </c>
      <c r="AD26" s="69">
        <v>2.4924909999999998E-4</v>
      </c>
      <c r="AE26" s="69">
        <v>2.4500070000000001E-4</v>
      </c>
      <c r="AF26" s="69">
        <v>2.4081269999999999E-4</v>
      </c>
      <c r="AG26" s="69">
        <v>2.3668499999999999E-4</v>
      </c>
      <c r="AH26" s="69">
        <v>2.3261779999999999E-4</v>
      </c>
      <c r="AI26" s="69">
        <v>2.2861109999999999E-4</v>
      </c>
      <c r="AJ26" s="69">
        <v>2.2466470000000001E-4</v>
      </c>
      <c r="AK26" s="69">
        <v>2.2077849999999999E-4</v>
      </c>
      <c r="AL26" s="69">
        <v>2.169521E-4</v>
      </c>
      <c r="AM26" s="69">
        <v>2.1318539999999999E-4</v>
      </c>
      <c r="AN26" s="69">
        <v>2.094779E-4</v>
      </c>
      <c r="AO26" s="69">
        <v>2.058292E-4</v>
      </c>
      <c r="AP26" s="69">
        <v>2.0223889999999999E-4</v>
      </c>
      <c r="AQ26" s="69">
        <v>1.9870639999999999E-4</v>
      </c>
      <c r="AR26" s="69">
        <v>1.9523119999999999E-4</v>
      </c>
      <c r="AS26" s="69">
        <v>1.918128E-4</v>
      </c>
      <c r="AT26" s="69">
        <v>1.8845050000000001E-4</v>
      </c>
      <c r="AU26" s="69">
        <v>1.851438E-4</v>
      </c>
      <c r="AV26" s="69">
        <v>1.8189190000000001E-4</v>
      </c>
      <c r="AW26" s="69">
        <v>1.7869429999999999E-4</v>
      </c>
      <c r="AX26" s="69">
        <v>1.7555030000000001E-4</v>
      </c>
      <c r="AY26" s="69">
        <v>1.7245920000000001E-4</v>
      </c>
      <c r="AZ26" s="69">
        <v>1.6942030000000001E-4</v>
      </c>
      <c r="BA26" s="69">
        <v>1.664329E-4</v>
      </c>
      <c r="BB26" s="69">
        <v>1.634963E-4</v>
      </c>
      <c r="BC26" s="69">
        <v>1.6060980000000001E-4</v>
      </c>
      <c r="BD26" s="69">
        <v>1.5777259999999999E-4</v>
      </c>
      <c r="BE26" s="69">
        <v>1.5498420000000001E-4</v>
      </c>
      <c r="BF26" s="69">
        <v>1.5224370000000001E-4</v>
      </c>
      <c r="BG26" s="69">
        <v>1.495504E-4</v>
      </c>
      <c r="BH26" s="69">
        <v>1.4690370000000001E-4</v>
      </c>
      <c r="BI26" s="69">
        <v>1.4430270000000001E-4</v>
      </c>
      <c r="BJ26" s="69">
        <v>1.417469E-4</v>
      </c>
      <c r="BK26" s="69">
        <v>1.3923550000000001E-4</v>
      </c>
      <c r="BL26" s="69">
        <v>1.3676770000000001E-4</v>
      </c>
      <c r="BM26" s="69">
        <v>1.3434300000000001E-4</v>
      </c>
      <c r="BN26" s="69">
        <v>1.3196059999999999E-4</v>
      </c>
      <c r="BO26" s="69">
        <v>1.2961980000000001E-4</v>
      </c>
      <c r="BP26" s="69">
        <v>1.2731999999999999E-4</v>
      </c>
      <c r="BQ26" s="69">
        <v>1.250604E-4</v>
      </c>
      <c r="BR26" s="69">
        <v>1.2284049999999999E-4</v>
      </c>
      <c r="BS26" s="69">
        <v>1.2065950000000001E-4</v>
      </c>
      <c r="BT26" s="69">
        <v>1.185169E-4</v>
      </c>
      <c r="BU26" s="69">
        <v>1.164119E-4</v>
      </c>
      <c r="BV26" s="69">
        <v>1.14344E-4</v>
      </c>
      <c r="BW26" s="69">
        <v>1.123125E-4</v>
      </c>
      <c r="BX26" s="69">
        <v>1.1031679999999999E-4</v>
      </c>
      <c r="BY26" s="69">
        <v>1.083563E-4</v>
      </c>
      <c r="BZ26" s="69">
        <v>1.064304E-4</v>
      </c>
      <c r="CA26" s="69">
        <v>1.045386E-4</v>
      </c>
      <c r="CB26" s="69">
        <v>1.0268010000000001E-4</v>
      </c>
      <c r="CC26" s="69">
        <v>1.008545E-4</v>
      </c>
      <c r="CD26" s="69">
        <v>9.9061200000000006E-5</v>
      </c>
      <c r="CE26" s="69">
        <v>9.7299600000000006E-5</v>
      </c>
      <c r="CF26" s="69">
        <v>9.5569200000000006E-5</v>
      </c>
      <c r="CG26" s="69">
        <v>9.3869400000000006E-5</v>
      </c>
      <c r="CH26" s="69">
        <v>9.2199699999999997E-5</v>
      </c>
      <c r="CI26" s="69">
        <v>9.0559599999999999E-5</v>
      </c>
      <c r="CJ26" s="69">
        <v>8.8948600000000004E-5</v>
      </c>
      <c r="CK26" s="69">
        <v>8.7366200000000004E-5</v>
      </c>
      <c r="CL26" s="69">
        <v>8.5811799999999997E-5</v>
      </c>
      <c r="CM26" s="69">
        <v>8.4284999999999997E-5</v>
      </c>
      <c r="CN26" s="69">
        <v>8.2785299999999995E-5</v>
      </c>
      <c r="CO26" s="69">
        <v>8.1312199999999997E-5</v>
      </c>
      <c r="CP26" s="69">
        <v>7.9865300000000003E-5</v>
      </c>
      <c r="CQ26" s="69">
        <v>7.8443999999999996E-5</v>
      </c>
      <c r="CR26" s="69">
        <v>7.7047999999999998E-5</v>
      </c>
      <c r="CS26" s="69">
        <v>7.56768E-5</v>
      </c>
      <c r="CT26" s="69">
        <v>7.4329899999999995E-5</v>
      </c>
      <c r="CU26" s="69">
        <v>7.3007000000000001E-5</v>
      </c>
      <c r="CV26" s="69">
        <v>7.1707599999999998E-5</v>
      </c>
      <c r="CW26" s="69">
        <v>7.0431200000000004E-5</v>
      </c>
      <c r="CX26" s="69">
        <v>6.9177600000000007E-5</v>
      </c>
      <c r="CY26" s="69">
        <v>6.7946200000000003E-5</v>
      </c>
      <c r="CZ26" s="69">
        <v>6.6736799999999994E-5</v>
      </c>
      <c r="DA26" s="69">
        <v>6.5548800000000005E-5</v>
      </c>
      <c r="DB26" s="69">
        <v>6.4381999999999994E-5</v>
      </c>
      <c r="DC26" s="69">
        <v>6.3235899999999995E-5</v>
      </c>
      <c r="DD26" s="69">
        <v>6.21102E-5</v>
      </c>
      <c r="DE26" s="69">
        <v>6.1004500000000002E-5</v>
      </c>
      <c r="DF26" s="69">
        <v>5.9918499999999999E-5</v>
      </c>
      <c r="DG26" s="69">
        <v>5.8851799999999998E-5</v>
      </c>
      <c r="DH26" s="69">
        <v>5.7804099999999998E-5</v>
      </c>
      <c r="DI26" s="69">
        <v>5.6774999999999998E-5</v>
      </c>
      <c r="DJ26" s="69">
        <v>5.5764199999999997E-5</v>
      </c>
      <c r="DK26" s="69">
        <v>5.4771400000000002E-5</v>
      </c>
      <c r="DL26" s="69">
        <v>5.3796299999999999E-5</v>
      </c>
      <c r="DM26" s="69">
        <v>5.2838499999999999E-5</v>
      </c>
      <c r="DN26" s="69">
        <v>5.1897800000000003E-5</v>
      </c>
      <c r="DO26" s="69">
        <v>5.0973800000000003E-5</v>
      </c>
      <c r="DP26" s="69">
        <v>5.0066299999999999E-5</v>
      </c>
      <c r="DQ26" s="69">
        <v>4.9174900000000002E-5</v>
      </c>
      <c r="DR26" s="69">
        <v>4.82994E-5</v>
      </c>
      <c r="DS26" s="69">
        <v>4.7439399999999998E-5</v>
      </c>
      <c r="DT26" s="69">
        <v>4.6594800000000003E-5</v>
      </c>
      <c r="DU26" s="69">
        <v>4.57652E-5</v>
      </c>
      <c r="DV26" s="69">
        <v>4.4950300000000002E-5</v>
      </c>
      <c r="DW26" s="69">
        <v>4.4150000000000003E-5</v>
      </c>
      <c r="DX26" s="69">
        <v>4.33639E-5</v>
      </c>
      <c r="DY26" s="69">
        <v>4.2591800000000001E-5</v>
      </c>
      <c r="DZ26" s="69">
        <v>4.1833499999999999E-5</v>
      </c>
      <c r="EA26" s="69">
        <v>4.1088599999999998E-5</v>
      </c>
      <c r="EB26" s="69">
        <v>4.0357E-5</v>
      </c>
      <c r="EC26" s="69">
        <v>3.9638499999999997E-5</v>
      </c>
      <c r="ED26" s="69">
        <v>3.8932700000000001E-5</v>
      </c>
      <c r="EE26" s="69">
        <v>3.8239499999999999E-5</v>
      </c>
      <c r="EF26" s="69">
        <v>3.7558600000000003E-5</v>
      </c>
      <c r="EG26" s="69">
        <v>3.68898E-5</v>
      </c>
      <c r="EH26" s="69">
        <v>3.6232999999999997E-5</v>
      </c>
      <c r="EI26" s="69">
        <v>3.5587899999999999E-5</v>
      </c>
      <c r="EJ26" s="69">
        <v>3.4954199999999998E-5</v>
      </c>
      <c r="EK26" s="69">
        <v>3.4331800000000002E-5</v>
      </c>
      <c r="EL26" s="69">
        <v>3.3720499999999997E-5</v>
      </c>
      <c r="EM26" s="69">
        <v>3.3120100000000002E-5</v>
      </c>
      <c r="EN26" s="69">
        <v>3.2530400000000003E-5</v>
      </c>
      <c r="EO26" s="69">
        <v>3.19511E-5</v>
      </c>
      <c r="EP26" s="69">
        <v>3.1382199999999999E-5</v>
      </c>
      <c r="EQ26" s="69">
        <v>3.08234E-5</v>
      </c>
      <c r="ER26" s="69">
        <v>3.02746E-5</v>
      </c>
      <c r="ES26" s="69">
        <v>2.97355E-5</v>
      </c>
      <c r="ET26" s="69">
        <v>2.9206100000000001E-5</v>
      </c>
      <c r="EU26" s="69">
        <v>2.8685999999999999E-5</v>
      </c>
      <c r="EV26" s="69">
        <v>2.8175200000000001E-5</v>
      </c>
      <c r="EW26" s="69">
        <v>2.7673599999999999E-5</v>
      </c>
      <c r="EX26" s="69">
        <v>2.7180799999999999E-5</v>
      </c>
      <c r="EY26" s="69">
        <v>2.6696800000000002E-5</v>
      </c>
      <c r="EZ26" s="69">
        <v>2.62215E-5</v>
      </c>
      <c r="FA26" s="69">
        <v>2.5754599999999999E-5</v>
      </c>
      <c r="FB26" s="69">
        <v>2.5296E-5</v>
      </c>
      <c r="FC26" s="69">
        <v>2.4845500000000001E-5</v>
      </c>
      <c r="FD26" s="69">
        <v>2.44031E-5</v>
      </c>
      <c r="FE26" s="69">
        <v>2.39686E-5</v>
      </c>
      <c r="FF26" s="69">
        <v>2.3541799999999999E-5</v>
      </c>
      <c r="FG26" s="69">
        <v>2.3122600000000001E-5</v>
      </c>
      <c r="FH26" s="69">
        <v>2.27109E-5</v>
      </c>
      <c r="FI26" s="69">
        <v>2.2306500000000001E-5</v>
      </c>
      <c r="FJ26" s="69">
        <v>2.19093E-5</v>
      </c>
      <c r="FK26" s="69">
        <v>2.1519199999999999E-5</v>
      </c>
      <c r="FL26" s="69">
        <v>2.1135999999999999E-5</v>
      </c>
      <c r="FM26" s="69">
        <v>2.07597E-5</v>
      </c>
      <c r="FN26" s="69">
        <v>2.039E-5</v>
      </c>
      <c r="FO26" s="69">
        <v>2.0027E-5</v>
      </c>
      <c r="FP26" s="69">
        <v>1.9670400000000001E-5</v>
      </c>
      <c r="FQ26" s="69">
        <v>1.9320100000000002E-5</v>
      </c>
    </row>
    <row r="27" spans="1:173" x14ac:dyDescent="0.25">
      <c r="A27" s="71">
        <v>25</v>
      </c>
      <c r="B27" s="69">
        <v>4.0391530000000002E-4</v>
      </c>
      <c r="C27" s="69">
        <v>3.9745200000000002E-4</v>
      </c>
      <c r="D27" s="69">
        <v>3.9107479999999999E-4</v>
      </c>
      <c r="E27" s="69">
        <v>3.8478409999999997E-4</v>
      </c>
      <c r="F27" s="69">
        <v>3.7857990000000002E-4</v>
      </c>
      <c r="G27" s="69">
        <v>3.7246239999999997E-4</v>
      </c>
      <c r="H27" s="69">
        <v>3.6643130000000001E-4</v>
      </c>
      <c r="I27" s="69">
        <v>3.6048660000000002E-4</v>
      </c>
      <c r="J27" s="69">
        <v>3.5462779999999999E-4</v>
      </c>
      <c r="K27" s="69">
        <v>3.4885470000000003E-4</v>
      </c>
      <c r="L27" s="69">
        <v>3.4316670000000002E-4</v>
      </c>
      <c r="M27" s="69">
        <v>3.3756340000000001E-4</v>
      </c>
      <c r="N27" s="69">
        <v>3.3204399999999998E-4</v>
      </c>
      <c r="O27" s="69">
        <v>3.2660810000000002E-4</v>
      </c>
      <c r="P27" s="69">
        <v>3.2125479999999999E-4</v>
      </c>
      <c r="Q27" s="69">
        <v>3.1598349999999999E-4</v>
      </c>
      <c r="R27" s="69">
        <v>3.1079330000000001E-4</v>
      </c>
      <c r="S27" s="69">
        <v>3.0568339999999998E-4</v>
      </c>
      <c r="T27" s="69">
        <v>3.0065309999999999E-4</v>
      </c>
      <c r="U27" s="69">
        <v>2.9570140000000002E-4</v>
      </c>
      <c r="V27" s="69">
        <v>2.9082739999999999E-4</v>
      </c>
      <c r="W27" s="69">
        <v>2.8603029999999999E-4</v>
      </c>
      <c r="X27" s="69">
        <v>2.8130910000000002E-4</v>
      </c>
      <c r="Y27" s="69">
        <v>2.766628E-4</v>
      </c>
      <c r="Z27" s="69">
        <v>2.7209050000000001E-4</v>
      </c>
      <c r="AA27" s="69">
        <v>2.6759130000000001E-4</v>
      </c>
      <c r="AB27" s="69">
        <v>2.6316419999999999E-4</v>
      </c>
      <c r="AC27" s="69">
        <v>2.5880830000000001E-4</v>
      </c>
      <c r="AD27" s="69">
        <v>2.545224E-4</v>
      </c>
      <c r="AE27" s="69">
        <v>2.5030579999999998E-4</v>
      </c>
      <c r="AF27" s="69">
        <v>2.4615740000000002E-4</v>
      </c>
      <c r="AG27" s="69">
        <v>2.4207619999999999E-4</v>
      </c>
      <c r="AH27" s="69">
        <v>2.3806129999999999E-4</v>
      </c>
      <c r="AI27" s="69">
        <v>2.341116E-4</v>
      </c>
      <c r="AJ27" s="69">
        <v>2.3022639999999999E-4</v>
      </c>
      <c r="AK27" s="69">
        <v>2.2640449999999999E-4</v>
      </c>
      <c r="AL27" s="69">
        <v>2.226451E-4</v>
      </c>
      <c r="AM27" s="69">
        <v>2.189472E-4</v>
      </c>
      <c r="AN27" s="69">
        <v>2.1530989999999999E-4</v>
      </c>
      <c r="AO27" s="69">
        <v>2.117322E-4</v>
      </c>
      <c r="AP27" s="69">
        <v>2.082133E-4</v>
      </c>
      <c r="AQ27" s="69">
        <v>2.0475220000000001E-4</v>
      </c>
      <c r="AR27" s="69">
        <v>2.0134800000000001E-4</v>
      </c>
      <c r="AS27" s="69">
        <v>1.9799990000000001E-4</v>
      </c>
      <c r="AT27" s="69">
        <v>1.9470690000000001E-4</v>
      </c>
      <c r="AU27" s="69">
        <v>1.914683E-4</v>
      </c>
      <c r="AV27" s="69">
        <v>1.88283E-4</v>
      </c>
      <c r="AW27" s="69">
        <v>1.851504E-4</v>
      </c>
      <c r="AX27" s="69">
        <v>1.8206949999999999E-4</v>
      </c>
      <c r="AY27" s="69">
        <v>1.7903959999999999E-4</v>
      </c>
      <c r="AZ27" s="69">
        <v>1.760598E-4</v>
      </c>
      <c r="BA27" s="69">
        <v>1.7312919999999999E-4</v>
      </c>
      <c r="BB27" s="69">
        <v>1.7024720000000001E-4</v>
      </c>
      <c r="BC27" s="69">
        <v>1.6741299999999999E-4</v>
      </c>
      <c r="BD27" s="69">
        <v>1.646257E-4</v>
      </c>
      <c r="BE27" s="69">
        <v>1.6188460000000001E-4</v>
      </c>
      <c r="BF27" s="69">
        <v>1.591889E-4</v>
      </c>
      <c r="BG27" s="69">
        <v>1.5653800000000001E-4</v>
      </c>
      <c r="BH27" s="69">
        <v>1.5393110000000001E-4</v>
      </c>
      <c r="BI27" s="69">
        <v>1.5136739999999999E-4</v>
      </c>
      <c r="BJ27" s="69">
        <v>1.488463E-4</v>
      </c>
      <c r="BK27" s="69">
        <v>1.4636710000000001E-4</v>
      </c>
      <c r="BL27" s="69">
        <v>1.43929E-4</v>
      </c>
      <c r="BM27" s="69">
        <v>1.4153150000000001E-4</v>
      </c>
      <c r="BN27" s="69">
        <v>1.3917380000000001E-4</v>
      </c>
      <c r="BO27" s="69">
        <v>1.368552E-4</v>
      </c>
      <c r="BP27" s="69">
        <v>1.345753E-4</v>
      </c>
      <c r="BQ27" s="69">
        <v>1.3233320000000001E-4</v>
      </c>
      <c r="BR27" s="69">
        <v>1.301284E-4</v>
      </c>
      <c r="BS27" s="69">
        <v>1.2796030000000001E-4</v>
      </c>
      <c r="BT27" s="69">
        <v>1.258283E-4</v>
      </c>
      <c r="BU27" s="69">
        <v>1.2373169999999999E-4</v>
      </c>
      <c r="BV27" s="69">
        <v>1.2167000000000001E-4</v>
      </c>
      <c r="BW27" s="69">
        <v>1.1964260000000001E-4</v>
      </c>
      <c r="BX27" s="69">
        <v>1.17649E-4</v>
      </c>
      <c r="BY27" s="69">
        <v>1.156885E-4</v>
      </c>
      <c r="BZ27" s="69">
        <v>1.137607E-4</v>
      </c>
      <c r="CA27" s="69">
        <v>1.1186489999999999E-4</v>
      </c>
      <c r="CB27" s="69">
        <v>1.1000080000000001E-4</v>
      </c>
      <c r="CC27" s="69">
        <v>1.081676E-4</v>
      </c>
      <c r="CD27" s="69">
        <v>1.06365E-4</v>
      </c>
      <c r="CE27" s="69">
        <v>1.0459240000000001E-4</v>
      </c>
      <c r="CF27" s="69">
        <v>1.028493E-4</v>
      </c>
      <c r="CG27" s="69">
        <v>1.0113529999999999E-4</v>
      </c>
      <c r="CH27" s="69">
        <v>9.9449800000000005E-5</v>
      </c>
      <c r="CI27" s="69">
        <v>9.7792299999999995E-5</v>
      </c>
      <c r="CJ27" s="69">
        <v>9.61625E-5</v>
      </c>
      <c r="CK27" s="69">
        <v>9.4559800000000002E-5</v>
      </c>
      <c r="CL27" s="69">
        <v>9.2983899999999996E-5</v>
      </c>
      <c r="CM27" s="69">
        <v>9.1434099999999999E-5</v>
      </c>
      <c r="CN27" s="69">
        <v>8.9910199999999998E-5</v>
      </c>
      <c r="CO27" s="69">
        <v>8.8411699999999999E-5</v>
      </c>
      <c r="CP27" s="69">
        <v>8.6938099999999994E-5</v>
      </c>
      <c r="CQ27" s="69">
        <v>8.5489100000000001E-5</v>
      </c>
      <c r="CR27" s="69">
        <v>8.4064299999999994E-5</v>
      </c>
      <c r="CS27" s="69">
        <v>8.2663200000000005E-5</v>
      </c>
      <c r="CT27" s="69">
        <v>8.1285400000000006E-5</v>
      </c>
      <c r="CU27" s="69">
        <v>7.9930600000000003E-5</v>
      </c>
      <c r="CV27" s="69">
        <v>7.8598300000000003E-5</v>
      </c>
      <c r="CW27" s="69">
        <v>7.7288300000000003E-5</v>
      </c>
      <c r="CX27" s="69">
        <v>7.6000099999999998E-5</v>
      </c>
      <c r="CY27" s="69">
        <v>7.4733299999999998E-5</v>
      </c>
      <c r="CZ27" s="69">
        <v>7.3487700000000005E-5</v>
      </c>
      <c r="DA27" s="69">
        <v>7.2262799999999995E-5</v>
      </c>
      <c r="DB27" s="69">
        <v>7.1058300000000004E-5</v>
      </c>
      <c r="DC27" s="69">
        <v>6.9873899999999995E-5</v>
      </c>
      <c r="DD27" s="69">
        <v>6.8709300000000003E-5</v>
      </c>
      <c r="DE27" s="69">
        <v>6.7564000000000006E-5</v>
      </c>
      <c r="DF27" s="69">
        <v>6.6437899999999996E-5</v>
      </c>
      <c r="DG27" s="69">
        <v>6.5330499999999994E-5</v>
      </c>
      <c r="DH27" s="69">
        <v>6.4241500000000005E-5</v>
      </c>
      <c r="DI27" s="69">
        <v>6.3170700000000002E-5</v>
      </c>
      <c r="DJ27" s="69">
        <v>6.2117800000000004E-5</v>
      </c>
      <c r="DK27" s="69">
        <v>6.1082399999999996E-5</v>
      </c>
      <c r="DL27" s="69">
        <v>6.00643E-5</v>
      </c>
      <c r="DM27" s="69">
        <v>5.90631E-5</v>
      </c>
      <c r="DN27" s="69">
        <v>5.8078600000000003E-5</v>
      </c>
      <c r="DO27" s="69">
        <v>5.7110500000000001E-5</v>
      </c>
      <c r="DP27" s="69">
        <v>5.6158600000000001E-5</v>
      </c>
      <c r="DQ27" s="69">
        <v>5.5222500000000002E-5</v>
      </c>
      <c r="DR27" s="69">
        <v>5.4302000000000003E-5</v>
      </c>
      <c r="DS27" s="69">
        <v>5.3396899999999997E-5</v>
      </c>
      <c r="DT27" s="69">
        <v>5.2506899999999997E-5</v>
      </c>
      <c r="DU27" s="69">
        <v>5.1631700000000002E-5</v>
      </c>
      <c r="DV27" s="69">
        <v>5.0770999999999999E-5</v>
      </c>
      <c r="DW27" s="69">
        <v>4.99248E-5</v>
      </c>
      <c r="DX27" s="69">
        <v>4.9092599999999998E-5</v>
      </c>
      <c r="DY27" s="69">
        <v>4.82743E-5</v>
      </c>
      <c r="DZ27" s="69">
        <v>4.7469599999999997E-5</v>
      </c>
      <c r="EA27" s="69">
        <v>4.6678399999999997E-5</v>
      </c>
      <c r="EB27" s="69">
        <v>4.5900299999999998E-5</v>
      </c>
      <c r="EC27" s="69">
        <v>4.5135200000000001E-5</v>
      </c>
      <c r="ED27" s="69">
        <v>4.4382899999999998E-5</v>
      </c>
      <c r="EE27" s="69">
        <v>4.3643100000000002E-5</v>
      </c>
      <c r="EF27" s="69">
        <v>4.29156E-5</v>
      </c>
      <c r="EG27" s="69">
        <v>4.2200200000000003E-5</v>
      </c>
      <c r="EH27" s="69">
        <v>4.1496799999999999E-5</v>
      </c>
      <c r="EI27" s="69">
        <v>4.08051E-5</v>
      </c>
      <c r="EJ27" s="69">
        <v>4.0125E-5</v>
      </c>
      <c r="EK27" s="69">
        <v>3.9456100000000003E-5</v>
      </c>
      <c r="EL27" s="69">
        <v>3.8798399999999998E-5</v>
      </c>
      <c r="EM27" s="69">
        <v>3.8151700000000003E-5</v>
      </c>
      <c r="EN27" s="69">
        <v>3.7515799999999997E-5</v>
      </c>
      <c r="EO27" s="69">
        <v>3.6890400000000002E-5</v>
      </c>
      <c r="EP27" s="69">
        <v>3.6275500000000002E-5</v>
      </c>
      <c r="EQ27" s="69">
        <v>3.5670799999999997E-5</v>
      </c>
      <c r="ER27" s="69">
        <v>3.5076300000000002E-5</v>
      </c>
      <c r="ES27" s="69">
        <v>3.44916E-5</v>
      </c>
      <c r="ET27" s="69">
        <v>3.39166E-5</v>
      </c>
      <c r="EU27" s="69">
        <v>3.33513E-5</v>
      </c>
      <c r="EV27" s="69">
        <v>3.2795400000000001E-5</v>
      </c>
      <c r="EW27" s="69">
        <v>3.2248700000000002E-5</v>
      </c>
      <c r="EX27" s="69">
        <v>3.1711200000000002E-5</v>
      </c>
      <c r="EY27" s="69">
        <v>3.1182600000000002E-5</v>
      </c>
      <c r="EZ27" s="69">
        <v>3.0662800000000001E-5</v>
      </c>
      <c r="FA27" s="69">
        <v>3.0151700000000001E-5</v>
      </c>
      <c r="FB27" s="69">
        <v>2.96491E-5</v>
      </c>
      <c r="FC27" s="69">
        <v>2.9154900000000001E-5</v>
      </c>
      <c r="FD27" s="69">
        <v>2.8668899999999999E-5</v>
      </c>
      <c r="FE27" s="69">
        <v>2.8191000000000002E-5</v>
      </c>
      <c r="FF27" s="69">
        <v>2.7721100000000001E-5</v>
      </c>
      <c r="FG27" s="69">
        <v>2.7259000000000001E-5</v>
      </c>
      <c r="FH27" s="69">
        <v>2.6804600000000001E-5</v>
      </c>
      <c r="FI27" s="69">
        <v>2.63578E-5</v>
      </c>
      <c r="FJ27" s="69">
        <v>2.5918499999999999E-5</v>
      </c>
      <c r="FK27" s="69">
        <v>2.5486500000000001E-5</v>
      </c>
      <c r="FL27" s="69">
        <v>2.5061600000000001E-5</v>
      </c>
      <c r="FM27" s="69">
        <v>2.46439E-5</v>
      </c>
      <c r="FN27" s="69">
        <v>2.42331E-5</v>
      </c>
      <c r="FO27" s="69">
        <v>2.3829199999999999E-5</v>
      </c>
      <c r="FP27" s="69">
        <v>2.3431899999999998E-5</v>
      </c>
      <c r="FQ27" s="69">
        <v>2.3041399999999999E-5</v>
      </c>
    </row>
    <row r="28" spans="1:173" x14ac:dyDescent="0.25">
      <c r="A28" s="71">
        <v>26</v>
      </c>
      <c r="B28" s="69">
        <v>4.0654379999999999E-4</v>
      </c>
      <c r="C28" s="69">
        <v>4.0219920000000002E-4</v>
      </c>
      <c r="D28" s="69">
        <v>3.9775869999999998E-4</v>
      </c>
      <c r="E28" s="69">
        <v>3.9323560000000001E-4</v>
      </c>
      <c r="F28" s="69">
        <v>3.886424E-4</v>
      </c>
      <c r="G28" s="69">
        <v>3.839906E-4</v>
      </c>
      <c r="H28" s="69">
        <v>3.7929080000000001E-4</v>
      </c>
      <c r="I28" s="69">
        <v>3.7455300000000002E-4</v>
      </c>
      <c r="J28" s="69">
        <v>3.6978599999999999E-4</v>
      </c>
      <c r="K28" s="69">
        <v>3.649983E-4</v>
      </c>
      <c r="L28" s="69">
        <v>3.6019740000000001E-4</v>
      </c>
      <c r="M28" s="69">
        <v>3.5539049999999998E-4</v>
      </c>
      <c r="N28" s="69">
        <v>3.5058380000000002E-4</v>
      </c>
      <c r="O28" s="69">
        <v>3.4578320000000002E-4</v>
      </c>
      <c r="P28" s="69">
        <v>3.4099409999999999E-4</v>
      </c>
      <c r="Q28" s="69">
        <v>3.3622129999999999E-4</v>
      </c>
      <c r="R28" s="69">
        <v>3.3146929999999997E-4</v>
      </c>
      <c r="S28" s="69">
        <v>3.267419E-4</v>
      </c>
      <c r="T28" s="69">
        <v>3.2204279999999998E-4</v>
      </c>
      <c r="U28" s="69">
        <v>3.173753E-4</v>
      </c>
      <c r="V28" s="69">
        <v>3.1274219999999998E-4</v>
      </c>
      <c r="W28" s="69">
        <v>3.0814619999999999E-4</v>
      </c>
      <c r="X28" s="69">
        <v>3.0358959999999998E-4</v>
      </c>
      <c r="Y28" s="69">
        <v>2.990744E-4</v>
      </c>
      <c r="Z28" s="69">
        <v>2.9460260000000002E-4</v>
      </c>
      <c r="AA28" s="69">
        <v>2.9017559999999998E-4</v>
      </c>
      <c r="AB28" s="69">
        <v>2.857949E-4</v>
      </c>
      <c r="AC28" s="69">
        <v>2.814618E-4</v>
      </c>
      <c r="AD28" s="69">
        <v>2.7717719999999999E-4</v>
      </c>
      <c r="AE28" s="69">
        <v>2.7294199999999998E-4</v>
      </c>
      <c r="AF28" s="69">
        <v>2.6875709999999998E-4</v>
      </c>
      <c r="AG28" s="69">
        <v>2.6462289999999998E-4</v>
      </c>
      <c r="AH28" s="69">
        <v>2.6054000000000002E-4</v>
      </c>
      <c r="AI28" s="69">
        <v>2.565089E-4</v>
      </c>
      <c r="AJ28" s="69">
        <v>2.5252960000000002E-4</v>
      </c>
      <c r="AK28" s="69">
        <v>2.4860259999999999E-4</v>
      </c>
      <c r="AL28" s="69">
        <v>2.447277E-4</v>
      </c>
      <c r="AM28" s="69">
        <v>2.4090520000000001E-4</v>
      </c>
      <c r="AN28" s="69">
        <v>2.3713489999999999E-4</v>
      </c>
      <c r="AO28" s="69">
        <v>2.3341670000000001E-4</v>
      </c>
      <c r="AP28" s="69">
        <v>2.2975059999999999E-4</v>
      </c>
      <c r="AQ28" s="69">
        <v>2.2613620000000001E-4</v>
      </c>
      <c r="AR28" s="69">
        <v>2.2257329999999999E-4</v>
      </c>
      <c r="AS28" s="69">
        <v>2.1906160000000001E-4</v>
      </c>
      <c r="AT28" s="69">
        <v>2.1560080000000001E-4</v>
      </c>
      <c r="AU28" s="69">
        <v>2.1219049999999999E-4</v>
      </c>
      <c r="AV28" s="69">
        <v>2.0883030000000001E-4</v>
      </c>
      <c r="AW28" s="69">
        <v>2.0551980000000001E-4</v>
      </c>
      <c r="AX28" s="69">
        <v>2.0225859999999999E-4</v>
      </c>
      <c r="AY28" s="69">
        <v>1.9904610000000001E-4</v>
      </c>
      <c r="AZ28" s="69">
        <v>1.958819E-4</v>
      </c>
      <c r="BA28" s="69">
        <v>1.9276539999999999E-4</v>
      </c>
      <c r="BB28" s="69">
        <v>1.8969629999999999E-4</v>
      </c>
      <c r="BC28" s="69">
        <v>1.8667379999999999E-4</v>
      </c>
      <c r="BD28" s="69">
        <v>1.8369759999999999E-4</v>
      </c>
      <c r="BE28" s="69">
        <v>1.80767E-4</v>
      </c>
      <c r="BF28" s="69">
        <v>1.7788149999999999E-4</v>
      </c>
      <c r="BG28" s="69">
        <v>1.7504050000000001E-4</v>
      </c>
      <c r="BH28" s="69">
        <v>1.7224349999999999E-4</v>
      </c>
      <c r="BI28" s="69">
        <v>1.694899E-4</v>
      </c>
      <c r="BJ28" s="69">
        <v>1.6677909999999999E-4</v>
      </c>
      <c r="BK28" s="69">
        <v>1.6411059999999999E-4</v>
      </c>
      <c r="BL28" s="69">
        <v>1.6148369999999999E-4</v>
      </c>
      <c r="BM28" s="69">
        <v>1.5889800000000001E-4</v>
      </c>
      <c r="BN28" s="69">
        <v>1.5635289999999999E-4</v>
      </c>
      <c r="BO28" s="69">
        <v>1.538477E-4</v>
      </c>
      <c r="BP28" s="69">
        <v>1.513819E-4</v>
      </c>
      <c r="BQ28" s="69">
        <v>1.4895500000000001E-4</v>
      </c>
      <c r="BR28" s="69">
        <v>1.4656639999999999E-4</v>
      </c>
      <c r="BS28" s="69">
        <v>1.4421559999999999E-4</v>
      </c>
      <c r="BT28" s="69">
        <v>1.419019E-4</v>
      </c>
      <c r="BU28" s="69">
        <v>1.3962490000000001E-4</v>
      </c>
      <c r="BV28" s="69">
        <v>1.3738389999999999E-4</v>
      </c>
      <c r="BW28" s="69">
        <v>1.351786E-4</v>
      </c>
      <c r="BX28" s="69">
        <v>1.3300820000000001E-4</v>
      </c>
      <c r="BY28" s="69">
        <v>1.308724E-4</v>
      </c>
      <c r="BZ28" s="69">
        <v>1.2877059999999999E-4</v>
      </c>
      <c r="CA28" s="69">
        <v>1.2670220000000001E-4</v>
      </c>
      <c r="CB28" s="69">
        <v>1.246668E-4</v>
      </c>
      <c r="CC28" s="69">
        <v>1.2266379999999999E-4</v>
      </c>
      <c r="CD28" s="69">
        <v>1.206928E-4</v>
      </c>
      <c r="CE28" s="69">
        <v>1.187533E-4</v>
      </c>
      <c r="CF28" s="69">
        <v>1.168447E-4</v>
      </c>
      <c r="CG28" s="69">
        <v>1.149666E-4</v>
      </c>
      <c r="CH28" s="69">
        <v>1.131186E-4</v>
      </c>
      <c r="CI28" s="69">
        <v>1.113001E-4</v>
      </c>
      <c r="CJ28" s="69">
        <v>1.0951069999999999E-4</v>
      </c>
      <c r="CK28" s="69">
        <v>1.0775E-4</v>
      </c>
      <c r="CL28" s="69">
        <v>1.0601750000000001E-4</v>
      </c>
      <c r="CM28" s="69">
        <v>1.0431269999999999E-4</v>
      </c>
      <c r="CN28" s="69">
        <v>1.026352E-4</v>
      </c>
      <c r="CO28" s="69">
        <v>1.009846E-4</v>
      </c>
      <c r="CP28" s="69">
        <v>9.9360500000000005E-5</v>
      </c>
      <c r="CQ28" s="69">
        <v>9.7762400000000004E-5</v>
      </c>
      <c r="CR28" s="69">
        <v>9.6189900000000005E-5</v>
      </c>
      <c r="CS28" s="69">
        <v>9.4642700000000001E-5</v>
      </c>
      <c r="CT28" s="69">
        <v>9.3120299999999997E-5</v>
      </c>
      <c r="CU28" s="69">
        <v>9.1622300000000005E-5</v>
      </c>
      <c r="CV28" s="69">
        <v>9.0148400000000006E-5</v>
      </c>
      <c r="CW28" s="69">
        <v>8.8698199999999997E-5</v>
      </c>
      <c r="CX28" s="69">
        <v>8.7271199999999999E-5</v>
      </c>
      <c r="CY28" s="69">
        <v>8.5867199999999997E-5</v>
      </c>
      <c r="CZ28" s="69">
        <v>8.4485699999999996E-5</v>
      </c>
      <c r="DA28" s="69">
        <v>8.3126400000000004E-5</v>
      </c>
      <c r="DB28" s="69">
        <v>8.1788900000000006E-5</v>
      </c>
      <c r="DC28" s="69">
        <v>8.0472900000000007E-5</v>
      </c>
      <c r="DD28" s="69">
        <v>7.91781E-5</v>
      </c>
      <c r="DE28" s="69">
        <v>7.7904099999999998E-5</v>
      </c>
      <c r="DF28" s="69">
        <v>7.6650599999999994E-5</v>
      </c>
      <c r="DG28" s="69">
        <v>7.54172E-5</v>
      </c>
      <c r="DH28" s="69">
        <v>7.4203599999999995E-5</v>
      </c>
      <c r="DI28" s="69">
        <v>7.3009600000000007E-5</v>
      </c>
      <c r="DJ28" s="69">
        <v>7.1834699999999999E-5</v>
      </c>
      <c r="DK28" s="69">
        <v>7.0678800000000005E-5</v>
      </c>
      <c r="DL28" s="69">
        <v>6.9541400000000005E-5</v>
      </c>
      <c r="DM28" s="69">
        <v>6.8422299999999997E-5</v>
      </c>
      <c r="DN28" s="69">
        <v>6.7321200000000002E-5</v>
      </c>
      <c r="DO28" s="69">
        <v>6.6237900000000005E-5</v>
      </c>
      <c r="DP28" s="69">
        <v>6.5171899999999999E-5</v>
      </c>
      <c r="DQ28" s="69">
        <v>6.4123100000000003E-5</v>
      </c>
      <c r="DR28" s="69">
        <v>6.3091199999999997E-5</v>
      </c>
      <c r="DS28" s="69">
        <v>6.2075800000000006E-5</v>
      </c>
      <c r="DT28" s="69">
        <v>6.1076799999999998E-5</v>
      </c>
      <c r="DU28" s="69">
        <v>6.0093899999999997E-5</v>
      </c>
      <c r="DV28" s="69">
        <v>5.9126799999999998E-5</v>
      </c>
      <c r="DW28" s="69">
        <v>5.8175199999999998E-5</v>
      </c>
      <c r="DX28" s="69">
        <v>5.7238999999999999E-5</v>
      </c>
      <c r="DY28" s="69">
        <v>5.6317799999999998E-5</v>
      </c>
      <c r="DZ28" s="69">
        <v>5.5411400000000003E-5</v>
      </c>
      <c r="EA28" s="69">
        <v>5.4519599999999999E-5</v>
      </c>
      <c r="EB28" s="69">
        <v>5.3642199999999999E-5</v>
      </c>
      <c r="EC28" s="69">
        <v>5.2778899999999997E-5</v>
      </c>
      <c r="ED28" s="69">
        <v>5.1929499999999998E-5</v>
      </c>
      <c r="EE28" s="69">
        <v>5.1093700000000002E-5</v>
      </c>
      <c r="EF28" s="69">
        <v>5.0271400000000001E-5</v>
      </c>
      <c r="EG28" s="69">
        <v>4.9462300000000002E-5</v>
      </c>
      <c r="EH28" s="69">
        <v>4.8666199999999998E-5</v>
      </c>
      <c r="EI28" s="69">
        <v>4.7883000000000002E-5</v>
      </c>
      <c r="EJ28" s="69">
        <v>4.71124E-5</v>
      </c>
      <c r="EK28" s="69">
        <v>4.6354099999999997E-5</v>
      </c>
      <c r="EL28" s="69">
        <v>4.5608100000000001E-5</v>
      </c>
      <c r="EM28" s="69">
        <v>4.4873999999999998E-5</v>
      </c>
      <c r="EN28" s="69">
        <v>4.41518E-5</v>
      </c>
      <c r="EO28" s="69">
        <v>4.34412E-5</v>
      </c>
      <c r="EP28" s="69">
        <v>4.2741999999999998E-5</v>
      </c>
      <c r="EQ28" s="69">
        <v>4.2054100000000001E-5</v>
      </c>
      <c r="ER28" s="69">
        <v>4.1377300000000001E-5</v>
      </c>
      <c r="ES28" s="69">
        <v>4.0711299999999998E-5</v>
      </c>
      <c r="ET28" s="69">
        <v>4.0056099999999998E-5</v>
      </c>
      <c r="EU28" s="69">
        <v>3.94114E-5</v>
      </c>
      <c r="EV28" s="69">
        <v>3.8777099999999998E-5</v>
      </c>
      <c r="EW28" s="69">
        <v>3.8152999999999999E-5</v>
      </c>
      <c r="EX28" s="69">
        <v>3.7538900000000001E-5</v>
      </c>
      <c r="EY28" s="69">
        <v>3.6934699999999997E-5</v>
      </c>
      <c r="EZ28" s="69">
        <v>3.6340300000000002E-5</v>
      </c>
      <c r="FA28" s="69">
        <v>3.57554E-5</v>
      </c>
      <c r="FB28" s="69">
        <v>3.5179899999999998E-5</v>
      </c>
      <c r="FC28" s="69">
        <v>3.4613699999999997E-5</v>
      </c>
      <c r="FD28" s="69">
        <v>3.4056600000000002E-5</v>
      </c>
      <c r="FE28" s="69">
        <v>3.3508399999999999E-5</v>
      </c>
      <c r="FF28" s="69">
        <v>3.2969100000000003E-5</v>
      </c>
      <c r="FG28" s="69">
        <v>3.2438499999999998E-5</v>
      </c>
      <c r="FH28" s="69">
        <v>3.1916399999999998E-5</v>
      </c>
      <c r="FI28" s="69">
        <v>3.1402699999999997E-5</v>
      </c>
      <c r="FJ28" s="69">
        <v>3.08973E-5</v>
      </c>
      <c r="FK28" s="69">
        <v>3.04E-5</v>
      </c>
      <c r="FL28" s="69">
        <v>2.9910700000000001E-5</v>
      </c>
      <c r="FM28" s="69">
        <v>2.94293E-5</v>
      </c>
      <c r="FN28" s="69">
        <v>2.8955600000000001E-5</v>
      </c>
      <c r="FO28" s="69">
        <v>2.8489599999999999E-5</v>
      </c>
      <c r="FP28" s="69">
        <v>2.8031E-5</v>
      </c>
      <c r="FQ28" s="69">
        <v>2.75799E-5</v>
      </c>
    </row>
    <row r="29" spans="1:173" x14ac:dyDescent="0.25">
      <c r="A29" s="71">
        <v>27</v>
      </c>
      <c r="B29" s="69">
        <v>4.0020529999999999E-4</v>
      </c>
      <c r="C29" s="69">
        <v>3.9437929999999998E-4</v>
      </c>
      <c r="D29" s="69">
        <v>3.8860019999999997E-4</v>
      </c>
      <c r="E29" s="69">
        <v>3.8287070000000002E-4</v>
      </c>
      <c r="F29" s="69">
        <v>3.7719350000000001E-4</v>
      </c>
      <c r="G29" s="69">
        <v>3.715708E-4</v>
      </c>
      <c r="H29" s="69">
        <v>3.6600469999999998E-4</v>
      </c>
      <c r="I29" s="69">
        <v>3.6049669999999999E-4</v>
      </c>
      <c r="J29" s="69">
        <v>3.5504859999999999E-4</v>
      </c>
      <c r="K29" s="69">
        <v>3.496614E-4</v>
      </c>
      <c r="L29" s="69">
        <v>3.4433640000000002E-4</v>
      </c>
      <c r="M29" s="69">
        <v>3.390744E-4</v>
      </c>
      <c r="N29" s="69">
        <v>3.3387629999999998E-4</v>
      </c>
      <c r="O29" s="69">
        <v>3.2874249999999999E-4</v>
      </c>
      <c r="P29" s="69">
        <v>3.236736E-4</v>
      </c>
      <c r="Q29" s="69">
        <v>3.1866989999999998E-4</v>
      </c>
      <c r="R29" s="69">
        <v>3.1373160000000002E-4</v>
      </c>
      <c r="S29" s="69">
        <v>3.088589E-4</v>
      </c>
      <c r="T29" s="69">
        <v>3.0405180000000001E-4</v>
      </c>
      <c r="U29" s="69">
        <v>2.9931020000000002E-4</v>
      </c>
      <c r="V29" s="69">
        <v>2.9463409999999998E-4</v>
      </c>
      <c r="W29" s="69">
        <v>2.9002310000000002E-4</v>
      </c>
      <c r="X29" s="69">
        <v>2.8547700000000002E-4</v>
      </c>
      <c r="Y29" s="69">
        <v>2.8099560000000002E-4</v>
      </c>
      <c r="Z29" s="69">
        <v>2.7657840000000001E-4</v>
      </c>
      <c r="AA29" s="69">
        <v>2.7222500000000002E-4</v>
      </c>
      <c r="AB29" s="69">
        <v>2.6793489999999998E-4</v>
      </c>
      <c r="AC29" s="69">
        <v>2.6370769999999998E-4</v>
      </c>
      <c r="AD29" s="69">
        <v>2.595427E-4</v>
      </c>
      <c r="AE29" s="69">
        <v>2.5543959999999998E-4</v>
      </c>
      <c r="AF29" s="69">
        <v>2.513975E-4</v>
      </c>
      <c r="AG29" s="69">
        <v>2.4741599999999998E-4</v>
      </c>
      <c r="AH29" s="69">
        <v>2.434945E-4</v>
      </c>
      <c r="AI29" s="69">
        <v>2.396322E-4</v>
      </c>
      <c r="AJ29" s="69">
        <v>2.358285E-4</v>
      </c>
      <c r="AK29" s="69">
        <v>2.3208270000000001E-4</v>
      </c>
      <c r="AL29" s="69">
        <v>2.283942E-4</v>
      </c>
      <c r="AM29" s="69">
        <v>2.247622E-4</v>
      </c>
      <c r="AN29" s="69">
        <v>2.2118610000000001E-4</v>
      </c>
      <c r="AO29" s="69">
        <v>2.176651E-4</v>
      </c>
      <c r="AP29" s="69">
        <v>2.1419860000000001E-4</v>
      </c>
      <c r="AQ29" s="69">
        <v>2.1078580000000001E-4</v>
      </c>
      <c r="AR29" s="69">
        <v>2.07426E-4</v>
      </c>
      <c r="AS29" s="69">
        <v>2.0411849999999999E-4</v>
      </c>
      <c r="AT29" s="69">
        <v>2.0086250000000001E-4</v>
      </c>
      <c r="AU29" s="69">
        <v>1.9765749999999999E-4</v>
      </c>
      <c r="AV29" s="69">
        <v>1.945026E-4</v>
      </c>
      <c r="AW29" s="69">
        <v>1.9139720000000001E-4</v>
      </c>
      <c r="AX29" s="69">
        <v>1.8834050000000001E-4</v>
      </c>
      <c r="AY29" s="69">
        <v>1.8533189999999999E-4</v>
      </c>
      <c r="AZ29" s="69">
        <v>1.8237059999999999E-4</v>
      </c>
      <c r="BA29" s="69">
        <v>1.7945609999999999E-4</v>
      </c>
      <c r="BB29" s="69">
        <v>1.765875E-4</v>
      </c>
      <c r="BC29" s="69">
        <v>1.7376420000000001E-4</v>
      </c>
      <c r="BD29" s="69">
        <v>1.709855E-4</v>
      </c>
      <c r="BE29" s="69">
        <v>1.682508E-4</v>
      </c>
      <c r="BF29" s="69">
        <v>1.655595E-4</v>
      </c>
      <c r="BG29" s="69">
        <v>1.629108E-4</v>
      </c>
      <c r="BH29" s="69">
        <v>1.6030410000000001E-4</v>
      </c>
      <c r="BI29" s="69">
        <v>1.5773879999999999E-4</v>
      </c>
      <c r="BJ29" s="69">
        <v>1.552142E-4</v>
      </c>
      <c r="BK29" s="69">
        <v>1.5272969999999999E-4</v>
      </c>
      <c r="BL29" s="69">
        <v>1.5028479999999999E-4</v>
      </c>
      <c r="BM29" s="69">
        <v>1.478788E-4</v>
      </c>
      <c r="BN29" s="69">
        <v>1.455111E-4</v>
      </c>
      <c r="BO29" s="69">
        <v>1.4318100000000001E-4</v>
      </c>
      <c r="BP29" s="69">
        <v>1.4088809999999999E-4</v>
      </c>
      <c r="BQ29" s="69">
        <v>1.3863180000000001E-4</v>
      </c>
      <c r="BR29" s="69">
        <v>1.3641139999999999E-4</v>
      </c>
      <c r="BS29" s="69">
        <v>1.3422649999999999E-4</v>
      </c>
      <c r="BT29" s="69">
        <v>1.3207639999999999E-4</v>
      </c>
      <c r="BU29" s="69">
        <v>1.299606E-4</v>
      </c>
      <c r="BV29" s="69">
        <v>1.2787860000000001E-4</v>
      </c>
      <c r="BW29" s="69">
        <v>1.258299E-4</v>
      </c>
      <c r="BX29" s="69">
        <v>1.238139E-4</v>
      </c>
      <c r="BY29" s="69">
        <v>1.218301E-4</v>
      </c>
      <c r="BZ29" s="69">
        <v>1.1987800000000001E-4</v>
      </c>
      <c r="CA29" s="69">
        <v>1.179571E-4</v>
      </c>
      <c r="CB29" s="69">
        <v>1.1606690000000001E-4</v>
      </c>
      <c r="CC29" s="69">
        <v>1.14207E-4</v>
      </c>
      <c r="CD29" s="69">
        <v>1.123768E-4</v>
      </c>
      <c r="CE29" s="69">
        <v>1.1057580000000001E-4</v>
      </c>
      <c r="CF29" s="69">
        <v>1.088037E-4</v>
      </c>
      <c r="CG29" s="69">
        <v>1.0705999999999999E-4</v>
      </c>
      <c r="CH29" s="69">
        <v>1.0534410000000001E-4</v>
      </c>
      <c r="CI29" s="69">
        <v>1.036557E-4</v>
      </c>
      <c r="CJ29" s="69">
        <v>1.0199429999999999E-4</v>
      </c>
      <c r="CK29" s="69">
        <v>1.0035959999999999E-4</v>
      </c>
      <c r="CL29" s="69">
        <v>9.8751000000000004E-5</v>
      </c>
      <c r="CM29" s="69">
        <v>9.7168099999999996E-5</v>
      </c>
      <c r="CN29" s="69">
        <v>9.5610600000000002E-5</v>
      </c>
      <c r="CO29" s="69">
        <v>9.4078000000000003E-5</v>
      </c>
      <c r="CP29" s="69">
        <v>9.2570000000000003E-5</v>
      </c>
      <c r="CQ29" s="69">
        <v>9.1086200000000002E-5</v>
      </c>
      <c r="CR29" s="69">
        <v>8.9626100000000006E-5</v>
      </c>
      <c r="CS29" s="69">
        <v>8.8189400000000006E-5</v>
      </c>
      <c r="CT29" s="69">
        <v>8.6775700000000003E-5</v>
      </c>
      <c r="CU29" s="69">
        <v>8.5384599999999996E-5</v>
      </c>
      <c r="CV29" s="69">
        <v>8.4015899999999996E-5</v>
      </c>
      <c r="CW29" s="69">
        <v>8.2669000000000004E-5</v>
      </c>
      <c r="CX29" s="69">
        <v>8.1343799999999999E-5</v>
      </c>
      <c r="CY29" s="69">
        <v>8.0039700000000006E-5</v>
      </c>
      <c r="CZ29" s="69">
        <v>7.8756600000000004E-5</v>
      </c>
      <c r="DA29" s="69">
        <v>7.7494099999999994E-5</v>
      </c>
      <c r="DB29" s="69">
        <v>7.6251699999999994E-5</v>
      </c>
      <c r="DC29" s="69">
        <v>7.5029299999999997E-5</v>
      </c>
      <c r="DD29" s="69">
        <v>7.3826500000000002E-5</v>
      </c>
      <c r="DE29" s="69">
        <v>7.2642899999999995E-5</v>
      </c>
      <c r="DF29" s="69">
        <v>7.1478300000000003E-5</v>
      </c>
      <c r="DG29" s="69">
        <v>7.0332400000000004E-5</v>
      </c>
      <c r="DH29" s="69">
        <v>6.9204900000000005E-5</v>
      </c>
      <c r="DI29" s="69">
        <v>6.8095400000000005E-5</v>
      </c>
      <c r="DJ29" s="69">
        <v>6.7003700000000004E-5</v>
      </c>
      <c r="DK29" s="69">
        <v>6.5929500000000006E-5</v>
      </c>
      <c r="DL29" s="69">
        <v>6.4872500000000006E-5</v>
      </c>
      <c r="DM29" s="69">
        <v>6.3832399999999996E-5</v>
      </c>
      <c r="DN29" s="69">
        <v>6.2809099999999995E-5</v>
      </c>
      <c r="DO29" s="69">
        <v>6.1802099999999996E-5</v>
      </c>
      <c r="DP29" s="69">
        <v>6.0811299999999998E-5</v>
      </c>
      <c r="DQ29" s="69">
        <v>5.9836300000000002E-5</v>
      </c>
      <c r="DR29" s="69">
        <v>5.8876999999999999E-5</v>
      </c>
      <c r="DS29" s="69">
        <v>5.7933100000000003E-5</v>
      </c>
      <c r="DT29" s="69">
        <v>5.7004199999999999E-5</v>
      </c>
      <c r="DU29" s="69">
        <v>5.6090300000000001E-5</v>
      </c>
      <c r="DV29" s="69">
        <v>5.5191100000000001E-5</v>
      </c>
      <c r="DW29" s="69">
        <v>5.4306199999999999E-5</v>
      </c>
      <c r="DX29" s="69">
        <v>5.34355E-5</v>
      </c>
      <c r="DY29" s="69">
        <v>5.2578799999999999E-5</v>
      </c>
      <c r="DZ29" s="69">
        <v>5.17358E-5</v>
      </c>
      <c r="EA29" s="69">
        <v>5.0906399999999998E-5</v>
      </c>
      <c r="EB29" s="69">
        <v>5.0090199999999997E-5</v>
      </c>
      <c r="EC29" s="69">
        <v>4.9287099999999998E-5</v>
      </c>
      <c r="ED29" s="69">
        <v>4.84969E-5</v>
      </c>
      <c r="EE29" s="69">
        <v>4.7719400000000003E-5</v>
      </c>
      <c r="EF29" s="69">
        <v>4.6954299999999999E-5</v>
      </c>
      <c r="EG29" s="69">
        <v>4.6201500000000001E-5</v>
      </c>
      <c r="EH29" s="69">
        <v>4.5460799999999997E-5</v>
      </c>
      <c r="EI29" s="69">
        <v>4.4731899999999998E-5</v>
      </c>
      <c r="EJ29" s="69">
        <v>4.4014699999999997E-5</v>
      </c>
      <c r="EK29" s="69">
        <v>4.3309000000000002E-5</v>
      </c>
      <c r="EL29" s="69">
        <v>4.2614699999999997E-5</v>
      </c>
      <c r="EM29" s="69">
        <v>4.1931400000000003E-5</v>
      </c>
      <c r="EN29" s="69">
        <v>4.12592E-5</v>
      </c>
      <c r="EO29" s="69">
        <v>4.0597699999999999E-5</v>
      </c>
      <c r="EP29" s="69">
        <v>3.9946800000000002E-5</v>
      </c>
      <c r="EQ29" s="69">
        <v>3.93063E-5</v>
      </c>
      <c r="ER29" s="69">
        <v>3.8676100000000001E-5</v>
      </c>
      <c r="ES29" s="69">
        <v>3.8056000000000003E-5</v>
      </c>
      <c r="ET29" s="69">
        <v>3.74459E-5</v>
      </c>
      <c r="EU29" s="69">
        <v>3.6845499999999998E-5</v>
      </c>
      <c r="EV29" s="69">
        <v>3.6254799999999997E-5</v>
      </c>
      <c r="EW29" s="69">
        <v>3.5673500000000003E-5</v>
      </c>
      <c r="EX29" s="69">
        <v>3.5101500000000003E-5</v>
      </c>
      <c r="EY29" s="69">
        <v>3.4538700000000002E-5</v>
      </c>
      <c r="EZ29" s="69">
        <v>3.3985000000000001E-5</v>
      </c>
      <c r="FA29" s="69">
        <v>3.3440099999999999E-5</v>
      </c>
      <c r="FB29" s="69">
        <v>3.2904000000000002E-5</v>
      </c>
      <c r="FC29" s="69">
        <v>3.2376399999999997E-5</v>
      </c>
      <c r="FD29" s="69">
        <v>3.1857299999999997E-5</v>
      </c>
      <c r="FE29" s="69">
        <v>3.1346500000000002E-5</v>
      </c>
      <c r="FF29" s="69">
        <v>3.0843999999999998E-5</v>
      </c>
      <c r="FG29" s="69">
        <v>3.0349400000000001E-5</v>
      </c>
      <c r="FH29" s="69">
        <v>2.9862900000000002E-5</v>
      </c>
      <c r="FI29" s="69">
        <v>2.9384099999999999E-5</v>
      </c>
      <c r="FJ29" s="69">
        <v>2.8912899999999999E-5</v>
      </c>
      <c r="FK29" s="69">
        <v>2.8449399999999999E-5</v>
      </c>
      <c r="FL29" s="69">
        <v>2.7993200000000002E-5</v>
      </c>
      <c r="FM29" s="69">
        <v>2.75444E-5</v>
      </c>
      <c r="FN29" s="69">
        <v>2.7102800000000001E-5</v>
      </c>
      <c r="FO29" s="69">
        <v>2.66683E-5</v>
      </c>
      <c r="FP29" s="69">
        <v>2.6240700000000001E-5</v>
      </c>
      <c r="FQ29" s="69">
        <v>2.582E-5</v>
      </c>
    </row>
    <row r="30" spans="1:173" x14ac:dyDescent="0.25">
      <c r="A30" s="71">
        <v>28</v>
      </c>
      <c r="B30" s="69">
        <v>4.349415E-4</v>
      </c>
      <c r="C30" s="69">
        <v>4.2878909999999998E-4</v>
      </c>
      <c r="D30" s="69">
        <v>4.2268619999999999E-4</v>
      </c>
      <c r="E30" s="69">
        <v>4.166358E-4</v>
      </c>
      <c r="F30" s="69">
        <v>4.106402E-4</v>
      </c>
      <c r="G30" s="69">
        <v>4.0470170000000001E-4</v>
      </c>
      <c r="H30" s="69">
        <v>3.9882209999999999E-4</v>
      </c>
      <c r="I30" s="69">
        <v>3.9300320000000002E-4</v>
      </c>
      <c r="J30" s="69">
        <v>3.8724629999999999E-4</v>
      </c>
      <c r="K30" s="69">
        <v>3.8155269999999998E-4</v>
      </c>
      <c r="L30" s="69">
        <v>3.7592339999999999E-4</v>
      </c>
      <c r="M30" s="69">
        <v>3.7035939999999998E-4</v>
      </c>
      <c r="N30" s="69">
        <v>3.6486119999999998E-4</v>
      </c>
      <c r="O30" s="69">
        <v>3.5942960000000002E-4</v>
      </c>
      <c r="P30" s="69">
        <v>3.540649E-4</v>
      </c>
      <c r="Q30" s="69">
        <v>3.4876740000000002E-4</v>
      </c>
      <c r="R30" s="69">
        <v>3.4353740000000002E-4</v>
      </c>
      <c r="S30" s="69">
        <v>3.3837489999999999E-4</v>
      </c>
      <c r="T30" s="69">
        <v>3.3327999999999998E-4</v>
      </c>
      <c r="U30" s="69">
        <v>3.282526E-4</v>
      </c>
      <c r="V30" s="69">
        <v>3.2329260000000002E-4</v>
      </c>
      <c r="W30" s="69">
        <v>3.1839969999999999E-4</v>
      </c>
      <c r="X30" s="69">
        <v>3.1357359999999998E-4</v>
      </c>
      <c r="Y30" s="69">
        <v>3.0881410000000001E-4</v>
      </c>
      <c r="Z30" s="69">
        <v>3.0412069999999998E-4</v>
      </c>
      <c r="AA30" s="69">
        <v>2.9949309999999999E-4</v>
      </c>
      <c r="AB30" s="69">
        <v>2.9493070000000002E-4</v>
      </c>
      <c r="AC30" s="69">
        <v>2.9043299999999999E-4</v>
      </c>
      <c r="AD30" s="69">
        <v>2.8599959999999998E-4</v>
      </c>
      <c r="AE30" s="69">
        <v>2.8162979999999998E-4</v>
      </c>
      <c r="AF30" s="69">
        <v>2.7732309999999998E-4</v>
      </c>
      <c r="AG30" s="69">
        <v>2.7307880000000001E-4</v>
      </c>
      <c r="AH30" s="69">
        <v>2.6889630000000002E-4</v>
      </c>
      <c r="AI30" s="69">
        <v>2.6477500000000003E-4</v>
      </c>
      <c r="AJ30" s="69">
        <v>2.6071420000000001E-4</v>
      </c>
      <c r="AK30" s="69">
        <v>2.5671320000000001E-4</v>
      </c>
      <c r="AL30" s="69">
        <v>2.5277140000000002E-4</v>
      </c>
      <c r="AM30" s="69">
        <v>2.4888800000000001E-4</v>
      </c>
      <c r="AN30" s="69">
        <v>2.4506240000000002E-4</v>
      </c>
      <c r="AO30" s="69">
        <v>2.4129380000000001E-4</v>
      </c>
      <c r="AP30" s="69">
        <v>2.3758159999999999E-4</v>
      </c>
      <c r="AQ30" s="69">
        <v>2.3392500000000001E-4</v>
      </c>
      <c r="AR30" s="69">
        <v>2.3032320000000001E-4</v>
      </c>
      <c r="AS30" s="69">
        <v>2.2677569999999999E-4</v>
      </c>
      <c r="AT30" s="69">
        <v>2.232817E-4</v>
      </c>
      <c r="AU30" s="69">
        <v>2.1984040000000001E-4</v>
      </c>
      <c r="AV30" s="69">
        <v>2.164511E-4</v>
      </c>
      <c r="AW30" s="69">
        <v>2.1311330000000001E-4</v>
      </c>
      <c r="AX30" s="69">
        <v>2.0982600000000001E-4</v>
      </c>
      <c r="AY30" s="69">
        <v>2.065887E-4</v>
      </c>
      <c r="AZ30" s="69">
        <v>2.034006E-4</v>
      </c>
      <c r="BA30" s="69">
        <v>2.0026110000000001E-4</v>
      </c>
      <c r="BB30" s="69">
        <v>1.971694E-4</v>
      </c>
      <c r="BC30" s="69">
        <v>1.9412490000000001E-4</v>
      </c>
      <c r="BD30" s="69">
        <v>1.91127E-4</v>
      </c>
      <c r="BE30" s="69">
        <v>1.8817479999999999E-4</v>
      </c>
      <c r="BF30" s="69">
        <v>1.852678E-4</v>
      </c>
      <c r="BG30" s="69">
        <v>1.8240530000000001E-4</v>
      </c>
      <c r="BH30" s="69">
        <v>1.7958669999999999E-4</v>
      </c>
      <c r="BI30" s="69">
        <v>1.7681129999999999E-4</v>
      </c>
      <c r="BJ30" s="69">
        <v>1.7407849999999999E-4</v>
      </c>
      <c r="BK30" s="69">
        <v>1.713877E-4</v>
      </c>
      <c r="BL30" s="69">
        <v>1.6873809999999999E-4</v>
      </c>
      <c r="BM30" s="69">
        <v>1.6612929999999999E-4</v>
      </c>
      <c r="BN30" s="69">
        <v>1.635606E-4</v>
      </c>
      <c r="BO30" s="69">
        <v>1.6103140000000001E-4</v>
      </c>
      <c r="BP30" s="69">
        <v>1.5854120000000001E-4</v>
      </c>
      <c r="BQ30" s="69">
        <v>1.560892E-4</v>
      </c>
      <c r="BR30" s="69">
        <v>1.5367509999999999E-4</v>
      </c>
      <c r="BS30" s="69">
        <v>1.5129809999999999E-4</v>
      </c>
      <c r="BT30" s="69">
        <v>1.4895770000000001E-4</v>
      </c>
      <c r="BU30" s="69">
        <v>1.4665349999999999E-4</v>
      </c>
      <c r="BV30" s="69">
        <v>1.443847E-4</v>
      </c>
      <c r="BW30" s="69">
        <v>1.42151E-4</v>
      </c>
      <c r="BX30" s="69">
        <v>1.399517E-4</v>
      </c>
      <c r="BY30" s="69">
        <v>1.3778630000000001E-4</v>
      </c>
      <c r="BZ30" s="69">
        <v>1.356544E-4</v>
      </c>
      <c r="CA30" s="69">
        <v>1.3355539999999999E-4</v>
      </c>
      <c r="CB30" s="69">
        <v>1.314888E-4</v>
      </c>
      <c r="CC30" s="69">
        <v>1.2945409999999999E-4</v>
      </c>
      <c r="CD30" s="69">
        <v>1.2745080000000001E-4</v>
      </c>
      <c r="CE30" s="69">
        <v>1.254785E-4</v>
      </c>
      <c r="CF30" s="69">
        <v>1.2353660000000001E-4</v>
      </c>
      <c r="CG30" s="69">
        <v>1.2162469999999999E-4</v>
      </c>
      <c r="CH30" s="69">
        <v>1.1974239999999999E-4</v>
      </c>
      <c r="CI30" s="69">
        <v>1.178892E-4</v>
      </c>
      <c r="CJ30" s="69">
        <v>1.1606459999999999E-4</v>
      </c>
      <c r="CK30" s="69">
        <v>1.1426830000000001E-4</v>
      </c>
      <c r="CL30" s="69">
        <v>1.124997E-4</v>
      </c>
      <c r="CM30" s="69">
        <v>1.107584E-4</v>
      </c>
      <c r="CN30" s="69">
        <v>1.090441E-4</v>
      </c>
      <c r="CO30" s="69">
        <v>1.073563E-4</v>
      </c>
      <c r="CP30" s="69">
        <v>1.056945E-4</v>
      </c>
      <c r="CQ30" s="69">
        <v>1.0405850000000001E-4</v>
      </c>
      <c r="CR30" s="69">
        <v>1.0244780000000001E-4</v>
      </c>
      <c r="CS30" s="69">
        <v>1.00862E-4</v>
      </c>
      <c r="CT30" s="69">
        <v>9.9300699999999996E-5</v>
      </c>
      <c r="CU30" s="69">
        <v>9.7763599999999993E-5</v>
      </c>
      <c r="CV30" s="69">
        <v>9.6250300000000002E-5</v>
      </c>
      <c r="CW30" s="69">
        <v>9.4760399999999995E-5</v>
      </c>
      <c r="CX30" s="69">
        <v>9.3293499999999997E-5</v>
      </c>
      <c r="CY30" s="69">
        <v>9.1849300000000002E-5</v>
      </c>
      <c r="CZ30" s="69">
        <v>9.0427500000000001E-5</v>
      </c>
      <c r="DA30" s="69">
        <v>8.9027600000000001E-5</v>
      </c>
      <c r="DB30" s="69">
        <v>8.7649499999999995E-5</v>
      </c>
      <c r="DC30" s="69">
        <v>8.6292599999999994E-5</v>
      </c>
      <c r="DD30" s="69">
        <v>8.4956800000000006E-5</v>
      </c>
      <c r="DE30" s="69">
        <v>8.3641599999999996E-5</v>
      </c>
      <c r="DF30" s="69">
        <v>8.2346800000000002E-5</v>
      </c>
      <c r="DG30" s="69">
        <v>8.1071999999999999E-5</v>
      </c>
      <c r="DH30" s="69">
        <v>7.9816999999999998E-5</v>
      </c>
      <c r="DI30" s="69">
        <v>7.8581300000000006E-5</v>
      </c>
      <c r="DJ30" s="69">
        <v>7.7364800000000002E-5</v>
      </c>
      <c r="DK30" s="69">
        <v>7.6167099999999998E-5</v>
      </c>
      <c r="DL30" s="69">
        <v>7.4987999999999994E-5</v>
      </c>
      <c r="DM30" s="69">
        <v>7.3827100000000003E-5</v>
      </c>
      <c r="DN30" s="69">
        <v>7.2684199999999998E-5</v>
      </c>
      <c r="DO30" s="69">
        <v>7.1558900000000004E-5</v>
      </c>
      <c r="DP30" s="69">
        <v>7.04511E-5</v>
      </c>
      <c r="DQ30" s="69">
        <v>6.9360499999999994E-5</v>
      </c>
      <c r="DR30" s="69">
        <v>6.8286699999999998E-5</v>
      </c>
      <c r="DS30" s="69">
        <v>6.7229499999999997E-5</v>
      </c>
      <c r="DT30" s="69">
        <v>6.6188700000000005E-5</v>
      </c>
      <c r="DU30" s="69">
        <v>6.5164000000000002E-5</v>
      </c>
      <c r="DV30" s="69">
        <v>6.4155199999999999E-5</v>
      </c>
      <c r="DW30" s="69">
        <v>6.3162000000000003E-5</v>
      </c>
      <c r="DX30" s="69">
        <v>6.2184100000000007E-5</v>
      </c>
      <c r="DY30" s="69">
        <v>6.1221400000000003E-5</v>
      </c>
      <c r="DZ30" s="69">
        <v>6.0273599999999998E-5</v>
      </c>
      <c r="EA30" s="69">
        <v>5.9340499999999999E-5</v>
      </c>
      <c r="EB30" s="69">
        <v>5.8421799999999997E-5</v>
      </c>
      <c r="EC30" s="69">
        <v>5.7517399999999999E-5</v>
      </c>
      <c r="ED30" s="69">
        <v>5.6626899999999998E-5</v>
      </c>
      <c r="EE30" s="69">
        <v>5.57502E-5</v>
      </c>
      <c r="EF30" s="69">
        <v>5.4887099999999998E-5</v>
      </c>
      <c r="EG30" s="69">
        <v>5.4037399999999999E-5</v>
      </c>
      <c r="EH30" s="69">
        <v>5.3200800000000001E-5</v>
      </c>
      <c r="EI30" s="69">
        <v>5.2377199999999997E-5</v>
      </c>
      <c r="EJ30" s="69">
        <v>5.1566300000000001E-5</v>
      </c>
      <c r="EK30" s="69">
        <v>5.0767899999999999E-5</v>
      </c>
      <c r="EL30" s="69">
        <v>4.9981999999999997E-5</v>
      </c>
      <c r="EM30" s="69">
        <v>4.9208200000000001E-5</v>
      </c>
      <c r="EN30" s="69">
        <v>4.8446299999999997E-5</v>
      </c>
      <c r="EO30" s="69">
        <v>4.7696299999999999E-5</v>
      </c>
      <c r="EP30" s="69">
        <v>4.69579E-5</v>
      </c>
      <c r="EQ30" s="69">
        <v>4.6230899999999998E-5</v>
      </c>
      <c r="ER30" s="69">
        <v>4.5515200000000001E-5</v>
      </c>
      <c r="ES30" s="69">
        <v>4.4810500000000001E-5</v>
      </c>
      <c r="ET30" s="69">
        <v>4.4116699999999997E-5</v>
      </c>
      <c r="EU30" s="69">
        <v>4.3433699999999997E-5</v>
      </c>
      <c r="EV30" s="69">
        <v>4.27613E-5</v>
      </c>
      <c r="EW30" s="69">
        <v>4.2099299999999999E-5</v>
      </c>
      <c r="EX30" s="69">
        <v>4.1447499999999999E-5</v>
      </c>
      <c r="EY30" s="69">
        <v>4.0805800000000002E-5</v>
      </c>
      <c r="EZ30" s="69">
        <v>4.0174099999999999E-5</v>
      </c>
      <c r="FA30" s="69">
        <v>3.9552099999999997E-5</v>
      </c>
      <c r="FB30" s="69">
        <v>3.8939800000000003E-5</v>
      </c>
      <c r="FC30" s="69">
        <v>3.8336900000000002E-5</v>
      </c>
      <c r="FD30" s="69">
        <v>3.7743400000000002E-5</v>
      </c>
      <c r="FE30" s="69">
        <v>3.7159000000000001E-5</v>
      </c>
      <c r="FF30" s="69">
        <v>3.65837E-5</v>
      </c>
      <c r="FG30" s="69">
        <v>3.6017399999999998E-5</v>
      </c>
      <c r="FH30" s="69">
        <v>3.5459700000000002E-5</v>
      </c>
      <c r="FI30" s="69">
        <v>3.4910799999999998E-5</v>
      </c>
      <c r="FJ30" s="69">
        <v>3.4370299999999999E-5</v>
      </c>
      <c r="FK30" s="69">
        <v>3.3838199999999997E-5</v>
      </c>
      <c r="FL30" s="69">
        <v>3.3314300000000001E-5</v>
      </c>
      <c r="FM30" s="69">
        <v>3.2798500000000001E-5</v>
      </c>
      <c r="FN30" s="69">
        <v>3.2290699999999999E-5</v>
      </c>
      <c r="FO30" s="69">
        <v>3.1790800000000001E-5</v>
      </c>
      <c r="FP30" s="69">
        <v>3.1298599999999999E-5</v>
      </c>
      <c r="FQ30" s="69">
        <v>3.08141E-5</v>
      </c>
    </row>
    <row r="31" spans="1:173" x14ac:dyDescent="0.25">
      <c r="A31" s="71">
        <v>29</v>
      </c>
      <c r="B31" s="69">
        <v>4.5662200000000001E-4</v>
      </c>
      <c r="C31" s="69">
        <v>4.498382E-4</v>
      </c>
      <c r="D31" s="69">
        <v>4.4313410000000001E-4</v>
      </c>
      <c r="E31" s="69">
        <v>4.3651060000000002E-4</v>
      </c>
      <c r="F31" s="69">
        <v>4.2996830000000002E-4</v>
      </c>
      <c r="G31" s="69">
        <v>4.2350770000000002E-4</v>
      </c>
      <c r="H31" s="69">
        <v>4.1712900000000002E-4</v>
      </c>
      <c r="I31" s="69">
        <v>4.108324E-4</v>
      </c>
      <c r="J31" s="69">
        <v>4.0461819999999999E-4</v>
      </c>
      <c r="K31" s="69">
        <v>3.9848610000000001E-4</v>
      </c>
      <c r="L31" s="69">
        <v>3.924361E-4</v>
      </c>
      <c r="M31" s="69">
        <v>3.86468E-4</v>
      </c>
      <c r="N31" s="69">
        <v>3.8058139999999998E-4</v>
      </c>
      <c r="O31" s="69">
        <v>3.74776E-4</v>
      </c>
      <c r="P31" s="69">
        <v>3.6905139999999999E-4</v>
      </c>
      <c r="Q31" s="69">
        <v>3.6340709999999998E-4</v>
      </c>
      <c r="R31" s="69">
        <v>3.5784249999999999E-4</v>
      </c>
      <c r="S31" s="69">
        <v>3.5235699999999997E-4</v>
      </c>
      <c r="T31" s="69">
        <v>3.4695E-4</v>
      </c>
      <c r="U31" s="69">
        <v>3.4162089999999998E-4</v>
      </c>
      <c r="V31" s="69">
        <v>3.3636879999999998E-4</v>
      </c>
      <c r="W31" s="69">
        <v>3.3119319999999999E-4</v>
      </c>
      <c r="X31" s="69">
        <v>3.2609309999999999E-4</v>
      </c>
      <c r="Y31" s="69">
        <v>3.210679E-4</v>
      </c>
      <c r="Z31" s="69">
        <v>3.1611680000000002E-4</v>
      </c>
      <c r="AA31" s="69">
        <v>3.1123879999999998E-4</v>
      </c>
      <c r="AB31" s="69">
        <v>3.0643329999999999E-4</v>
      </c>
      <c r="AC31" s="69">
        <v>3.0169929999999999E-4</v>
      </c>
      <c r="AD31" s="69">
        <v>2.970359E-4</v>
      </c>
      <c r="AE31" s="69">
        <v>2.9244250000000002E-4</v>
      </c>
      <c r="AF31" s="69">
        <v>2.8791789999999998E-4</v>
      </c>
      <c r="AG31" s="69">
        <v>2.834615E-4</v>
      </c>
      <c r="AH31" s="69">
        <v>2.7907229999999999E-4</v>
      </c>
      <c r="AI31" s="69">
        <v>2.7474949999999998E-4</v>
      </c>
      <c r="AJ31" s="69">
        <v>2.7049209999999998E-4</v>
      </c>
      <c r="AK31" s="69">
        <v>2.6629939999999998E-4</v>
      </c>
      <c r="AL31" s="69">
        <v>2.6217029999999999E-4</v>
      </c>
      <c r="AM31" s="69">
        <v>2.5810420000000001E-4</v>
      </c>
      <c r="AN31" s="69">
        <v>2.541E-4</v>
      </c>
      <c r="AO31" s="69">
        <v>2.5015699999999998E-4</v>
      </c>
      <c r="AP31" s="69">
        <v>2.4627420000000001E-4</v>
      </c>
      <c r="AQ31" s="69">
        <v>2.4245089999999999E-4</v>
      </c>
      <c r="AR31" s="69">
        <v>2.3868620000000001E-4</v>
      </c>
      <c r="AS31" s="69">
        <v>2.349792E-4</v>
      </c>
      <c r="AT31" s="69">
        <v>2.3132919999999999E-4</v>
      </c>
      <c r="AU31" s="69">
        <v>2.277352E-4</v>
      </c>
      <c r="AV31" s="69">
        <v>2.241965E-4</v>
      </c>
      <c r="AW31" s="69">
        <v>2.207124E-4</v>
      </c>
      <c r="AX31" s="69">
        <v>2.172819E-4</v>
      </c>
      <c r="AY31" s="69">
        <v>2.139043E-4</v>
      </c>
      <c r="AZ31" s="69">
        <v>2.105787E-4</v>
      </c>
      <c r="BA31" s="69">
        <v>2.0730459999999999E-4</v>
      </c>
      <c r="BB31" s="69">
        <v>2.04081E-4</v>
      </c>
      <c r="BC31" s="69">
        <v>2.0090719999999999E-4</v>
      </c>
      <c r="BD31" s="69">
        <v>1.9778250000000001E-4</v>
      </c>
      <c r="BE31" s="69">
        <v>1.9470610000000001E-4</v>
      </c>
      <c r="BF31" s="69">
        <v>1.9167739999999999E-4</v>
      </c>
      <c r="BG31" s="69">
        <v>1.8869549999999999E-4</v>
      </c>
      <c r="BH31" s="69">
        <v>1.857598E-4</v>
      </c>
      <c r="BI31" s="69">
        <v>1.8286959999999999E-4</v>
      </c>
      <c r="BJ31" s="69">
        <v>1.800242E-4</v>
      </c>
      <c r="BK31" s="69">
        <v>1.7722300000000001E-4</v>
      </c>
      <c r="BL31" s="69">
        <v>1.7446510000000001E-4</v>
      </c>
      <c r="BM31" s="69">
        <v>1.7175E-4</v>
      </c>
      <c r="BN31" s="69">
        <v>1.6907709999999999E-4</v>
      </c>
      <c r="BO31" s="69">
        <v>1.664456E-4</v>
      </c>
      <c r="BP31" s="69">
        <v>1.63855E-4</v>
      </c>
      <c r="BQ31" s="69">
        <v>1.6130469999999999E-4</v>
      </c>
      <c r="BR31" s="69">
        <v>1.5879389999999999E-4</v>
      </c>
      <c r="BS31" s="69">
        <v>1.5632210000000001E-4</v>
      </c>
      <c r="BT31" s="69">
        <v>1.538887E-4</v>
      </c>
      <c r="BU31" s="69">
        <v>1.514931E-4</v>
      </c>
      <c r="BV31" s="69">
        <v>1.4913479999999999E-4</v>
      </c>
      <c r="BW31" s="69">
        <v>1.4681310000000001E-4</v>
      </c>
      <c r="BX31" s="69">
        <v>1.4452749999999999E-4</v>
      </c>
      <c r="BY31" s="69">
        <v>1.4227740000000001E-4</v>
      </c>
      <c r="BZ31" s="69">
        <v>1.4006230000000001E-4</v>
      </c>
      <c r="CA31" s="69">
        <v>1.3788170000000001E-4</v>
      </c>
      <c r="CB31" s="69">
        <v>1.3573489999999999E-4</v>
      </c>
      <c r="CC31" s="69">
        <v>1.3362159999999999E-4</v>
      </c>
      <c r="CD31" s="69">
        <v>1.315411E-4</v>
      </c>
      <c r="CE31" s="69">
        <v>1.29493E-4</v>
      </c>
      <c r="CF31" s="69">
        <v>1.2747670000000001E-4</v>
      </c>
      <c r="CG31" s="69">
        <v>1.2549180000000001E-4</v>
      </c>
      <c r="CH31" s="69">
        <v>1.2353780000000001E-4</v>
      </c>
      <c r="CI31" s="69">
        <v>1.2161420000000001E-4</v>
      </c>
      <c r="CJ31" s="69">
        <v>1.1972049999999999E-4</v>
      </c>
      <c r="CK31" s="69">
        <v>1.178563E-4</v>
      </c>
      <c r="CL31" s="69">
        <v>1.160211E-4</v>
      </c>
      <c r="CM31" s="69">
        <v>1.142145E-4</v>
      </c>
      <c r="CN31" s="69">
        <v>1.1243600000000001E-4</v>
      </c>
      <c r="CO31" s="69">
        <v>1.106851E-4</v>
      </c>
      <c r="CP31" s="69">
        <v>1.089615E-4</v>
      </c>
      <c r="CQ31" s="69">
        <v>1.072648E-4</v>
      </c>
      <c r="CR31" s="69">
        <v>1.0559440000000001E-4</v>
      </c>
      <c r="CS31" s="69">
        <v>1.039501E-4</v>
      </c>
      <c r="CT31" s="69">
        <v>1.023313E-4</v>
      </c>
      <c r="CU31" s="69">
        <v>1.007378E-4</v>
      </c>
      <c r="CV31" s="69">
        <v>9.9168999999999999E-5</v>
      </c>
      <c r="CW31" s="69">
        <v>9.7624699999999994E-5</v>
      </c>
      <c r="CX31" s="69">
        <v>9.6104400000000001E-5</v>
      </c>
      <c r="CY31" s="69">
        <v>9.4607799999999999E-5</v>
      </c>
      <c r="CZ31" s="69">
        <v>9.3134500000000001E-5</v>
      </c>
      <c r="DA31" s="69">
        <v>9.1684100000000005E-5</v>
      </c>
      <c r="DB31" s="69">
        <v>9.0256300000000005E-5</v>
      </c>
      <c r="DC31" s="69">
        <v>8.88507E-5</v>
      </c>
      <c r="DD31" s="69">
        <v>8.7466999999999995E-5</v>
      </c>
      <c r="DE31" s="69">
        <v>8.6104899999999996E-5</v>
      </c>
      <c r="DF31" s="69">
        <v>8.4764000000000004E-5</v>
      </c>
      <c r="DG31" s="69">
        <v>8.3443900000000002E-5</v>
      </c>
      <c r="DH31" s="69">
        <v>8.2144400000000006E-5</v>
      </c>
      <c r="DI31" s="69">
        <v>8.0865099999999999E-5</v>
      </c>
      <c r="DJ31" s="69">
        <v>7.9605799999999996E-5</v>
      </c>
      <c r="DK31" s="69">
        <v>7.8366099999999995E-5</v>
      </c>
      <c r="DL31" s="69">
        <v>7.7145599999999995E-5</v>
      </c>
      <c r="DM31" s="69">
        <v>7.5944200000000004E-5</v>
      </c>
      <c r="DN31" s="69">
        <v>7.4761500000000006E-5</v>
      </c>
      <c r="DO31" s="69">
        <v>7.3597199999999994E-5</v>
      </c>
      <c r="DP31" s="69">
        <v>7.2451000000000001E-5</v>
      </c>
      <c r="DQ31" s="69">
        <v>7.1322700000000001E-5</v>
      </c>
      <c r="DR31" s="69">
        <v>7.0211900000000004E-5</v>
      </c>
      <c r="DS31" s="69">
        <v>6.9118500000000006E-5</v>
      </c>
      <c r="DT31" s="69">
        <v>6.8042100000000004E-5</v>
      </c>
      <c r="DU31" s="69">
        <v>6.6982400000000004E-5</v>
      </c>
      <c r="DV31" s="69">
        <v>6.5939199999999994E-5</v>
      </c>
      <c r="DW31" s="69">
        <v>6.4912299999999999E-5</v>
      </c>
      <c r="DX31" s="69">
        <v>6.3901399999999998E-5</v>
      </c>
      <c r="DY31" s="69">
        <v>6.2906199999999998E-5</v>
      </c>
      <c r="DZ31" s="69">
        <v>6.1926499999999997E-5</v>
      </c>
      <c r="EA31" s="69">
        <v>6.0962099999999997E-5</v>
      </c>
      <c r="EB31" s="69">
        <v>6.0012700000000002E-5</v>
      </c>
      <c r="EC31" s="69">
        <v>5.9077999999999999E-5</v>
      </c>
      <c r="ED31" s="69">
        <v>5.8158000000000001E-5</v>
      </c>
      <c r="EE31" s="69">
        <v>5.72522E-5</v>
      </c>
      <c r="EF31" s="69">
        <v>5.6360599999999997E-5</v>
      </c>
      <c r="EG31" s="69">
        <v>5.5482799999999997E-5</v>
      </c>
      <c r="EH31" s="69">
        <v>5.4618699999999999E-5</v>
      </c>
      <c r="EI31" s="69">
        <v>5.3768099999999998E-5</v>
      </c>
      <c r="EJ31" s="69">
        <v>5.2930699999999998E-5</v>
      </c>
      <c r="EK31" s="69">
        <v>5.21064E-5</v>
      </c>
      <c r="EL31" s="69">
        <v>5.1294900000000002E-5</v>
      </c>
      <c r="EM31" s="69">
        <v>5.0495999999999999E-5</v>
      </c>
      <c r="EN31" s="69">
        <v>4.9709600000000003E-5</v>
      </c>
      <c r="EO31" s="69">
        <v>4.8935399999999999E-5</v>
      </c>
      <c r="EP31" s="69">
        <v>4.8173300000000002E-5</v>
      </c>
      <c r="EQ31" s="69">
        <v>4.7423099999999997E-5</v>
      </c>
      <c r="ER31" s="69">
        <v>4.6684499999999997E-5</v>
      </c>
      <c r="ES31" s="69">
        <v>4.5957400000000001E-5</v>
      </c>
      <c r="ET31" s="69">
        <v>4.5241699999999997E-5</v>
      </c>
      <c r="EU31" s="69">
        <v>4.4537099999999997E-5</v>
      </c>
      <c r="EV31" s="69">
        <v>4.3843500000000001E-5</v>
      </c>
      <c r="EW31" s="69">
        <v>4.3160600000000001E-5</v>
      </c>
      <c r="EX31" s="69">
        <v>4.2488499999999998E-5</v>
      </c>
      <c r="EY31" s="69">
        <v>4.1826699999999997E-5</v>
      </c>
      <c r="EZ31" s="69">
        <v>4.1175299999999999E-5</v>
      </c>
      <c r="FA31" s="69">
        <v>4.0534100000000002E-5</v>
      </c>
      <c r="FB31" s="69">
        <v>3.99028E-5</v>
      </c>
      <c r="FC31" s="69">
        <v>3.9281299999999999E-5</v>
      </c>
      <c r="FD31" s="69">
        <v>3.86696E-5</v>
      </c>
      <c r="FE31" s="69">
        <v>3.8067300000000001E-5</v>
      </c>
      <c r="FF31" s="69">
        <v>3.7474500000000002E-5</v>
      </c>
      <c r="FG31" s="69">
        <v>3.6890800000000003E-5</v>
      </c>
      <c r="FH31" s="69">
        <v>3.6316300000000003E-5</v>
      </c>
      <c r="FI31" s="69">
        <v>3.5750700000000003E-5</v>
      </c>
      <c r="FJ31" s="69">
        <v>3.5193900000000002E-5</v>
      </c>
      <c r="FK31" s="69">
        <v>3.46458E-5</v>
      </c>
      <c r="FL31" s="69">
        <v>3.4106200000000002E-5</v>
      </c>
      <c r="FM31" s="69">
        <v>3.3575000000000003E-5</v>
      </c>
      <c r="FN31" s="69">
        <v>3.3052100000000002E-5</v>
      </c>
      <c r="FO31" s="69">
        <v>3.2537399999999998E-5</v>
      </c>
      <c r="FP31" s="69">
        <v>3.2030599999999998E-5</v>
      </c>
      <c r="FQ31" s="69">
        <v>3.1531800000000002E-5</v>
      </c>
    </row>
    <row r="32" spans="1:173" x14ac:dyDescent="0.25">
      <c r="A32" s="71">
        <v>30</v>
      </c>
      <c r="B32" s="69">
        <v>4.5143370000000002E-4</v>
      </c>
      <c r="C32" s="69">
        <v>4.463701E-4</v>
      </c>
      <c r="D32" s="69">
        <v>4.4123790000000001E-4</v>
      </c>
      <c r="E32" s="69">
        <v>4.3604890000000001E-4</v>
      </c>
      <c r="F32" s="69">
        <v>4.3081400000000001E-4</v>
      </c>
      <c r="G32" s="69">
        <v>4.2554319999999997E-4</v>
      </c>
      <c r="H32" s="69">
        <v>4.2024579999999997E-4</v>
      </c>
      <c r="I32" s="69">
        <v>4.149302E-4</v>
      </c>
      <c r="J32" s="69">
        <v>4.096042E-4</v>
      </c>
      <c r="K32" s="69">
        <v>4.04275E-4</v>
      </c>
      <c r="L32" s="69">
        <v>3.9894909999999998E-4</v>
      </c>
      <c r="M32" s="69">
        <v>3.936325E-4</v>
      </c>
      <c r="N32" s="69">
        <v>3.8833059999999998E-4</v>
      </c>
      <c r="O32" s="69">
        <v>3.8304829999999998E-4</v>
      </c>
      <c r="P32" s="69">
        <v>3.7779010000000001E-4</v>
      </c>
      <c r="Q32" s="69">
        <v>3.7256019999999998E-4</v>
      </c>
      <c r="R32" s="69">
        <v>3.6736210000000002E-4</v>
      </c>
      <c r="S32" s="69">
        <v>3.6219909999999999E-4</v>
      </c>
      <c r="T32" s="69">
        <v>3.5707430000000002E-4</v>
      </c>
      <c r="U32" s="69">
        <v>3.5199020000000001E-4</v>
      </c>
      <c r="V32" s="69">
        <v>3.4694940000000002E-4</v>
      </c>
      <c r="W32" s="69">
        <v>3.4195370000000001E-4</v>
      </c>
      <c r="X32" s="69">
        <v>3.3700530000000002E-4</v>
      </c>
      <c r="Y32" s="69">
        <v>3.3210549999999997E-4</v>
      </c>
      <c r="Z32" s="69">
        <v>3.27256E-4</v>
      </c>
      <c r="AA32" s="69">
        <v>3.2245789999999999E-4</v>
      </c>
      <c r="AB32" s="69">
        <v>3.1771229999999999E-4</v>
      </c>
      <c r="AC32" s="69">
        <v>3.1302009999999999E-4</v>
      </c>
      <c r="AD32" s="69">
        <v>3.0838209999999998E-4</v>
      </c>
      <c r="AE32" s="69">
        <v>3.0379879999999998E-4</v>
      </c>
      <c r="AF32" s="69">
        <v>2.9927079999999997E-4</v>
      </c>
      <c r="AG32" s="69">
        <v>2.9479849999999999E-4</v>
      </c>
      <c r="AH32" s="69">
        <v>2.9038220000000001E-4</v>
      </c>
      <c r="AI32" s="69">
        <v>2.8602199999999998E-4</v>
      </c>
      <c r="AJ32" s="69">
        <v>2.8171799999999997E-4</v>
      </c>
      <c r="AK32" s="69">
        <v>2.7747029999999998E-4</v>
      </c>
      <c r="AL32" s="69">
        <v>2.7327889999999999E-4</v>
      </c>
      <c r="AM32" s="69">
        <v>2.691436E-4</v>
      </c>
      <c r="AN32" s="69">
        <v>2.6506419999999998E-4</v>
      </c>
      <c r="AO32" s="69">
        <v>2.6104049999999999E-4</v>
      </c>
      <c r="AP32" s="69">
        <v>2.570723E-4</v>
      </c>
      <c r="AQ32" s="69">
        <v>2.5315929999999997E-4</v>
      </c>
      <c r="AR32" s="69">
        <v>2.4930109999999998E-4</v>
      </c>
      <c r="AS32" s="69">
        <v>2.4549730000000001E-4</v>
      </c>
      <c r="AT32" s="69">
        <v>2.4174750000000001E-4</v>
      </c>
      <c r="AU32" s="69">
        <v>2.380513E-4</v>
      </c>
      <c r="AV32" s="69">
        <v>2.344081E-4</v>
      </c>
      <c r="AW32" s="69">
        <v>2.3081760000000001E-4</v>
      </c>
      <c r="AX32" s="69">
        <v>2.272792E-4</v>
      </c>
      <c r="AY32" s="69">
        <v>2.237924E-4</v>
      </c>
      <c r="AZ32" s="69">
        <v>2.2035659999999999E-4</v>
      </c>
      <c r="BA32" s="69">
        <v>2.1697129999999999E-4</v>
      </c>
      <c r="BB32" s="69">
        <v>2.1363590000000001E-4</v>
      </c>
      <c r="BC32" s="69">
        <v>2.1034990000000001E-4</v>
      </c>
      <c r="BD32" s="69">
        <v>2.0711270000000001E-4</v>
      </c>
      <c r="BE32" s="69">
        <v>2.039237E-4</v>
      </c>
      <c r="BF32" s="69">
        <v>2.0078230000000001E-4</v>
      </c>
      <c r="BG32" s="69">
        <v>1.976879E-4</v>
      </c>
      <c r="BH32" s="69">
        <v>1.9463990000000001E-4</v>
      </c>
      <c r="BI32" s="69">
        <v>1.9163780000000001E-4</v>
      </c>
      <c r="BJ32" s="69">
        <v>1.886809E-4</v>
      </c>
      <c r="BK32" s="69">
        <v>1.8576859999999999E-4</v>
      </c>
      <c r="BL32" s="69">
        <v>1.829004E-4</v>
      </c>
      <c r="BM32" s="69">
        <v>1.8007569999999999E-4</v>
      </c>
      <c r="BN32" s="69">
        <v>1.772938E-4</v>
      </c>
      <c r="BO32" s="69">
        <v>1.745541E-4</v>
      </c>
      <c r="BP32" s="69">
        <v>1.718562E-4</v>
      </c>
      <c r="BQ32" s="69">
        <v>1.691993E-4</v>
      </c>
      <c r="BR32" s="69">
        <v>1.6658299999999999E-4</v>
      </c>
      <c r="BS32" s="69">
        <v>1.640066E-4</v>
      </c>
      <c r="BT32" s="69">
        <v>1.6146960000000001E-4</v>
      </c>
      <c r="BU32" s="69">
        <v>1.5897139999999999E-4</v>
      </c>
      <c r="BV32" s="69">
        <v>1.565115E-4</v>
      </c>
      <c r="BW32" s="69">
        <v>1.5408929999999999E-4</v>
      </c>
      <c r="BX32" s="69">
        <v>1.517042E-4</v>
      </c>
      <c r="BY32" s="69">
        <v>1.4935569999999999E-4</v>
      </c>
      <c r="BZ32" s="69">
        <v>1.4704329999999999E-4</v>
      </c>
      <c r="CA32" s="69">
        <v>1.4476650000000001E-4</v>
      </c>
      <c r="CB32" s="69">
        <v>1.4252460000000001E-4</v>
      </c>
      <c r="CC32" s="69">
        <v>1.4031730000000001E-4</v>
      </c>
      <c r="CD32" s="69">
        <v>1.381439E-4</v>
      </c>
      <c r="CE32" s="69">
        <v>1.3600400000000001E-4</v>
      </c>
      <c r="CF32" s="69">
        <v>1.3389709999999999E-4</v>
      </c>
      <c r="CG32" s="69">
        <v>1.3182269999999999E-4</v>
      </c>
      <c r="CH32" s="69">
        <v>1.2978020000000001E-4</v>
      </c>
      <c r="CI32" s="69">
        <v>1.2776930000000001E-4</v>
      </c>
      <c r="CJ32" s="69">
        <v>1.2578940000000001E-4</v>
      </c>
      <c r="CK32" s="69">
        <v>1.2384009999999999E-4</v>
      </c>
      <c r="CL32" s="69">
        <v>1.219208E-4</v>
      </c>
      <c r="CM32" s="69">
        <v>1.200312E-4</v>
      </c>
      <c r="CN32" s="69">
        <v>1.181708E-4</v>
      </c>
      <c r="CO32" s="69">
        <v>1.163392E-4</v>
      </c>
      <c r="CP32" s="69">
        <v>1.145359E-4</v>
      </c>
      <c r="CQ32" s="69">
        <v>1.127604E-4</v>
      </c>
      <c r="CR32" s="69">
        <v>1.1101249999999999E-4</v>
      </c>
      <c r="CS32" s="69">
        <v>1.092915E-4</v>
      </c>
      <c r="CT32" s="69">
        <v>1.0759719999999999E-4</v>
      </c>
      <c r="CU32" s="69">
        <v>1.059291E-4</v>
      </c>
      <c r="CV32" s="69">
        <v>1.042868E-4</v>
      </c>
      <c r="CW32" s="69">
        <v>1.026699E-4</v>
      </c>
      <c r="CX32" s="69">
        <v>1.010781E-4</v>
      </c>
      <c r="CY32" s="69">
        <v>9.9510899999999996E-5</v>
      </c>
      <c r="CZ32" s="69">
        <v>9.7967900000000001E-5</v>
      </c>
      <c r="DA32" s="69">
        <v>9.6448900000000004E-5</v>
      </c>
      <c r="DB32" s="69">
        <v>9.4953399999999998E-5</v>
      </c>
      <c r="DC32" s="69">
        <v>9.3480999999999995E-5</v>
      </c>
      <c r="DD32" s="69">
        <v>9.2031499999999995E-5</v>
      </c>
      <c r="DE32" s="69">
        <v>9.0604400000000003E-5</v>
      </c>
      <c r="DF32" s="69">
        <v>8.9199399999999998E-5</v>
      </c>
      <c r="DG32" s="69">
        <v>8.7816200000000001E-5</v>
      </c>
      <c r="DH32" s="69">
        <v>8.6454399999999997E-5</v>
      </c>
      <c r="DI32" s="69">
        <v>8.5113700000000005E-5</v>
      </c>
      <c r="DJ32" s="69">
        <v>8.3793800000000004E-5</v>
      </c>
      <c r="DK32" s="69">
        <v>8.2494299999999994E-5</v>
      </c>
      <c r="DL32" s="69">
        <v>8.1215000000000001E-5</v>
      </c>
      <c r="DM32" s="69">
        <v>7.9955499999999997E-5</v>
      </c>
      <c r="DN32" s="69">
        <v>7.8715599999999996E-5</v>
      </c>
      <c r="DO32" s="69">
        <v>7.7494800000000002E-5</v>
      </c>
      <c r="DP32" s="69">
        <v>7.6292999999999996E-5</v>
      </c>
      <c r="DQ32" s="69">
        <v>7.5109800000000004E-5</v>
      </c>
      <c r="DR32" s="69">
        <v>7.3944999999999998E-5</v>
      </c>
      <c r="DS32" s="69">
        <v>7.2798200000000004E-5</v>
      </c>
      <c r="DT32" s="69">
        <v>7.1669100000000001E-5</v>
      </c>
      <c r="DU32" s="69">
        <v>7.0557599999999997E-5</v>
      </c>
      <c r="DV32" s="69">
        <v>6.9463399999999996E-5</v>
      </c>
      <c r="DW32" s="69">
        <v>6.8386000000000006E-5</v>
      </c>
      <c r="DX32" s="69">
        <v>6.7325399999999997E-5</v>
      </c>
      <c r="DY32" s="69">
        <v>6.6281300000000005E-5</v>
      </c>
      <c r="DZ32" s="69">
        <v>6.5253300000000001E-5</v>
      </c>
      <c r="EA32" s="69">
        <v>6.4241300000000004E-5</v>
      </c>
      <c r="EB32" s="69">
        <v>6.3244900000000002E-5</v>
      </c>
      <c r="EC32" s="69">
        <v>6.2263999999999999E-5</v>
      </c>
      <c r="ED32" s="69">
        <v>6.1298300000000002E-5</v>
      </c>
      <c r="EE32" s="69">
        <v>6.0347599999999998E-5</v>
      </c>
      <c r="EF32" s="69">
        <v>5.9411599999999999E-5</v>
      </c>
      <c r="EG32" s="69">
        <v>5.8490199999999998E-5</v>
      </c>
      <c r="EH32" s="69">
        <v>5.7583000000000001E-5</v>
      </c>
      <c r="EI32" s="69">
        <v>5.6689900000000001E-5</v>
      </c>
      <c r="EJ32" s="69">
        <v>5.5810699999999997E-5</v>
      </c>
      <c r="EK32" s="69">
        <v>5.4945099999999997E-5</v>
      </c>
      <c r="EL32" s="69">
        <v>5.4092899999999998E-5</v>
      </c>
      <c r="EM32" s="69">
        <v>5.3253900000000002E-5</v>
      </c>
      <c r="EN32" s="69">
        <v>5.24279E-5</v>
      </c>
      <c r="EO32" s="69">
        <v>5.1614799999999999E-5</v>
      </c>
      <c r="EP32" s="69">
        <v>5.0814299999999999E-5</v>
      </c>
      <c r="EQ32" s="69">
        <v>5.0026099999999999E-5</v>
      </c>
      <c r="ER32" s="69">
        <v>4.9250199999999998E-5</v>
      </c>
      <c r="ES32" s="69">
        <v>4.8486299999999997E-5</v>
      </c>
      <c r="ET32" s="69">
        <v>4.7734300000000001E-5</v>
      </c>
      <c r="EU32" s="69">
        <v>4.6993999999999998E-5</v>
      </c>
      <c r="EV32" s="69">
        <v>4.6265099999999999E-5</v>
      </c>
      <c r="EW32" s="69">
        <v>4.5547499999999997E-5</v>
      </c>
      <c r="EX32" s="69">
        <v>4.48411E-5</v>
      </c>
      <c r="EY32" s="69">
        <v>4.41456E-5</v>
      </c>
      <c r="EZ32" s="69">
        <v>4.3460900000000003E-5</v>
      </c>
      <c r="FA32" s="69">
        <v>4.2786800000000002E-5</v>
      </c>
      <c r="FB32" s="69">
        <v>4.2123100000000003E-5</v>
      </c>
      <c r="FC32" s="69">
        <v>4.1469800000000001E-5</v>
      </c>
      <c r="FD32" s="69">
        <v>4.08266E-5</v>
      </c>
      <c r="FE32" s="69">
        <v>4.01934E-5</v>
      </c>
      <c r="FF32" s="69">
        <v>3.9570000000000002E-5</v>
      </c>
      <c r="FG32" s="69">
        <v>3.8956199999999998E-5</v>
      </c>
      <c r="FH32" s="69">
        <v>3.8352000000000001E-5</v>
      </c>
      <c r="FI32" s="69">
        <v>3.7757199999999998E-5</v>
      </c>
      <c r="FJ32" s="69">
        <v>3.7171500000000001E-5</v>
      </c>
      <c r="FK32" s="69">
        <v>3.6594999999999998E-5</v>
      </c>
      <c r="FL32" s="69">
        <v>3.60274E-5</v>
      </c>
      <c r="FM32" s="69">
        <v>3.5468600000000001E-5</v>
      </c>
      <c r="FN32" s="69">
        <v>3.4918500000000001E-5</v>
      </c>
      <c r="FO32" s="69">
        <v>3.4376899999999999E-5</v>
      </c>
      <c r="FP32" s="69">
        <v>3.3843700000000003E-5</v>
      </c>
      <c r="FQ32" s="69">
        <v>3.3318799999999997E-5</v>
      </c>
    </row>
    <row r="33" spans="1:173" x14ac:dyDescent="0.25">
      <c r="A33" s="71">
        <v>31</v>
      </c>
      <c r="B33" s="69">
        <v>4.9269989999999996E-4</v>
      </c>
      <c r="C33" s="69">
        <v>4.8700799999999998E-4</v>
      </c>
      <c r="D33" s="69">
        <v>4.8127350000000001E-4</v>
      </c>
      <c r="E33" s="69">
        <v>4.7550650000000001E-4</v>
      </c>
      <c r="F33" s="69">
        <v>4.6971609999999999E-4</v>
      </c>
      <c r="G33" s="69">
        <v>4.6391089999999998E-4</v>
      </c>
      <c r="H33" s="69">
        <v>4.5809870000000001E-4</v>
      </c>
      <c r="I33" s="69">
        <v>4.5228659999999997E-4</v>
      </c>
      <c r="J33" s="69">
        <v>4.464812E-4</v>
      </c>
      <c r="K33" s="69">
        <v>4.4068839999999998E-4</v>
      </c>
      <c r="L33" s="69">
        <v>4.3491379999999999E-4</v>
      </c>
      <c r="M33" s="69">
        <v>4.2916219999999998E-4</v>
      </c>
      <c r="N33" s="69">
        <v>4.2343809999999997E-4</v>
      </c>
      <c r="O33" s="69">
        <v>4.1774560000000001E-4</v>
      </c>
      <c r="P33" s="69">
        <v>4.1208830000000001E-4</v>
      </c>
      <c r="Q33" s="69">
        <v>4.064696E-4</v>
      </c>
      <c r="R33" s="69">
        <v>4.008924E-4</v>
      </c>
      <c r="S33" s="69">
        <v>3.9535939999999999E-4</v>
      </c>
      <c r="T33" s="69">
        <v>3.89873E-4</v>
      </c>
      <c r="U33" s="69">
        <v>3.8443530000000002E-4</v>
      </c>
      <c r="V33" s="69">
        <v>3.7904799999999999E-4</v>
      </c>
      <c r="W33" s="69">
        <v>3.7371289999999998E-4</v>
      </c>
      <c r="X33" s="69">
        <v>3.6843150000000002E-4</v>
      </c>
      <c r="Y33" s="69">
        <v>3.632048E-4</v>
      </c>
      <c r="Z33" s="69">
        <v>3.580341E-4</v>
      </c>
      <c r="AA33" s="69">
        <v>3.5292009999999998E-4</v>
      </c>
      <c r="AB33" s="69">
        <v>3.4786369999999998E-4</v>
      </c>
      <c r="AC33" s="69">
        <v>3.4286540000000001E-4</v>
      </c>
      <c r="AD33" s="69">
        <v>3.3792590000000002E-4</v>
      </c>
      <c r="AE33" s="69">
        <v>3.3304530000000001E-4</v>
      </c>
      <c r="AF33" s="69">
        <v>3.2822409999999999E-4</v>
      </c>
      <c r="AG33" s="69">
        <v>3.2346239999999997E-4</v>
      </c>
      <c r="AH33" s="69">
        <v>3.1876030000000001E-4</v>
      </c>
      <c r="AI33" s="69">
        <v>3.1411790000000002E-4</v>
      </c>
      <c r="AJ33" s="69">
        <v>3.09535E-4</v>
      </c>
      <c r="AK33" s="69">
        <v>3.0501159999999999E-4</v>
      </c>
      <c r="AL33" s="69">
        <v>3.0054749999999997E-4</v>
      </c>
      <c r="AM33" s="69">
        <v>2.9614240000000003E-4</v>
      </c>
      <c r="AN33" s="69">
        <v>2.9179610000000002E-4</v>
      </c>
      <c r="AO33" s="69">
        <v>2.8750830000000001E-4</v>
      </c>
      <c r="AP33" s="69">
        <v>2.8327849999999999E-4</v>
      </c>
      <c r="AQ33" s="69">
        <v>2.791065E-4</v>
      </c>
      <c r="AR33" s="69">
        <v>2.7499179999999999E-4</v>
      </c>
      <c r="AS33" s="69">
        <v>2.7093389999999998E-4</v>
      </c>
      <c r="AT33" s="69">
        <v>2.6693229999999999E-4</v>
      </c>
      <c r="AU33" s="69">
        <v>2.6298659999999998E-4</v>
      </c>
      <c r="AV33" s="69">
        <v>2.5909620000000001E-4</v>
      </c>
      <c r="AW33" s="69">
        <v>2.5526059999999998E-4</v>
      </c>
      <c r="AX33" s="69">
        <v>2.5147929999999998E-4</v>
      </c>
      <c r="AY33" s="69">
        <v>2.4775159999999998E-4</v>
      </c>
      <c r="AZ33" s="69">
        <v>2.4407709999999999E-4</v>
      </c>
      <c r="BA33" s="69">
        <v>2.4045499999999999E-4</v>
      </c>
      <c r="BB33" s="69">
        <v>2.3688490000000001E-4</v>
      </c>
      <c r="BC33" s="69">
        <v>2.3336609999999999E-4</v>
      </c>
      <c r="BD33" s="69">
        <v>2.29898E-4</v>
      </c>
      <c r="BE33" s="69">
        <v>2.2648009999999999E-4</v>
      </c>
      <c r="BF33" s="69">
        <v>2.231116E-4</v>
      </c>
      <c r="BG33" s="69">
        <v>2.1979200000000001E-4</v>
      </c>
      <c r="BH33" s="69">
        <v>2.1652069999999999E-4</v>
      </c>
      <c r="BI33" s="69">
        <v>2.1329709999999999E-4</v>
      </c>
      <c r="BJ33" s="69">
        <v>2.1012050000000001E-4</v>
      </c>
      <c r="BK33" s="69">
        <v>2.0699029999999999E-4</v>
      </c>
      <c r="BL33" s="69">
        <v>2.0390600000000001E-4</v>
      </c>
      <c r="BM33" s="69">
        <v>2.0086689999999999E-4</v>
      </c>
      <c r="BN33" s="69">
        <v>1.9787240000000001E-4</v>
      </c>
      <c r="BO33" s="69">
        <v>1.9492199999999999E-4</v>
      </c>
      <c r="BP33" s="69">
        <v>1.9201489999999999E-4</v>
      </c>
      <c r="BQ33" s="69">
        <v>1.8915070000000001E-4</v>
      </c>
      <c r="BR33" s="69">
        <v>1.863287E-4</v>
      </c>
      <c r="BS33" s="69">
        <v>1.8354830000000001E-4</v>
      </c>
      <c r="BT33" s="69">
        <v>1.8080900000000001E-4</v>
      </c>
      <c r="BU33" s="69">
        <v>1.7811030000000001E-4</v>
      </c>
      <c r="BV33" s="69">
        <v>1.754514E-4</v>
      </c>
      <c r="BW33" s="69">
        <v>1.7283190000000001E-4</v>
      </c>
      <c r="BX33" s="69">
        <v>1.702513E-4</v>
      </c>
      <c r="BY33" s="69">
        <v>1.6770890000000001E-4</v>
      </c>
      <c r="BZ33" s="69">
        <v>1.652042E-4</v>
      </c>
      <c r="CA33" s="69">
        <v>1.6273660000000001E-4</v>
      </c>
      <c r="CB33" s="69">
        <v>1.6030570000000001E-4</v>
      </c>
      <c r="CC33" s="69">
        <v>1.57911E-4</v>
      </c>
      <c r="CD33" s="69">
        <v>1.555518E-4</v>
      </c>
      <c r="CE33" s="69">
        <v>1.532277E-4</v>
      </c>
      <c r="CF33" s="69">
        <v>1.5093809999999999E-4</v>
      </c>
      <c r="CG33" s="69">
        <v>1.4868269999999999E-4</v>
      </c>
      <c r="CH33" s="69">
        <v>1.4646080000000001E-4</v>
      </c>
      <c r="CI33" s="69">
        <v>1.44272E-4</v>
      </c>
      <c r="CJ33" s="69">
        <v>1.421157E-4</v>
      </c>
      <c r="CK33" s="69">
        <v>1.399916E-4</v>
      </c>
      <c r="CL33" s="69">
        <v>1.3789919999999999E-4</v>
      </c>
      <c r="CM33" s="69">
        <v>1.3583789999999999E-4</v>
      </c>
      <c r="CN33" s="69">
        <v>1.338074E-4</v>
      </c>
      <c r="CO33" s="69">
        <v>1.3180719999999999E-4</v>
      </c>
      <c r="CP33" s="69">
        <v>1.2983680000000001E-4</v>
      </c>
      <c r="CQ33" s="69">
        <v>1.2789569999999999E-4</v>
      </c>
      <c r="CR33" s="69">
        <v>1.259837E-4</v>
      </c>
      <c r="CS33" s="69">
        <v>1.2410009999999999E-4</v>
      </c>
      <c r="CT33" s="69">
        <v>1.222447E-4</v>
      </c>
      <c r="CU33" s="69">
        <v>1.20417E-4</v>
      </c>
      <c r="CV33" s="69">
        <v>1.1861660000000001E-4</v>
      </c>
      <c r="CW33" s="69">
        <v>1.1684300000000001E-4</v>
      </c>
      <c r="CX33" s="69">
        <v>1.150959E-4</v>
      </c>
      <c r="CY33" s="69">
        <v>1.133749E-4</v>
      </c>
      <c r="CZ33" s="69">
        <v>1.116796E-4</v>
      </c>
      <c r="DA33" s="69">
        <v>1.100097E-4</v>
      </c>
      <c r="DB33" s="69">
        <v>1.083647E-4</v>
      </c>
      <c r="DC33" s="69">
        <v>1.0674419999999999E-4</v>
      </c>
      <c r="DD33" s="69">
        <v>1.05148E-4</v>
      </c>
      <c r="DE33" s="69">
        <v>1.035756E-4</v>
      </c>
      <c r="DF33" s="69">
        <v>1.020267E-4</v>
      </c>
      <c r="DG33" s="69">
        <v>1.005009E-4</v>
      </c>
      <c r="DH33" s="69">
        <v>9.8998000000000003E-5</v>
      </c>
      <c r="DI33" s="69">
        <v>9.7517500000000003E-5</v>
      </c>
      <c r="DJ33" s="69">
        <v>9.6059100000000003E-5</v>
      </c>
      <c r="DK33" s="69">
        <v>9.4622600000000004E-5</v>
      </c>
      <c r="DL33" s="69">
        <v>9.3207499999999998E-5</v>
      </c>
      <c r="DM33" s="69">
        <v>9.1813599999999998E-5</v>
      </c>
      <c r="DN33" s="69">
        <v>9.0440399999999996E-5</v>
      </c>
      <c r="DO33" s="69">
        <v>8.9087900000000005E-5</v>
      </c>
      <c r="DP33" s="69">
        <v>8.7755499999999997E-5</v>
      </c>
      <c r="DQ33" s="69">
        <v>8.6443100000000006E-5</v>
      </c>
      <c r="DR33" s="69">
        <v>8.5150300000000004E-5</v>
      </c>
      <c r="DS33" s="69">
        <v>8.3876799999999996E-5</v>
      </c>
      <c r="DT33" s="69">
        <v>8.2622300000000003E-5</v>
      </c>
      <c r="DU33" s="69">
        <v>8.1386599999999998E-5</v>
      </c>
      <c r="DV33" s="69">
        <v>8.0169399999999999E-5</v>
      </c>
      <c r="DW33" s="69">
        <v>7.8970399999999999E-5</v>
      </c>
      <c r="DX33" s="69">
        <v>7.7789300000000004E-5</v>
      </c>
      <c r="DY33" s="69">
        <v>7.6625900000000001E-5</v>
      </c>
      <c r="DZ33" s="69">
        <v>7.5479800000000002E-5</v>
      </c>
      <c r="EA33" s="69">
        <v>7.43509E-5</v>
      </c>
      <c r="EB33" s="69">
        <v>7.3238900000000001E-5</v>
      </c>
      <c r="EC33" s="69">
        <v>7.2143499999999998E-5</v>
      </c>
      <c r="ED33" s="69">
        <v>7.1064500000000004E-5</v>
      </c>
      <c r="EE33" s="69">
        <v>7.0001599999999997E-5</v>
      </c>
      <c r="EF33" s="69">
        <v>6.8954600000000006E-5</v>
      </c>
      <c r="EG33" s="69">
        <v>6.7923300000000001E-5</v>
      </c>
      <c r="EH33" s="69">
        <v>6.6907400000000003E-5</v>
      </c>
      <c r="EI33" s="69">
        <v>6.5906699999999997E-5</v>
      </c>
      <c r="EJ33" s="69">
        <v>6.4920999999999997E-5</v>
      </c>
      <c r="EK33" s="69">
        <v>6.3949999999999996E-5</v>
      </c>
      <c r="EL33" s="69">
        <v>6.2993500000000006E-5</v>
      </c>
      <c r="EM33" s="69">
        <v>6.20513E-5</v>
      </c>
      <c r="EN33" s="69">
        <v>6.1123200000000005E-5</v>
      </c>
      <c r="EO33" s="69">
        <v>6.0208999999999999E-5</v>
      </c>
      <c r="EP33" s="69">
        <v>5.9308500000000003E-5</v>
      </c>
      <c r="EQ33" s="69">
        <v>5.8421400000000003E-5</v>
      </c>
      <c r="ER33" s="69">
        <v>5.7547599999999998E-5</v>
      </c>
      <c r="ES33" s="69">
        <v>5.6686900000000001E-5</v>
      </c>
      <c r="ET33" s="69">
        <v>5.5838999999999998E-5</v>
      </c>
      <c r="EU33" s="69">
        <v>5.5003899999999997E-5</v>
      </c>
      <c r="EV33" s="69">
        <v>5.4181200000000002E-5</v>
      </c>
      <c r="EW33" s="69">
        <v>5.3370800000000001E-5</v>
      </c>
      <c r="EX33" s="69">
        <v>5.2572499999999999E-5</v>
      </c>
      <c r="EY33" s="69">
        <v>5.1786200000000002E-5</v>
      </c>
      <c r="EZ33" s="69">
        <v>5.1011599999999998E-5</v>
      </c>
      <c r="FA33" s="69">
        <v>5.0248599999999999E-5</v>
      </c>
      <c r="FB33" s="69">
        <v>4.9497099999999997E-5</v>
      </c>
      <c r="FC33" s="69">
        <v>4.87568E-5</v>
      </c>
      <c r="FD33" s="69">
        <v>4.8027500000000001E-5</v>
      </c>
      <c r="FE33" s="69">
        <v>4.7309099999999997E-5</v>
      </c>
      <c r="FF33" s="69">
        <v>4.6601499999999998E-5</v>
      </c>
      <c r="FG33" s="69">
        <v>4.5904500000000001E-5</v>
      </c>
      <c r="FH33" s="69">
        <v>4.52179E-5</v>
      </c>
      <c r="FI33" s="69">
        <v>4.4541600000000001E-5</v>
      </c>
      <c r="FJ33" s="69">
        <v>4.3875399999999997E-5</v>
      </c>
      <c r="FK33" s="69">
        <v>4.3219100000000001E-5</v>
      </c>
      <c r="FL33" s="69">
        <v>4.25727E-5</v>
      </c>
      <c r="FM33" s="69">
        <v>4.1935899999999999E-5</v>
      </c>
      <c r="FN33" s="69">
        <v>4.13087E-5</v>
      </c>
      <c r="FO33" s="69">
        <v>4.06908E-5</v>
      </c>
      <c r="FP33" s="69">
        <v>4.0082200000000001E-5</v>
      </c>
      <c r="FQ33" s="69">
        <v>3.9482700000000001E-5</v>
      </c>
    </row>
    <row r="34" spans="1:173" x14ac:dyDescent="0.25">
      <c r="A34" s="71">
        <v>32</v>
      </c>
      <c r="B34" s="69">
        <v>5.3634970000000001E-4</v>
      </c>
      <c r="C34" s="69">
        <v>5.2831690000000001E-4</v>
      </c>
      <c r="D34" s="69">
        <v>5.2040929999999999E-4</v>
      </c>
      <c r="E34" s="69">
        <v>5.126245E-4</v>
      </c>
      <c r="F34" s="69">
        <v>5.049602E-4</v>
      </c>
      <c r="G34" s="69">
        <v>4.9741430000000005E-4</v>
      </c>
      <c r="H34" s="69">
        <v>4.8998460000000005E-4</v>
      </c>
      <c r="I34" s="69">
        <v>4.826691E-4</v>
      </c>
      <c r="J34" s="69">
        <v>4.754658E-4</v>
      </c>
      <c r="K34" s="69">
        <v>4.6837270000000002E-4</v>
      </c>
      <c r="L34" s="69">
        <v>4.6138780000000001E-4</v>
      </c>
      <c r="M34" s="69">
        <v>4.5450949999999998E-4</v>
      </c>
      <c r="N34" s="69">
        <v>4.477358E-4</v>
      </c>
      <c r="O34" s="69">
        <v>4.4106499999999998E-4</v>
      </c>
      <c r="P34" s="69">
        <v>4.3449530000000001E-4</v>
      </c>
      <c r="Q34" s="69">
        <v>4.2802520000000002E-4</v>
      </c>
      <c r="R34" s="69">
        <v>4.2165289999999999E-4</v>
      </c>
      <c r="S34" s="69">
        <v>4.153769E-4</v>
      </c>
      <c r="T34" s="69">
        <v>4.0919559999999999E-4</v>
      </c>
      <c r="U34" s="69">
        <v>4.031075E-4</v>
      </c>
      <c r="V34" s="69">
        <v>3.9711100000000001E-4</v>
      </c>
      <c r="W34" s="69">
        <v>3.912047E-4</v>
      </c>
      <c r="X34" s="69">
        <v>3.8538720000000002E-4</v>
      </c>
      <c r="Y34" s="69">
        <v>3.7965699999999999E-4</v>
      </c>
      <c r="Z34" s="69">
        <v>3.7401280000000001E-4</v>
      </c>
      <c r="AA34" s="69">
        <v>3.6845319999999999E-4</v>
      </c>
      <c r="AB34" s="69">
        <v>3.62977E-4</v>
      </c>
      <c r="AC34" s="69">
        <v>3.5758269999999997E-4</v>
      </c>
      <c r="AD34" s="69">
        <v>3.5226909999999998E-4</v>
      </c>
      <c r="AE34" s="69">
        <v>3.4703510000000002E-4</v>
      </c>
      <c r="AF34" s="69">
        <v>3.4187920000000002E-4</v>
      </c>
      <c r="AG34" s="69">
        <v>3.3680039999999997E-4</v>
      </c>
      <c r="AH34" s="69">
        <v>3.3179740000000002E-4</v>
      </c>
      <c r="AI34" s="69">
        <v>3.2686910000000001E-4</v>
      </c>
      <c r="AJ34" s="69">
        <v>3.220144E-4</v>
      </c>
      <c r="AK34" s="69">
        <v>3.1723210000000001E-4</v>
      </c>
      <c r="AL34" s="69">
        <v>3.1252100000000001E-4</v>
      </c>
      <c r="AM34" s="69">
        <v>3.0788019999999997E-4</v>
      </c>
      <c r="AN34" s="69">
        <v>3.0330860000000001E-4</v>
      </c>
      <c r="AO34" s="69">
        <v>2.9880500000000002E-4</v>
      </c>
      <c r="AP34" s="69">
        <v>2.9436849999999999E-4</v>
      </c>
      <c r="AQ34" s="69">
        <v>2.899981E-4</v>
      </c>
      <c r="AR34" s="69">
        <v>2.8569270000000001E-4</v>
      </c>
      <c r="AS34" s="69">
        <v>2.8145139999999997E-4</v>
      </c>
      <c r="AT34" s="69">
        <v>2.7727319999999999E-4</v>
      </c>
      <c r="AU34" s="69">
        <v>2.7315720000000001E-4</v>
      </c>
      <c r="AV34" s="69">
        <v>2.6910239999999999E-4</v>
      </c>
      <c r="AW34" s="69">
        <v>2.6510789999999998E-4</v>
      </c>
      <c r="AX34" s="69">
        <v>2.611728E-4</v>
      </c>
      <c r="AY34" s="69">
        <v>2.5729620000000003E-4</v>
      </c>
      <c r="AZ34" s="69">
        <v>2.5347720000000001E-4</v>
      </c>
      <c r="BA34" s="69">
        <v>2.4971500000000002E-4</v>
      </c>
      <c r="BB34" s="69">
        <v>2.460087E-4</v>
      </c>
      <c r="BC34" s="69">
        <v>2.4235749999999999E-4</v>
      </c>
      <c r="BD34" s="69">
        <v>2.3876050000000001E-4</v>
      </c>
      <c r="BE34" s="69">
        <v>2.3521689999999999E-4</v>
      </c>
      <c r="BF34" s="69">
        <v>2.31726E-4</v>
      </c>
      <c r="BG34" s="69">
        <v>2.28287E-4</v>
      </c>
      <c r="BH34" s="69">
        <v>2.24899E-4</v>
      </c>
      <c r="BI34" s="69">
        <v>2.215614E-4</v>
      </c>
      <c r="BJ34" s="69">
        <v>2.182733E-4</v>
      </c>
      <c r="BK34" s="69">
        <v>2.1503409999999999E-4</v>
      </c>
      <c r="BL34" s="69">
        <v>2.1184289999999999E-4</v>
      </c>
      <c r="BM34" s="69">
        <v>2.086992E-4</v>
      </c>
      <c r="BN34" s="69">
        <v>2.0560209999999999E-4</v>
      </c>
      <c r="BO34" s="69">
        <v>2.0255100000000001E-4</v>
      </c>
      <c r="BP34" s="69">
        <v>1.9954519999999999E-4</v>
      </c>
      <c r="BQ34" s="69">
        <v>1.96584E-4</v>
      </c>
      <c r="BR34" s="69">
        <v>1.936668E-4</v>
      </c>
      <c r="BS34" s="69">
        <v>1.9079289999999999E-4</v>
      </c>
      <c r="BT34" s="69">
        <v>1.8796160000000001E-4</v>
      </c>
      <c r="BU34" s="69">
        <v>1.851724E-4</v>
      </c>
      <c r="BV34" s="69">
        <v>1.824246E-4</v>
      </c>
      <c r="BW34" s="69">
        <v>1.7971750000000001E-4</v>
      </c>
      <c r="BX34" s="69">
        <v>1.7705069999999999E-4</v>
      </c>
      <c r="BY34" s="69">
        <v>1.7442339999999999E-4</v>
      </c>
      <c r="BZ34" s="69">
        <v>1.7183509999999999E-4</v>
      </c>
      <c r="CA34" s="69">
        <v>1.6928519999999999E-4</v>
      </c>
      <c r="CB34" s="69">
        <v>1.6677320000000001E-4</v>
      </c>
      <c r="CC34" s="69">
        <v>1.6429850000000001E-4</v>
      </c>
      <c r="CD34" s="69">
        <v>1.6186050000000001E-4</v>
      </c>
      <c r="CE34" s="69">
        <v>1.5945860000000001E-4</v>
      </c>
      <c r="CF34" s="69">
        <v>1.5709240000000001E-4</v>
      </c>
      <c r="CG34" s="69">
        <v>1.5476140000000001E-4</v>
      </c>
      <c r="CH34" s="69">
        <v>1.524649E-4</v>
      </c>
      <c r="CI34" s="69">
        <v>1.502025E-4</v>
      </c>
      <c r="CJ34" s="69">
        <v>1.4797359999999999E-4</v>
      </c>
      <c r="CK34" s="69">
        <v>1.4577789999999999E-4</v>
      </c>
      <c r="CL34" s="69">
        <v>1.4361469999999999E-4</v>
      </c>
      <c r="CM34" s="69">
        <v>1.414837E-4</v>
      </c>
      <c r="CN34" s="69">
        <v>1.3938420000000001E-4</v>
      </c>
      <c r="CO34" s="69">
        <v>1.373159E-4</v>
      </c>
      <c r="CP34" s="69">
        <v>1.3527830000000001E-4</v>
      </c>
      <c r="CQ34" s="69">
        <v>1.3327099999999999E-4</v>
      </c>
      <c r="CR34" s="69">
        <v>1.3129339999999999E-4</v>
      </c>
      <c r="CS34" s="69">
        <v>1.2934519999999999E-4</v>
      </c>
      <c r="CT34" s="69">
        <v>1.274258E-4</v>
      </c>
      <c r="CU34" s="69">
        <v>1.25535E-4</v>
      </c>
      <c r="CV34" s="69">
        <v>1.236722E-4</v>
      </c>
      <c r="CW34" s="69">
        <v>1.218371E-4</v>
      </c>
      <c r="CX34" s="69">
        <v>1.200292E-4</v>
      </c>
      <c r="CY34" s="69">
        <v>1.182481E-4</v>
      </c>
      <c r="CZ34" s="69">
        <v>1.164934E-4</v>
      </c>
      <c r="DA34" s="69">
        <v>1.147648E-4</v>
      </c>
      <c r="DB34" s="69">
        <v>1.130618E-4</v>
      </c>
      <c r="DC34" s="69">
        <v>1.113841E-4</v>
      </c>
      <c r="DD34" s="69">
        <v>1.097313E-4</v>
      </c>
      <c r="DE34" s="69">
        <v>1.081031E-4</v>
      </c>
      <c r="DF34" s="69">
        <v>1.064989E-4</v>
      </c>
      <c r="DG34" s="69">
        <v>1.049186E-4</v>
      </c>
      <c r="DH34" s="69">
        <v>1.033618E-4</v>
      </c>
      <c r="DI34" s="69">
        <v>1.01828E-4</v>
      </c>
      <c r="DJ34" s="69">
        <v>1.00317E-4</v>
      </c>
      <c r="DK34" s="69">
        <v>9.8828399999999997E-5</v>
      </c>
      <c r="DL34" s="69">
        <v>9.73619E-5</v>
      </c>
      <c r="DM34" s="69">
        <v>9.5917199999999997E-5</v>
      </c>
      <c r="DN34" s="69">
        <v>9.44939E-5</v>
      </c>
      <c r="DO34" s="69">
        <v>9.3091700000000002E-5</v>
      </c>
      <c r="DP34" s="69">
        <v>9.1710299999999995E-5</v>
      </c>
      <c r="DQ34" s="69">
        <v>9.0349500000000006E-5</v>
      </c>
      <c r="DR34" s="69">
        <v>8.9008800000000001E-5</v>
      </c>
      <c r="DS34" s="69">
        <v>8.7688000000000005E-5</v>
      </c>
      <c r="DT34" s="69">
        <v>8.6386799999999998E-5</v>
      </c>
      <c r="DU34" s="69">
        <v>8.5104899999999999E-5</v>
      </c>
      <c r="DV34" s="69">
        <v>8.3842099999999995E-5</v>
      </c>
      <c r="DW34" s="69">
        <v>8.2597900000000004E-5</v>
      </c>
      <c r="DX34" s="69">
        <v>8.13723E-5</v>
      </c>
      <c r="DY34" s="69">
        <v>8.0164800000000002E-5</v>
      </c>
      <c r="DZ34" s="69">
        <v>7.8975199999999996E-5</v>
      </c>
      <c r="EA34" s="69">
        <v>7.7803299999999994E-5</v>
      </c>
      <c r="EB34" s="69">
        <v>7.6648800000000004E-5</v>
      </c>
      <c r="EC34" s="69">
        <v>7.5511400000000003E-5</v>
      </c>
      <c r="ED34" s="69">
        <v>7.4390900000000006E-5</v>
      </c>
      <c r="EE34" s="69">
        <v>7.3287000000000005E-5</v>
      </c>
      <c r="EF34" s="69">
        <v>7.2199499999999999E-5</v>
      </c>
      <c r="EG34" s="69">
        <v>7.1128200000000001E-5</v>
      </c>
      <c r="EH34" s="69">
        <v>7.0072699999999997E-5</v>
      </c>
      <c r="EI34" s="69">
        <v>6.9032899999999994E-5</v>
      </c>
      <c r="EJ34" s="69">
        <v>6.8008499999999998E-5</v>
      </c>
      <c r="EK34" s="69">
        <v>6.6999299999999994E-5</v>
      </c>
      <c r="EL34" s="69">
        <v>6.6005099999999996E-5</v>
      </c>
      <c r="EM34" s="69">
        <v>6.5025700000000003E-5</v>
      </c>
      <c r="EN34" s="69">
        <v>6.4060799999999995E-5</v>
      </c>
      <c r="EO34" s="69">
        <v>6.3110199999999998E-5</v>
      </c>
      <c r="EP34" s="69">
        <v>6.2173699999999997E-5</v>
      </c>
      <c r="EQ34" s="69">
        <v>6.1251099999999994E-5</v>
      </c>
      <c r="ER34" s="69">
        <v>6.03422E-5</v>
      </c>
      <c r="ES34" s="69">
        <v>5.9446800000000001E-5</v>
      </c>
      <c r="ET34" s="69">
        <v>5.8564599999999998E-5</v>
      </c>
      <c r="EU34" s="69">
        <v>5.7695599999999997E-5</v>
      </c>
      <c r="EV34" s="69">
        <v>5.6839400000000003E-5</v>
      </c>
      <c r="EW34" s="69">
        <v>5.5995999999999997E-5</v>
      </c>
      <c r="EX34" s="69">
        <v>5.5165099999999998E-5</v>
      </c>
      <c r="EY34" s="69">
        <v>5.4346499999999999E-5</v>
      </c>
      <c r="EZ34" s="69">
        <v>5.3539999999999999E-5</v>
      </c>
      <c r="FA34" s="69">
        <v>5.2745499999999998E-5</v>
      </c>
      <c r="FB34" s="69">
        <v>5.1962800000000003E-5</v>
      </c>
      <c r="FC34" s="69">
        <v>5.11918E-5</v>
      </c>
      <c r="FD34" s="69">
        <v>5.0432100000000001E-5</v>
      </c>
      <c r="FE34" s="69">
        <v>4.96837E-5</v>
      </c>
      <c r="FF34" s="69">
        <v>4.8946500000000003E-5</v>
      </c>
      <c r="FG34" s="69">
        <v>4.8220200000000003E-5</v>
      </c>
      <c r="FH34" s="69">
        <v>4.7504599999999999E-5</v>
      </c>
      <c r="FI34" s="69">
        <v>4.6799699999999998E-5</v>
      </c>
      <c r="FJ34" s="69">
        <v>4.61052E-5</v>
      </c>
      <c r="FK34" s="69">
        <v>4.5421099999999998E-5</v>
      </c>
      <c r="FL34" s="69">
        <v>4.4747099999999997E-5</v>
      </c>
      <c r="FM34" s="69">
        <v>4.4082999999999998E-5</v>
      </c>
      <c r="FN34" s="69">
        <v>4.34289E-5</v>
      </c>
      <c r="FO34" s="69">
        <v>4.2784400000000003E-5</v>
      </c>
      <c r="FP34" s="69">
        <v>4.21496E-5</v>
      </c>
      <c r="FQ34" s="69">
        <v>4.1524099999999998E-5</v>
      </c>
    </row>
    <row r="35" spans="1:173" x14ac:dyDescent="0.25">
      <c r="A35" s="71">
        <v>33</v>
      </c>
      <c r="B35" s="69">
        <v>5.4007489999999996E-4</v>
      </c>
      <c r="C35" s="69">
        <v>5.3320560000000002E-4</v>
      </c>
      <c r="D35" s="69">
        <v>5.2633339999999995E-4</v>
      </c>
      <c r="E35" s="69">
        <v>5.1946640000000003E-4</v>
      </c>
      <c r="F35" s="69">
        <v>5.126121E-4</v>
      </c>
      <c r="G35" s="69">
        <v>5.0577740000000003E-4</v>
      </c>
      <c r="H35" s="69">
        <v>4.9896830000000002E-4</v>
      </c>
      <c r="I35" s="69">
        <v>4.9219070000000001E-4</v>
      </c>
      <c r="J35" s="69">
        <v>4.854495E-4</v>
      </c>
      <c r="K35" s="69">
        <v>4.787495E-4</v>
      </c>
      <c r="L35" s="69">
        <v>4.7209470000000002E-4</v>
      </c>
      <c r="M35" s="69">
        <v>4.6548889999999999E-4</v>
      </c>
      <c r="N35" s="69">
        <v>4.5893540000000002E-4</v>
      </c>
      <c r="O35" s="69">
        <v>4.5243719999999999E-4</v>
      </c>
      <c r="P35" s="69">
        <v>4.4599700000000001E-4</v>
      </c>
      <c r="Q35" s="69">
        <v>4.3961709999999998E-4</v>
      </c>
      <c r="R35" s="69">
        <v>4.3329950000000001E-4</v>
      </c>
      <c r="S35" s="69">
        <v>4.2704610000000002E-4</v>
      </c>
      <c r="T35" s="69">
        <v>4.208584E-4</v>
      </c>
      <c r="U35" s="69">
        <v>4.1473779999999999E-4</v>
      </c>
      <c r="V35" s="69">
        <v>4.0868540000000002E-4</v>
      </c>
      <c r="W35" s="69">
        <v>4.0270209999999999E-4</v>
      </c>
      <c r="X35" s="69">
        <v>3.9678880000000003E-4</v>
      </c>
      <c r="Y35" s="69">
        <v>3.9094610000000001E-4</v>
      </c>
      <c r="Z35" s="69">
        <v>3.8517439999999998E-4</v>
      </c>
      <c r="AA35" s="69">
        <v>3.7947410000000001E-4</v>
      </c>
      <c r="AB35" s="69">
        <v>3.7384549999999999E-4</v>
      </c>
      <c r="AC35" s="69">
        <v>3.682887E-4</v>
      </c>
      <c r="AD35" s="69">
        <v>3.6280379999999998E-4</v>
      </c>
      <c r="AE35" s="69">
        <v>3.5739060000000001E-4</v>
      </c>
      <c r="AF35" s="69">
        <v>3.52049E-4</v>
      </c>
      <c r="AG35" s="69">
        <v>3.4677889999999999E-4</v>
      </c>
      <c r="AH35" s="69">
        <v>3.4157989999999999E-4</v>
      </c>
      <c r="AI35" s="69">
        <v>3.364517E-4</v>
      </c>
      <c r="AJ35" s="69">
        <v>3.3139399999999999E-4</v>
      </c>
      <c r="AK35" s="69">
        <v>3.264063E-4</v>
      </c>
      <c r="AL35" s="69">
        <v>3.2148810000000002E-4</v>
      </c>
      <c r="AM35" s="69">
        <v>3.166388E-4</v>
      </c>
      <c r="AN35" s="69">
        <v>3.1185799999999998E-4</v>
      </c>
      <c r="AO35" s="69">
        <v>3.0714499999999999E-4</v>
      </c>
      <c r="AP35" s="69">
        <v>3.0249930000000001E-4</v>
      </c>
      <c r="AQ35" s="69">
        <v>2.979201E-4</v>
      </c>
      <c r="AR35" s="69">
        <v>2.934069E-4</v>
      </c>
      <c r="AS35" s="69">
        <v>2.889589E-4</v>
      </c>
      <c r="AT35" s="69">
        <v>2.8457550000000003E-4</v>
      </c>
      <c r="AU35" s="69">
        <v>2.8025599999999999E-4</v>
      </c>
      <c r="AV35" s="69">
        <v>2.7599960000000001E-4</v>
      </c>
      <c r="AW35" s="69">
        <v>2.7180550000000003E-4</v>
      </c>
      <c r="AX35" s="69">
        <v>2.6767320000000002E-4</v>
      </c>
      <c r="AY35" s="69">
        <v>2.6360179999999997E-4</v>
      </c>
      <c r="AZ35" s="69">
        <v>2.5959049999999998E-4</v>
      </c>
      <c r="BA35" s="69">
        <v>2.556387E-4</v>
      </c>
      <c r="BB35" s="69">
        <v>2.5174559999999998E-4</v>
      </c>
      <c r="BC35" s="69">
        <v>2.479103E-4</v>
      </c>
      <c r="BD35" s="69">
        <v>2.4413230000000001E-4</v>
      </c>
      <c r="BE35" s="69">
        <v>2.4041070000000001E-4</v>
      </c>
      <c r="BF35" s="69">
        <v>2.3674469999999999E-4</v>
      </c>
      <c r="BG35" s="69">
        <v>2.331337E-4</v>
      </c>
      <c r="BH35" s="69">
        <v>2.295768E-4</v>
      </c>
      <c r="BI35" s="69">
        <v>2.260734E-4</v>
      </c>
      <c r="BJ35" s="69">
        <v>2.2262270000000001E-4</v>
      </c>
      <c r="BK35" s="69">
        <v>2.1922390000000001E-4</v>
      </c>
      <c r="BL35" s="69">
        <v>2.1587639999999999E-4</v>
      </c>
      <c r="BM35" s="69">
        <v>2.1257940000000001E-4</v>
      </c>
      <c r="BN35" s="69">
        <v>2.0933219999999999E-4</v>
      </c>
      <c r="BO35" s="69">
        <v>2.061341E-4</v>
      </c>
      <c r="BP35" s="69">
        <v>2.0298439999999999E-4</v>
      </c>
      <c r="BQ35" s="69">
        <v>1.998824E-4</v>
      </c>
      <c r="BR35" s="69">
        <v>1.9682740000000001E-4</v>
      </c>
      <c r="BS35" s="69">
        <v>1.938187E-4</v>
      </c>
      <c r="BT35" s="69">
        <v>1.908557E-4</v>
      </c>
      <c r="BU35" s="69">
        <v>1.8793759999999999E-4</v>
      </c>
      <c r="BV35" s="69">
        <v>1.850639E-4</v>
      </c>
      <c r="BW35" s="69">
        <v>1.822339E-4</v>
      </c>
      <c r="BX35" s="69">
        <v>1.794469E-4</v>
      </c>
      <c r="BY35" s="69">
        <v>1.7670230000000001E-4</v>
      </c>
      <c r="BZ35" s="69">
        <v>1.7399949999999999E-4</v>
      </c>
      <c r="CA35" s="69">
        <v>1.7133790000000001E-4</v>
      </c>
      <c r="CB35" s="69">
        <v>1.6871670000000001E-4</v>
      </c>
      <c r="CC35" s="69">
        <v>1.6613549999999999E-4</v>
      </c>
      <c r="CD35" s="69">
        <v>1.6359370000000001E-4</v>
      </c>
      <c r="CE35" s="69">
        <v>1.6109060000000001E-4</v>
      </c>
      <c r="CF35" s="69">
        <v>1.5862569999999999E-4</v>
      </c>
      <c r="CG35" s="69">
        <v>1.561984E-4</v>
      </c>
      <c r="CH35" s="69">
        <v>1.538081E-4</v>
      </c>
      <c r="CI35" s="69">
        <v>1.514543E-4</v>
      </c>
      <c r="CJ35" s="69">
        <v>1.4913639999999999E-4</v>
      </c>
      <c r="CK35" s="69">
        <v>1.46854E-4</v>
      </c>
      <c r="CL35" s="69">
        <v>1.446063E-4</v>
      </c>
      <c r="CM35" s="69">
        <v>1.4239299999999999E-4</v>
      </c>
      <c r="CN35" s="69">
        <v>1.402136E-4</v>
      </c>
      <c r="CO35" s="69">
        <v>1.3806739999999999E-4</v>
      </c>
      <c r="CP35" s="69">
        <v>1.3595400000000001E-4</v>
      </c>
      <c r="CQ35" s="69">
        <v>1.338729E-4</v>
      </c>
      <c r="CR35" s="69">
        <v>1.318236E-4</v>
      </c>
      <c r="CS35" s="69">
        <v>1.298057E-4</v>
      </c>
      <c r="CT35" s="69">
        <v>1.2781859999999999E-4</v>
      </c>
      <c r="CU35" s="69">
        <v>1.2586180000000001E-4</v>
      </c>
      <c r="CV35" s="69">
        <v>1.2393500000000001E-4</v>
      </c>
      <c r="CW35" s="69">
        <v>1.2203770000000001E-4</v>
      </c>
      <c r="CX35" s="69">
        <v>1.201694E-4</v>
      </c>
      <c r="CY35" s="69">
        <v>1.183296E-4</v>
      </c>
      <c r="CZ35" s="69">
        <v>1.16518E-4</v>
      </c>
      <c r="DA35" s="69">
        <v>1.147341E-4</v>
      </c>
      <c r="DB35" s="69">
        <v>1.1297749999999999E-4</v>
      </c>
      <c r="DC35" s="69">
        <v>1.112478E-4</v>
      </c>
      <c r="DD35" s="69">
        <v>1.095445E-4</v>
      </c>
      <c r="DE35" s="69">
        <v>1.078673E-4</v>
      </c>
      <c r="DF35" s="69">
        <v>1.062158E-4</v>
      </c>
      <c r="DG35" s="69">
        <v>1.0458950000000001E-4</v>
      </c>
      <c r="DH35" s="69">
        <v>1.029882E-4</v>
      </c>
      <c r="DI35" s="69">
        <v>1.014113E-4</v>
      </c>
      <c r="DJ35" s="69">
        <v>9.9858499999999999E-5</v>
      </c>
      <c r="DK35" s="69">
        <v>9.8329600000000001E-5</v>
      </c>
      <c r="DL35" s="69">
        <v>9.6824000000000007E-5</v>
      </c>
      <c r="DM35" s="69">
        <v>9.5341500000000002E-5</v>
      </c>
      <c r="DN35" s="69">
        <v>9.3881600000000006E-5</v>
      </c>
      <c r="DO35" s="69">
        <v>9.2444100000000005E-5</v>
      </c>
      <c r="DP35" s="69">
        <v>9.1028599999999998E-5</v>
      </c>
      <c r="DQ35" s="69">
        <v>8.9634800000000004E-5</v>
      </c>
      <c r="DR35" s="69">
        <v>8.8262299999999997E-5</v>
      </c>
      <c r="DS35" s="69">
        <v>8.6910799999999995E-5</v>
      </c>
      <c r="DT35" s="69">
        <v>8.5580000000000004E-5</v>
      </c>
      <c r="DU35" s="69">
        <v>8.4269600000000004E-5</v>
      </c>
      <c r="DV35" s="69">
        <v>8.29793E-5</v>
      </c>
      <c r="DW35" s="69">
        <v>8.1708700000000006E-5</v>
      </c>
      <c r="DX35" s="69">
        <v>8.04575E-5</v>
      </c>
      <c r="DY35" s="69">
        <v>7.9225499999999996E-5</v>
      </c>
      <c r="DZ35" s="69">
        <v>7.8012399999999999E-5</v>
      </c>
      <c r="EA35" s="69">
        <v>7.6817799999999995E-5</v>
      </c>
      <c r="EB35" s="69">
        <v>7.5641600000000004E-5</v>
      </c>
      <c r="EC35" s="69">
        <v>7.4483300000000006E-5</v>
      </c>
      <c r="ED35" s="69">
        <v>7.3342800000000005E-5</v>
      </c>
      <c r="EE35" s="69">
        <v>7.2219700000000002E-5</v>
      </c>
      <c r="EF35" s="69">
        <v>7.1113799999999997E-5</v>
      </c>
      <c r="EG35" s="69">
        <v>7.0024900000000001E-5</v>
      </c>
      <c r="EH35" s="69">
        <v>6.8952600000000001E-5</v>
      </c>
      <c r="EI35" s="69">
        <v>6.7896699999999997E-5</v>
      </c>
      <c r="EJ35" s="69">
        <v>6.6857099999999994E-5</v>
      </c>
      <c r="EK35" s="69">
        <v>6.5833299999999999E-5</v>
      </c>
      <c r="EL35" s="69">
        <v>6.4825200000000004E-5</v>
      </c>
      <c r="EM35" s="69">
        <v>6.3832500000000003E-5</v>
      </c>
      <c r="EN35" s="69">
        <v>6.2855100000000001E-5</v>
      </c>
      <c r="EO35" s="69">
        <v>6.1892599999999998E-5</v>
      </c>
      <c r="EP35" s="69">
        <v>6.09448E-5</v>
      </c>
      <c r="EQ35" s="69">
        <v>6.00116E-5</v>
      </c>
      <c r="ER35" s="69">
        <v>5.9092599999999997E-5</v>
      </c>
      <c r="ES35" s="69">
        <v>5.8187799999999999E-5</v>
      </c>
      <c r="ET35" s="69">
        <v>5.7296700000000003E-5</v>
      </c>
      <c r="EU35" s="69">
        <v>5.6419399999999997E-5</v>
      </c>
      <c r="EV35" s="69">
        <v>5.55554E-5</v>
      </c>
      <c r="EW35" s="69">
        <v>5.4704699999999998E-5</v>
      </c>
      <c r="EX35" s="69">
        <v>5.3866999999999998E-5</v>
      </c>
      <c r="EY35" s="69">
        <v>5.3042099999999998E-5</v>
      </c>
      <c r="EZ35" s="69">
        <v>5.2229899999999999E-5</v>
      </c>
      <c r="FA35" s="69">
        <v>5.1430100000000001E-5</v>
      </c>
      <c r="FB35" s="69">
        <v>5.0642500000000002E-5</v>
      </c>
      <c r="FC35" s="69">
        <v>4.9867000000000002E-5</v>
      </c>
      <c r="FD35" s="69">
        <v>4.9103400000000002E-5</v>
      </c>
      <c r="FE35" s="69">
        <v>4.8351499999999999E-5</v>
      </c>
      <c r="FF35" s="69">
        <v>4.7611100000000002E-5</v>
      </c>
      <c r="FG35" s="69">
        <v>4.6882000000000003E-5</v>
      </c>
      <c r="FH35" s="69">
        <v>4.6164100000000001E-5</v>
      </c>
      <c r="FI35" s="69">
        <v>4.5457200000000002E-5</v>
      </c>
      <c r="FJ35" s="69">
        <v>4.4761100000000001E-5</v>
      </c>
      <c r="FK35" s="69">
        <v>4.4075700000000002E-5</v>
      </c>
      <c r="FL35" s="69">
        <v>4.3400699999999999E-5</v>
      </c>
      <c r="FM35" s="69">
        <v>4.2736099999999999E-5</v>
      </c>
      <c r="FN35" s="69">
        <v>4.2081700000000001E-5</v>
      </c>
      <c r="FO35" s="69">
        <v>4.1437299999999997E-5</v>
      </c>
      <c r="FP35" s="69">
        <v>4.0802800000000002E-5</v>
      </c>
      <c r="FQ35" s="69">
        <v>4.01779E-5</v>
      </c>
    </row>
    <row r="36" spans="1:173" x14ac:dyDescent="0.25">
      <c r="A36" s="71">
        <v>34</v>
      </c>
      <c r="B36" s="69">
        <v>5.6945430000000005E-4</v>
      </c>
      <c r="C36" s="69">
        <v>5.6275140000000003E-4</v>
      </c>
      <c r="D36" s="69">
        <v>5.5600300000000001E-4</v>
      </c>
      <c r="E36" s="69">
        <v>5.4922079999999995E-4</v>
      </c>
      <c r="F36" s="69">
        <v>5.4241529999999997E-4</v>
      </c>
      <c r="G36" s="69">
        <v>5.3559630000000005E-4</v>
      </c>
      <c r="H36" s="69">
        <v>5.2877269999999997E-4</v>
      </c>
      <c r="I36" s="69">
        <v>5.2195289999999999E-4</v>
      </c>
      <c r="J36" s="69">
        <v>5.1514409999999997E-4</v>
      </c>
      <c r="K36" s="69">
        <v>5.0835340000000004E-4</v>
      </c>
      <c r="L36" s="69">
        <v>5.0158669999999996E-4</v>
      </c>
      <c r="M36" s="69">
        <v>4.9484989999999999E-4</v>
      </c>
      <c r="N36" s="69">
        <v>4.8814799999999999E-4</v>
      </c>
      <c r="O36" s="69">
        <v>4.814857E-4</v>
      </c>
      <c r="P36" s="69">
        <v>4.7486700000000002E-4</v>
      </c>
      <c r="Q36" s="69">
        <v>4.6829579999999998E-4</v>
      </c>
      <c r="R36" s="69">
        <v>4.6177540000000002E-4</v>
      </c>
      <c r="S36" s="69">
        <v>4.5530879999999997E-4</v>
      </c>
      <c r="T36" s="69">
        <v>4.4889870000000001E-4</v>
      </c>
      <c r="U36" s="69">
        <v>4.4254750000000001E-4</v>
      </c>
      <c r="V36" s="69">
        <v>4.3625709999999999E-4</v>
      </c>
      <c r="W36" s="69">
        <v>4.3002950000000002E-4</v>
      </c>
      <c r="X36" s="69">
        <v>4.238663E-4</v>
      </c>
      <c r="Y36" s="69">
        <v>4.177688E-4</v>
      </c>
      <c r="Z36" s="69">
        <v>4.1173810000000001E-4</v>
      </c>
      <c r="AA36" s="69">
        <v>4.0577529999999998E-4</v>
      </c>
      <c r="AB36" s="69">
        <v>3.9988110000000002E-4</v>
      </c>
      <c r="AC36" s="69">
        <v>3.9405629999999999E-4</v>
      </c>
      <c r="AD36" s="69">
        <v>3.8830130000000002E-4</v>
      </c>
      <c r="AE36" s="69">
        <v>3.8261650000000002E-4</v>
      </c>
      <c r="AF36" s="69">
        <v>3.7700219999999999E-4</v>
      </c>
      <c r="AG36" s="69">
        <v>3.7145860000000001E-4</v>
      </c>
      <c r="AH36" s="69">
        <v>3.6598570000000001E-4</v>
      </c>
      <c r="AI36" s="69">
        <v>3.6058349999999999E-4</v>
      </c>
      <c r="AJ36" s="69">
        <v>3.5525189999999999E-4</v>
      </c>
      <c r="AK36" s="69">
        <v>3.4999070000000002E-4</v>
      </c>
      <c r="AL36" s="69">
        <v>3.447996E-4</v>
      </c>
      <c r="AM36" s="69">
        <v>3.3967829999999999E-4</v>
      </c>
      <c r="AN36" s="69">
        <v>3.3462660000000002E-4</v>
      </c>
      <c r="AO36" s="69">
        <v>3.296439E-4</v>
      </c>
      <c r="AP36" s="69">
        <v>3.247298E-4</v>
      </c>
      <c r="AQ36" s="69">
        <v>3.1988379999999997E-4</v>
      </c>
      <c r="AR36" s="69">
        <v>3.1510540000000001E-4</v>
      </c>
      <c r="AS36" s="69">
        <v>3.103941E-4</v>
      </c>
      <c r="AT36" s="69">
        <v>3.057491E-4</v>
      </c>
      <c r="AU36" s="69">
        <v>3.0117000000000002E-4</v>
      </c>
      <c r="AV36" s="69">
        <v>2.9665600000000001E-4</v>
      </c>
      <c r="AW36" s="69">
        <v>2.9220659999999997E-4</v>
      </c>
      <c r="AX36" s="69">
        <v>2.8782100000000001E-4</v>
      </c>
      <c r="AY36" s="69">
        <v>2.8349860000000002E-4</v>
      </c>
      <c r="AZ36" s="69">
        <v>2.792386E-4</v>
      </c>
      <c r="BA36" s="69">
        <v>2.7504040000000002E-4</v>
      </c>
      <c r="BB36" s="69">
        <v>2.7090319999999998E-4</v>
      </c>
      <c r="BC36" s="69">
        <v>2.6682639999999998E-4</v>
      </c>
      <c r="BD36" s="69">
        <v>2.628091E-4</v>
      </c>
      <c r="BE36" s="69">
        <v>2.588507E-4</v>
      </c>
      <c r="BF36" s="69">
        <v>2.549505E-4</v>
      </c>
      <c r="BG36" s="69">
        <v>2.5110760000000002E-4</v>
      </c>
      <c r="BH36" s="69">
        <v>2.4732139999999997E-4</v>
      </c>
      <c r="BI36" s="69">
        <v>2.4359110000000001E-4</v>
      </c>
      <c r="BJ36" s="69">
        <v>2.3991600000000001E-4</v>
      </c>
      <c r="BK36" s="69">
        <v>2.362954E-4</v>
      </c>
      <c r="BL36" s="69">
        <v>2.3272850000000001E-4</v>
      </c>
      <c r="BM36" s="69">
        <v>2.2921460000000001E-4</v>
      </c>
      <c r="BN36" s="69">
        <v>2.2575300000000001E-4</v>
      </c>
      <c r="BO36" s="69">
        <v>2.223429E-4</v>
      </c>
      <c r="BP36" s="69">
        <v>2.1898370000000001E-4</v>
      </c>
      <c r="BQ36" s="69">
        <v>2.156747E-4</v>
      </c>
      <c r="BR36" s="69">
        <v>2.1241510000000001E-4</v>
      </c>
      <c r="BS36" s="69">
        <v>2.0920420000000001E-4</v>
      </c>
      <c r="BT36" s="69">
        <v>2.0604139999999999E-4</v>
      </c>
      <c r="BU36" s="69">
        <v>2.02926E-4</v>
      </c>
      <c r="BV36" s="69">
        <v>1.998573E-4</v>
      </c>
      <c r="BW36" s="69">
        <v>1.968347E-4</v>
      </c>
      <c r="BX36" s="69">
        <v>1.938574E-4</v>
      </c>
      <c r="BY36" s="69">
        <v>1.9092480000000001E-4</v>
      </c>
      <c r="BZ36" s="69">
        <v>1.8803630000000001E-4</v>
      </c>
      <c r="CA36" s="69">
        <v>1.8519129999999999E-4</v>
      </c>
      <c r="CB36" s="69">
        <v>1.82389E-4</v>
      </c>
      <c r="CC36" s="69">
        <v>1.79629E-4</v>
      </c>
      <c r="CD36" s="69">
        <v>1.7691040000000001E-4</v>
      </c>
      <c r="CE36" s="69">
        <v>1.742329E-4</v>
      </c>
      <c r="CF36" s="69">
        <v>1.7159569999999999E-4</v>
      </c>
      <c r="CG36" s="69">
        <v>1.689982E-4</v>
      </c>
      <c r="CH36" s="69">
        <v>1.6643990000000001E-4</v>
      </c>
      <c r="CI36" s="69">
        <v>1.639202E-4</v>
      </c>
      <c r="CJ36" s="69">
        <v>1.6143860000000001E-4</v>
      </c>
      <c r="CK36" s="69">
        <v>1.589943E-4</v>
      </c>
      <c r="CL36" s="69">
        <v>1.56587E-4</v>
      </c>
      <c r="CM36" s="69">
        <v>1.5421599999999999E-4</v>
      </c>
      <c r="CN36" s="69">
        <v>1.5188079999999999E-4</v>
      </c>
      <c r="CO36" s="69">
        <v>1.49581E-4</v>
      </c>
      <c r="CP36" s="69">
        <v>1.473158E-4</v>
      </c>
      <c r="CQ36" s="69">
        <v>1.450849E-4</v>
      </c>
      <c r="CR36" s="69">
        <v>1.4288770000000001E-4</v>
      </c>
      <c r="CS36" s="69">
        <v>1.4072370000000001E-4</v>
      </c>
      <c r="CT36" s="69">
        <v>1.3859239999999999E-4</v>
      </c>
      <c r="CU36" s="69">
        <v>1.3649340000000001E-4</v>
      </c>
      <c r="CV36" s="69">
        <v>1.344261E-4</v>
      </c>
      <c r="CW36" s="69">
        <v>1.323901E-4</v>
      </c>
      <c r="CX36" s="69">
        <v>1.3038479999999999E-4</v>
      </c>
      <c r="CY36" s="69">
        <v>1.2840989999999999E-4</v>
      </c>
      <c r="CZ36" s="69">
        <v>1.264649E-4</v>
      </c>
      <c r="DA36" s="69">
        <v>1.245493E-4</v>
      </c>
      <c r="DB36" s="69">
        <v>1.2266269999999999E-4</v>
      </c>
      <c r="DC36" s="69">
        <v>1.208047E-4</v>
      </c>
      <c r="DD36" s="69">
        <v>1.189747E-4</v>
      </c>
      <c r="DE36" s="69">
        <v>1.171725E-4</v>
      </c>
      <c r="DF36" s="69">
        <v>1.153975E-4</v>
      </c>
      <c r="DG36" s="69">
        <v>1.136494E-4</v>
      </c>
      <c r="DH36" s="69">
        <v>1.119278E-4</v>
      </c>
      <c r="DI36" s="69">
        <v>1.102322E-4</v>
      </c>
      <c r="DJ36" s="69">
        <v>1.085623E-4</v>
      </c>
      <c r="DK36" s="69">
        <v>1.069177E-4</v>
      </c>
      <c r="DL36" s="69">
        <v>1.0529799999999999E-4</v>
      </c>
      <c r="DM36" s="69">
        <v>1.0370280000000001E-4</v>
      </c>
      <c r="DN36" s="69">
        <v>1.021318E-4</v>
      </c>
      <c r="DO36" s="69">
        <v>1.0058450000000001E-4</v>
      </c>
      <c r="DP36" s="69">
        <v>9.9060699999999998E-5</v>
      </c>
      <c r="DQ36" s="69">
        <v>9.7559999999999994E-5</v>
      </c>
      <c r="DR36" s="69">
        <v>9.6082000000000006E-5</v>
      </c>
      <c r="DS36" s="69">
        <v>9.4626300000000006E-5</v>
      </c>
      <c r="DT36" s="69">
        <v>9.3192700000000006E-5</v>
      </c>
      <c r="DU36" s="69">
        <v>9.1780900000000001E-5</v>
      </c>
      <c r="DV36" s="69">
        <v>9.0390399999999994E-5</v>
      </c>
      <c r="DW36" s="69">
        <v>8.9021E-5</v>
      </c>
      <c r="DX36" s="69">
        <v>8.7672300000000004E-5</v>
      </c>
      <c r="DY36" s="69">
        <v>8.6343999999999999E-5</v>
      </c>
      <c r="DZ36" s="69">
        <v>8.5035899999999997E-5</v>
      </c>
      <c r="EA36" s="69">
        <v>8.3747500000000004E-5</v>
      </c>
      <c r="EB36" s="69">
        <v>8.24787E-5</v>
      </c>
      <c r="EC36" s="69">
        <v>8.1229099999999998E-5</v>
      </c>
      <c r="ED36" s="69">
        <v>7.9998499999999996E-5</v>
      </c>
      <c r="EE36" s="69">
        <v>7.8786499999999995E-5</v>
      </c>
      <c r="EF36" s="69">
        <v>7.75928E-5</v>
      </c>
      <c r="EG36" s="69">
        <v>7.6417199999999997E-5</v>
      </c>
      <c r="EH36" s="69">
        <v>7.5259400000000007E-5</v>
      </c>
      <c r="EI36" s="69">
        <v>7.41192E-5</v>
      </c>
      <c r="EJ36" s="69">
        <v>7.2996299999999998E-5</v>
      </c>
      <c r="EK36" s="69">
        <v>7.1890299999999998E-5</v>
      </c>
      <c r="EL36" s="69">
        <v>7.0801099999999995E-5</v>
      </c>
      <c r="EM36" s="69">
        <v>6.9728399999999995E-5</v>
      </c>
      <c r="EN36" s="69">
        <v>6.8671999999999996E-5</v>
      </c>
      <c r="EO36" s="69">
        <v>6.7631499999999998E-5</v>
      </c>
      <c r="EP36" s="69">
        <v>6.6606900000000001E-5</v>
      </c>
      <c r="EQ36" s="69">
        <v>6.5597699999999997E-5</v>
      </c>
      <c r="ER36" s="69">
        <v>6.4603800000000006E-5</v>
      </c>
      <c r="ES36" s="69">
        <v>6.3625000000000002E-5</v>
      </c>
      <c r="ET36" s="69">
        <v>6.2661000000000002E-5</v>
      </c>
      <c r="EU36" s="69">
        <v>6.1711700000000001E-5</v>
      </c>
      <c r="EV36" s="69">
        <v>6.0776699999999997E-5</v>
      </c>
      <c r="EW36" s="69">
        <v>5.9855899999999997E-5</v>
      </c>
      <c r="EX36" s="69">
        <v>5.8949000000000001E-5</v>
      </c>
      <c r="EY36" s="69">
        <v>5.8055800000000001E-5</v>
      </c>
      <c r="EZ36" s="69">
        <v>5.7176200000000003E-5</v>
      </c>
      <c r="FA36" s="69">
        <v>5.6309900000000001E-5</v>
      </c>
      <c r="FB36" s="69">
        <v>5.5456800000000001E-5</v>
      </c>
      <c r="FC36" s="69">
        <v>5.4616600000000002E-5</v>
      </c>
      <c r="FD36" s="69">
        <v>5.3789100000000003E-5</v>
      </c>
      <c r="FE36" s="69">
        <v>5.2974099999999998E-5</v>
      </c>
      <c r="FF36" s="69">
        <v>5.21715E-5</v>
      </c>
      <c r="FG36" s="69">
        <v>5.1381000000000002E-5</v>
      </c>
      <c r="FH36" s="69">
        <v>5.0602500000000002E-5</v>
      </c>
      <c r="FI36" s="69">
        <v>4.9835800000000001E-5</v>
      </c>
      <c r="FJ36" s="69">
        <v>4.9080799999999999E-5</v>
      </c>
      <c r="FK36" s="69">
        <v>4.8337100000000002E-5</v>
      </c>
      <c r="FL36" s="69">
        <v>4.7604800000000002E-5</v>
      </c>
      <c r="FM36" s="69">
        <v>4.6883499999999999E-5</v>
      </c>
      <c r="FN36" s="69">
        <v>4.61732E-5</v>
      </c>
      <c r="FO36" s="69">
        <v>4.5473599999999998E-5</v>
      </c>
      <c r="FP36" s="69">
        <v>4.4784599999999998E-5</v>
      </c>
      <c r="FQ36" s="69">
        <v>4.4106100000000001E-5</v>
      </c>
    </row>
    <row r="37" spans="1:173" x14ac:dyDescent="0.25">
      <c r="A37" s="71">
        <v>35</v>
      </c>
      <c r="B37" s="69">
        <v>6.2158380000000004E-4</v>
      </c>
      <c r="C37" s="69">
        <v>6.1272669999999998E-4</v>
      </c>
      <c r="D37" s="69">
        <v>6.0395049999999997E-4</v>
      </c>
      <c r="E37" s="69">
        <v>5.9525840000000001E-4</v>
      </c>
      <c r="F37" s="69">
        <v>5.8665300000000002E-4</v>
      </c>
      <c r="G37" s="69">
        <v>5.7813660000000002E-4</v>
      </c>
      <c r="H37" s="69">
        <v>5.6971129999999997E-4</v>
      </c>
      <c r="I37" s="69">
        <v>5.6137869999999999E-4</v>
      </c>
      <c r="J37" s="69">
        <v>5.5314039999999995E-4</v>
      </c>
      <c r="K37" s="69">
        <v>5.4499759999999996E-4</v>
      </c>
      <c r="L37" s="69">
        <v>5.3695119999999999E-4</v>
      </c>
      <c r="M37" s="69">
        <v>5.2900199999999999E-4</v>
      </c>
      <c r="N37" s="69">
        <v>5.2115060000000005E-4</v>
      </c>
      <c r="O37" s="69">
        <v>5.1339739999999999E-4</v>
      </c>
      <c r="P37" s="69">
        <v>5.0574280000000005E-4</v>
      </c>
      <c r="Q37" s="69">
        <v>4.9818669999999998E-4</v>
      </c>
      <c r="R37" s="69">
        <v>4.9072929999999996E-4</v>
      </c>
      <c r="S37" s="69">
        <v>4.833703E-4</v>
      </c>
      <c r="T37" s="69">
        <v>4.7610950000000001E-4</v>
      </c>
      <c r="U37" s="69">
        <v>4.689467E-4</v>
      </c>
      <c r="V37" s="69">
        <v>4.6188140000000001E-4</v>
      </c>
      <c r="W37" s="69">
        <v>4.5491299999999999E-4</v>
      </c>
      <c r="X37" s="69">
        <v>4.4804110000000002E-4</v>
      </c>
      <c r="Y37" s="69">
        <v>4.4126499999999998E-4</v>
      </c>
      <c r="Z37" s="69">
        <v>4.3458389999999998E-4</v>
      </c>
      <c r="AA37" s="69">
        <v>4.279973E-4</v>
      </c>
      <c r="AB37" s="69">
        <v>4.2150420000000002E-4</v>
      </c>
      <c r="AC37" s="69">
        <v>4.151038E-4</v>
      </c>
      <c r="AD37" s="69">
        <v>4.0879540000000002E-4</v>
      </c>
      <c r="AE37" s="69">
        <v>4.0257789999999997E-4</v>
      </c>
      <c r="AF37" s="69">
        <v>3.9645050000000002E-4</v>
      </c>
      <c r="AG37" s="69">
        <v>3.9041219999999999E-4</v>
      </c>
      <c r="AH37" s="69">
        <v>3.844621E-4</v>
      </c>
      <c r="AI37" s="69">
        <v>3.7859919999999999E-4</v>
      </c>
      <c r="AJ37" s="69">
        <v>3.728224E-4</v>
      </c>
      <c r="AK37" s="69">
        <v>3.6713080000000002E-4</v>
      </c>
      <c r="AL37" s="69">
        <v>3.6152340000000002E-4</v>
      </c>
      <c r="AM37" s="69">
        <v>3.559991E-4</v>
      </c>
      <c r="AN37" s="69">
        <v>3.5055680000000002E-4</v>
      </c>
      <c r="AO37" s="69">
        <v>3.4519569999999999E-4</v>
      </c>
      <c r="AP37" s="69">
        <v>3.3991449999999998E-4</v>
      </c>
      <c r="AQ37" s="69">
        <v>3.347124E-4</v>
      </c>
      <c r="AR37" s="69">
        <v>3.2958819999999998E-4</v>
      </c>
      <c r="AS37" s="69">
        <v>3.2454089999999999E-4</v>
      </c>
      <c r="AT37" s="69">
        <v>3.1956950000000002E-4</v>
      </c>
      <c r="AU37" s="69">
        <v>3.1467300000000001E-4</v>
      </c>
      <c r="AV37" s="69">
        <v>3.0985019999999998E-4</v>
      </c>
      <c r="AW37" s="69">
        <v>3.0510029999999998E-4</v>
      </c>
      <c r="AX37" s="69">
        <v>3.0042220000000002E-4</v>
      </c>
      <c r="AY37" s="69">
        <v>2.9581490000000002E-4</v>
      </c>
      <c r="AZ37" s="69">
        <v>2.9127729999999999E-4</v>
      </c>
      <c r="BA37" s="69">
        <v>2.8680859999999998E-4</v>
      </c>
      <c r="BB37" s="69">
        <v>2.824077E-4</v>
      </c>
      <c r="BC37" s="69">
        <v>2.7807370000000001E-4</v>
      </c>
      <c r="BD37" s="69">
        <v>2.738056E-4</v>
      </c>
      <c r="BE37" s="69">
        <v>2.696024E-4</v>
      </c>
      <c r="BF37" s="69">
        <v>2.6546319999999998E-4</v>
      </c>
      <c r="BG37" s="69">
        <v>2.6138700000000002E-4</v>
      </c>
      <c r="BH37" s="69">
        <v>2.5737299999999998E-4</v>
      </c>
      <c r="BI37" s="69">
        <v>2.5342030000000002E-4</v>
      </c>
      <c r="BJ37" s="69">
        <v>2.4952779999999999E-4</v>
      </c>
      <c r="BK37" s="69">
        <v>2.4569480000000002E-4</v>
      </c>
      <c r="BL37" s="69">
        <v>2.4192039999999999E-4</v>
      </c>
      <c r="BM37" s="69">
        <v>2.382036E-4</v>
      </c>
      <c r="BN37" s="69">
        <v>2.345437E-4</v>
      </c>
      <c r="BO37" s="69">
        <v>2.3093969999999999E-4</v>
      </c>
      <c r="BP37" s="69">
        <v>2.2739090000000001E-4</v>
      </c>
      <c r="BQ37" s="69">
        <v>2.2389649999999999E-4</v>
      </c>
      <c r="BR37" s="69">
        <v>2.204555E-4</v>
      </c>
      <c r="BS37" s="69">
        <v>2.170672E-4</v>
      </c>
      <c r="BT37" s="69">
        <v>2.1373090000000001E-4</v>
      </c>
      <c r="BU37" s="69">
        <v>2.1044560000000001E-4</v>
      </c>
      <c r="BV37" s="69">
        <v>2.0721070000000001E-4</v>
      </c>
      <c r="BW37" s="69">
        <v>2.0402549999999999E-4</v>
      </c>
      <c r="BX37" s="69">
        <v>2.0088899999999999E-4</v>
      </c>
      <c r="BY37" s="69">
        <v>1.9780070000000001E-4</v>
      </c>
      <c r="BZ37" s="69">
        <v>1.9475969999999999E-4</v>
      </c>
      <c r="CA37" s="69">
        <v>1.9176539999999999E-4</v>
      </c>
      <c r="CB37" s="69">
        <v>1.8881700000000001E-4</v>
      </c>
      <c r="CC37" s="69">
        <v>1.8591389999999999E-4</v>
      </c>
      <c r="CD37" s="69">
        <v>1.830554E-4</v>
      </c>
      <c r="CE37" s="69">
        <v>1.8024069999999999E-4</v>
      </c>
      <c r="CF37" s="69">
        <v>1.774693E-4</v>
      </c>
      <c r="CG37" s="69">
        <v>1.747404E-4</v>
      </c>
      <c r="CH37" s="69">
        <v>1.720534E-4</v>
      </c>
      <c r="CI37" s="69">
        <v>1.6940769999999999E-4</v>
      </c>
      <c r="CJ37" s="69">
        <v>1.6680260000000001E-4</v>
      </c>
      <c r="CK37" s="69">
        <v>1.642375E-4</v>
      </c>
      <c r="CL37" s="69">
        <v>1.6171180000000001E-4</v>
      </c>
      <c r="CM37" s="69">
        <v>1.5922500000000001E-4</v>
      </c>
      <c r="CN37" s="69">
        <v>1.5677630000000001E-4</v>
      </c>
      <c r="CO37" s="69">
        <v>1.543653E-4</v>
      </c>
      <c r="CP37" s="69">
        <v>1.519914E-4</v>
      </c>
      <c r="CQ37" s="69">
        <v>1.4965390000000001E-4</v>
      </c>
      <c r="CR37" s="69">
        <v>1.473523E-4</v>
      </c>
      <c r="CS37" s="69">
        <v>1.4508610000000001E-4</v>
      </c>
      <c r="CT37" s="69">
        <v>1.4285470000000001E-4</v>
      </c>
      <c r="CU37" s="69">
        <v>1.406577E-4</v>
      </c>
      <c r="CV37" s="69">
        <v>1.3849439999999999E-4</v>
      </c>
      <c r="CW37" s="69">
        <v>1.3636440000000001E-4</v>
      </c>
      <c r="CX37" s="69">
        <v>1.3426709999999999E-4</v>
      </c>
      <c r="CY37" s="69">
        <v>1.3220199999999999E-4</v>
      </c>
      <c r="CZ37" s="69">
        <v>1.301687E-4</v>
      </c>
      <c r="DA37" s="69">
        <v>1.281667E-4</v>
      </c>
      <c r="DB37" s="69">
        <v>1.2619540000000001E-4</v>
      </c>
      <c r="DC37" s="69">
        <v>1.242545E-4</v>
      </c>
      <c r="DD37" s="69">
        <v>1.2234339999999999E-4</v>
      </c>
      <c r="DE37" s="69">
        <v>1.204616E-4</v>
      </c>
      <c r="DF37" s="69">
        <v>1.186088E-4</v>
      </c>
      <c r="DG37" s="69">
        <v>1.1678450000000001E-4</v>
      </c>
      <c r="DH37" s="69">
        <v>1.149883E-4</v>
      </c>
      <c r="DI37" s="69">
        <v>1.132197E-4</v>
      </c>
      <c r="DJ37" s="69">
        <v>1.1147820000000001E-4</v>
      </c>
      <c r="DK37" s="69">
        <v>1.097636E-4</v>
      </c>
      <c r="DL37" s="69">
        <v>1.0807530000000001E-4</v>
      </c>
      <c r="DM37" s="69">
        <v>1.06413E-4</v>
      </c>
      <c r="DN37" s="69">
        <v>1.047762E-4</v>
      </c>
      <c r="DO37" s="69">
        <v>1.031646E-4</v>
      </c>
      <c r="DP37" s="69">
        <v>1.015778E-4</v>
      </c>
      <c r="DQ37" s="69">
        <v>1.000154E-4</v>
      </c>
      <c r="DR37" s="69">
        <v>9.8476999999999999E-5</v>
      </c>
      <c r="DS37" s="69">
        <v>9.6962300000000005E-5</v>
      </c>
      <c r="DT37" s="69">
        <v>9.5470900000000001E-5</v>
      </c>
      <c r="DU37" s="69">
        <v>9.40024E-5</v>
      </c>
      <c r="DV37" s="69">
        <v>9.2556499999999994E-5</v>
      </c>
      <c r="DW37" s="69">
        <v>9.1132799999999996E-5</v>
      </c>
      <c r="DX37" s="69">
        <v>8.9731100000000006E-5</v>
      </c>
      <c r="DY37" s="69">
        <v>8.8350900000000001E-5</v>
      </c>
      <c r="DZ37" s="69">
        <v>8.6991900000000003E-5</v>
      </c>
      <c r="EA37" s="69">
        <v>8.5653800000000003E-5</v>
      </c>
      <c r="EB37" s="69">
        <v>8.4336299999999994E-5</v>
      </c>
      <c r="EC37" s="69">
        <v>8.3039099999999996E-5</v>
      </c>
      <c r="ED37" s="69">
        <v>8.1761799999999994E-5</v>
      </c>
      <c r="EE37" s="69">
        <v>8.0504200000000001E-5</v>
      </c>
      <c r="EF37" s="69">
        <v>7.9265900000000003E-5</v>
      </c>
      <c r="EG37" s="69">
        <v>7.8046600000000006E-5</v>
      </c>
      <c r="EH37" s="69">
        <v>7.6846099999999996E-5</v>
      </c>
      <c r="EI37" s="69">
        <v>7.5664100000000006E-5</v>
      </c>
      <c r="EJ37" s="69">
        <v>7.4500199999999995E-5</v>
      </c>
      <c r="EK37" s="69">
        <v>7.3354299999999997E-5</v>
      </c>
      <c r="EL37" s="69">
        <v>7.2225999999999996E-5</v>
      </c>
      <c r="EM37" s="69">
        <v>7.1114999999999999E-5</v>
      </c>
      <c r="EN37" s="69">
        <v>7.0021100000000006E-5</v>
      </c>
      <c r="EO37" s="69">
        <v>6.8944100000000003E-5</v>
      </c>
      <c r="EP37" s="69">
        <v>6.7883600000000002E-5</v>
      </c>
      <c r="EQ37" s="69">
        <v>6.6839400000000002E-5</v>
      </c>
      <c r="ER37" s="69">
        <v>6.5811300000000005E-5</v>
      </c>
      <c r="ES37" s="69">
        <v>6.4799000000000001E-5</v>
      </c>
      <c r="ET37" s="69">
        <v>6.3802199999999997E-5</v>
      </c>
      <c r="EU37" s="69">
        <v>6.28208E-5</v>
      </c>
      <c r="EV37" s="69">
        <v>6.1854500000000002E-5</v>
      </c>
      <c r="EW37" s="69">
        <v>6.0903100000000003E-5</v>
      </c>
      <c r="EX37" s="69">
        <v>5.9966300000000002E-5</v>
      </c>
      <c r="EY37" s="69">
        <v>5.9043899999999999E-5</v>
      </c>
      <c r="EZ37" s="69">
        <v>5.81357E-5</v>
      </c>
      <c r="FA37" s="69">
        <v>5.7241399999999997E-5</v>
      </c>
      <c r="FB37" s="69">
        <v>5.6360899999999998E-5</v>
      </c>
      <c r="FC37" s="69">
        <v>5.5494000000000001E-5</v>
      </c>
      <c r="FD37" s="69">
        <v>5.46404E-5</v>
      </c>
      <c r="FE37" s="69">
        <v>5.37999E-5</v>
      </c>
      <c r="FF37" s="69">
        <v>5.2972300000000001E-5</v>
      </c>
      <c r="FG37" s="69">
        <v>5.2157500000000003E-5</v>
      </c>
      <c r="FH37" s="69">
        <v>5.1355199999999999E-5</v>
      </c>
      <c r="FI37" s="69">
        <v>5.0565300000000002E-5</v>
      </c>
      <c r="FJ37" s="69">
        <v>4.9787499999999997E-5</v>
      </c>
      <c r="FK37" s="69">
        <v>4.9021599999999998E-5</v>
      </c>
      <c r="FL37" s="69">
        <v>4.8267599999999998E-5</v>
      </c>
      <c r="FM37" s="69">
        <v>4.7525099999999997E-5</v>
      </c>
      <c r="FN37" s="69">
        <v>4.67941E-5</v>
      </c>
      <c r="FO37" s="69">
        <v>4.60743E-5</v>
      </c>
      <c r="FP37" s="69">
        <v>4.5365599999999998E-5</v>
      </c>
      <c r="FQ37" s="69">
        <v>4.4667699999999999E-5</v>
      </c>
    </row>
    <row r="38" spans="1:173" x14ac:dyDescent="0.25">
      <c r="A38" s="71">
        <v>36</v>
      </c>
      <c r="B38" s="69">
        <v>6.5084029999999996E-4</v>
      </c>
      <c r="C38" s="69">
        <v>6.4053799999999996E-4</v>
      </c>
      <c r="D38" s="69">
        <v>6.3040730000000003E-4</v>
      </c>
      <c r="E38" s="69">
        <v>6.2044460000000004E-4</v>
      </c>
      <c r="F38" s="69">
        <v>6.1064639999999998E-4</v>
      </c>
      <c r="G38" s="69">
        <v>6.0100949999999996E-4</v>
      </c>
      <c r="H38" s="69">
        <v>5.915308E-4</v>
      </c>
      <c r="I38" s="69">
        <v>5.8220709999999998E-4</v>
      </c>
      <c r="J38" s="69">
        <v>5.7303539999999998E-4</v>
      </c>
      <c r="K38" s="69">
        <v>5.640129E-4</v>
      </c>
      <c r="L38" s="69">
        <v>5.5513679999999997E-4</v>
      </c>
      <c r="M38" s="69">
        <v>5.4640440000000004E-4</v>
      </c>
      <c r="N38" s="69">
        <v>5.3781290000000002E-4</v>
      </c>
      <c r="O38" s="69">
        <v>5.2935989999999995E-4</v>
      </c>
      <c r="P38" s="69">
        <v>5.2104289999999997E-4</v>
      </c>
      <c r="Q38" s="69">
        <v>5.1285930000000005E-4</v>
      </c>
      <c r="R38" s="69">
        <v>5.0480689999999999E-4</v>
      </c>
      <c r="S38" s="69">
        <v>4.9688330000000004E-4</v>
      </c>
      <c r="T38" s="69">
        <v>4.8908630000000001E-4</v>
      </c>
      <c r="U38" s="69">
        <v>4.8141360000000002E-4</v>
      </c>
      <c r="V38" s="69">
        <v>4.738632E-4</v>
      </c>
      <c r="W38" s="69">
        <v>4.664329E-4</v>
      </c>
      <c r="X38" s="69">
        <v>4.5912079999999998E-4</v>
      </c>
      <c r="Y38" s="69">
        <v>4.5192460000000002E-4</v>
      </c>
      <c r="Z38" s="69">
        <v>4.4484260000000002E-4</v>
      </c>
      <c r="AA38" s="69">
        <v>4.3787280000000001E-4</v>
      </c>
      <c r="AB38" s="69">
        <v>4.3101339999999998E-4</v>
      </c>
      <c r="AC38" s="69">
        <v>4.2426239999999999E-4</v>
      </c>
      <c r="AD38" s="69">
        <v>4.1761810000000001E-4</v>
      </c>
      <c r="AE38" s="69">
        <v>4.1107870000000002E-4</v>
      </c>
      <c r="AF38" s="69">
        <v>4.0464249999999999E-4</v>
      </c>
      <c r="AG38" s="69">
        <v>3.9830790000000002E-4</v>
      </c>
      <c r="AH38" s="69">
        <v>3.9207309999999998E-4</v>
      </c>
      <c r="AI38" s="69">
        <v>3.8593649999999998E-4</v>
      </c>
      <c r="AJ38" s="69">
        <v>3.7989650000000002E-4</v>
      </c>
      <c r="AK38" s="69">
        <v>3.7395149999999998E-4</v>
      </c>
      <c r="AL38" s="69">
        <v>3.6810009999999998E-4</v>
      </c>
      <c r="AM38" s="69">
        <v>3.6234070000000003E-4</v>
      </c>
      <c r="AN38" s="69">
        <v>3.5667179999999998E-4</v>
      </c>
      <c r="AO38" s="69">
        <v>3.5109200000000001E-4</v>
      </c>
      <c r="AP38" s="69">
        <v>3.4559979999999998E-4</v>
      </c>
      <c r="AQ38" s="69">
        <v>3.4019379999999998E-4</v>
      </c>
      <c r="AR38" s="69">
        <v>3.3487270000000002E-4</v>
      </c>
      <c r="AS38" s="69">
        <v>3.29635E-4</v>
      </c>
      <c r="AT38" s="69">
        <v>3.2447960000000001E-4</v>
      </c>
      <c r="AU38" s="69">
        <v>3.1940499999999998E-4</v>
      </c>
      <c r="AV38" s="69">
        <v>3.1440990000000001E-4</v>
      </c>
      <c r="AW38" s="69">
        <v>3.094932E-4</v>
      </c>
      <c r="AX38" s="69">
        <v>3.0465350000000001E-4</v>
      </c>
      <c r="AY38" s="69">
        <v>2.9988969999999998E-4</v>
      </c>
      <c r="AZ38" s="69">
        <v>2.9520039999999999E-4</v>
      </c>
      <c r="BA38" s="69">
        <v>2.905847E-4</v>
      </c>
      <c r="BB38" s="69">
        <v>2.8604120000000002E-4</v>
      </c>
      <c r="BC38" s="69">
        <v>2.8156889999999998E-4</v>
      </c>
      <c r="BD38" s="69">
        <v>2.7716660000000001E-4</v>
      </c>
      <c r="BE38" s="69">
        <v>2.7283329999999999E-4</v>
      </c>
      <c r="BF38" s="69">
        <v>2.6856779999999999E-4</v>
      </c>
      <c r="BG38" s="69">
        <v>2.6436899999999998E-4</v>
      </c>
      <c r="BH38" s="69">
        <v>2.6023590000000003E-4</v>
      </c>
      <c r="BI38" s="69">
        <v>2.561676E-4</v>
      </c>
      <c r="BJ38" s="69">
        <v>2.5216289999999998E-4</v>
      </c>
      <c r="BK38" s="69">
        <v>2.4822080000000001E-4</v>
      </c>
      <c r="BL38" s="69">
        <v>2.4434050000000002E-4</v>
      </c>
      <c r="BM38" s="69">
        <v>2.4052080000000001E-4</v>
      </c>
      <c r="BN38" s="69">
        <v>2.3676090000000001E-4</v>
      </c>
      <c r="BO38" s="69">
        <v>2.3305980000000001E-4</v>
      </c>
      <c r="BP38" s="69">
        <v>2.2941659999999999E-4</v>
      </c>
      <c r="BQ38" s="69">
        <v>2.258304E-4</v>
      </c>
      <c r="BR38" s="69">
        <v>2.223002E-4</v>
      </c>
      <c r="BS38" s="69">
        <v>2.1882529999999999E-4</v>
      </c>
      <c r="BT38" s="69">
        <v>2.1540470000000001E-4</v>
      </c>
      <c r="BU38" s="69">
        <v>2.120376E-4</v>
      </c>
      <c r="BV38" s="69">
        <v>2.087232E-4</v>
      </c>
      <c r="BW38" s="69">
        <v>2.0546059999999999E-4</v>
      </c>
      <c r="BX38" s="69">
        <v>2.0224899999999999E-4</v>
      </c>
      <c r="BY38" s="69">
        <v>1.9908759999999999E-4</v>
      </c>
      <c r="BZ38" s="69">
        <v>1.9597559999999999E-4</v>
      </c>
      <c r="CA38" s="69">
        <v>1.9291229999999999E-4</v>
      </c>
      <c r="CB38" s="69">
        <v>1.8989690000000001E-4</v>
      </c>
      <c r="CC38" s="69">
        <v>1.8692860000000001E-4</v>
      </c>
      <c r="CD38" s="69">
        <v>1.8400679999999999E-4</v>
      </c>
      <c r="CE38" s="69">
        <v>1.8113060000000001E-4</v>
      </c>
      <c r="CF38" s="69">
        <v>1.7829940000000001E-4</v>
      </c>
      <c r="CG38" s="69">
        <v>1.7551240000000001E-4</v>
      </c>
      <c r="CH38" s="69">
        <v>1.72769E-4</v>
      </c>
      <c r="CI38" s="69">
        <v>1.7006850000000001E-4</v>
      </c>
      <c r="CJ38" s="69">
        <v>1.6741020000000001E-4</v>
      </c>
      <c r="CK38" s="69">
        <v>1.647935E-4</v>
      </c>
      <c r="CL38" s="69">
        <v>1.622177E-4</v>
      </c>
      <c r="CM38" s="69">
        <v>1.596821E-4</v>
      </c>
      <c r="CN38" s="69">
        <v>1.5718620000000001E-4</v>
      </c>
      <c r="CO38" s="69">
        <v>1.5472930000000001E-4</v>
      </c>
      <c r="CP38" s="69">
        <v>1.5231080000000001E-4</v>
      </c>
      <c r="CQ38" s="69">
        <v>1.4993E-4</v>
      </c>
      <c r="CR38" s="69">
        <v>1.4758659999999999E-4</v>
      </c>
      <c r="CS38" s="69">
        <v>1.452797E-4</v>
      </c>
      <c r="CT38" s="69">
        <v>1.4300890000000001E-4</v>
      </c>
      <c r="CU38" s="69">
        <v>1.407736E-4</v>
      </c>
      <c r="CV38" s="69">
        <v>1.385732E-4</v>
      </c>
      <c r="CW38" s="69">
        <v>1.364072E-4</v>
      </c>
      <c r="CX38" s="69">
        <v>1.342751E-4</v>
      </c>
      <c r="CY38" s="69">
        <v>1.3217630000000001E-4</v>
      </c>
      <c r="CZ38" s="69">
        <v>1.3011030000000001E-4</v>
      </c>
      <c r="DA38" s="69">
        <v>1.2807660000000001E-4</v>
      </c>
      <c r="DB38" s="69">
        <v>1.2607469999999999E-4</v>
      </c>
      <c r="DC38" s="69">
        <v>1.241041E-4</v>
      </c>
      <c r="DD38" s="69">
        <v>1.2216430000000001E-4</v>
      </c>
      <c r="DE38" s="69">
        <v>1.2025480000000001E-4</v>
      </c>
      <c r="DF38" s="69">
        <v>1.183751E-4</v>
      </c>
      <c r="DG38" s="69">
        <v>1.1652490000000001E-4</v>
      </c>
      <c r="DH38" s="69">
        <v>1.147035E-4</v>
      </c>
      <c r="DI38" s="69">
        <v>1.129106E-4</v>
      </c>
      <c r="DJ38" s="69">
        <v>1.111458E-4</v>
      </c>
      <c r="DK38" s="69">
        <v>1.094085E-4</v>
      </c>
      <c r="DL38" s="69">
        <v>1.076984E-4</v>
      </c>
      <c r="DM38" s="69">
        <v>1.0601499999999999E-4</v>
      </c>
      <c r="DN38" s="69">
        <v>1.043579E-4</v>
      </c>
      <c r="DO38" s="69">
        <v>1.027267E-4</v>
      </c>
      <c r="DP38" s="69">
        <v>1.01121E-4</v>
      </c>
      <c r="DQ38" s="69">
        <v>9.9540499999999993E-5</v>
      </c>
      <c r="DR38" s="69">
        <v>9.7984600000000004E-5</v>
      </c>
      <c r="DS38" s="69">
        <v>9.6453000000000006E-5</v>
      </c>
      <c r="DT38" s="69">
        <v>9.4945399999999994E-5</v>
      </c>
      <c r="DU38" s="69">
        <v>9.3461299999999999E-5</v>
      </c>
      <c r="DV38" s="69">
        <v>9.2000499999999994E-5</v>
      </c>
      <c r="DW38" s="69">
        <v>9.0562400000000006E-5</v>
      </c>
      <c r="DX38" s="69">
        <v>8.9146899999999999E-5</v>
      </c>
      <c r="DY38" s="69">
        <v>8.7753500000000006E-5</v>
      </c>
      <c r="DZ38" s="69">
        <v>8.63818E-5</v>
      </c>
      <c r="EA38" s="69">
        <v>8.5031599999999994E-5</v>
      </c>
      <c r="EB38" s="69">
        <v>8.37025E-5</v>
      </c>
      <c r="EC38" s="69">
        <v>8.2394199999999998E-5</v>
      </c>
      <c r="ED38" s="69">
        <v>8.11063E-5</v>
      </c>
      <c r="EE38" s="69">
        <v>7.9838499999999998E-5</v>
      </c>
      <c r="EF38" s="69">
        <v>7.8590600000000006E-5</v>
      </c>
      <c r="EG38" s="69">
        <v>7.7362199999999996E-5</v>
      </c>
      <c r="EH38" s="69">
        <v>7.6152899999999994E-5</v>
      </c>
      <c r="EI38" s="69">
        <v>7.4962600000000006E-5</v>
      </c>
      <c r="EJ38" s="69">
        <v>7.3790900000000005E-5</v>
      </c>
      <c r="EK38" s="69">
        <v>7.2637499999999997E-5</v>
      </c>
      <c r="EL38" s="69">
        <v>7.1502100000000001E-5</v>
      </c>
      <c r="EM38" s="69">
        <v>7.0384399999999996E-5</v>
      </c>
      <c r="EN38" s="69">
        <v>6.9284300000000003E-5</v>
      </c>
      <c r="EO38" s="69">
        <v>6.82013E-5</v>
      </c>
      <c r="EP38" s="69">
        <v>6.7135299999999994E-5</v>
      </c>
      <c r="EQ38" s="69">
        <v>6.6085899999999997E-5</v>
      </c>
      <c r="ER38" s="69">
        <v>6.5052899999999995E-5</v>
      </c>
      <c r="ES38" s="69">
        <v>6.4036100000000002E-5</v>
      </c>
      <c r="ET38" s="69">
        <v>6.3035100000000002E-5</v>
      </c>
      <c r="EU38" s="69">
        <v>6.2049800000000003E-5</v>
      </c>
      <c r="EV38" s="69">
        <v>6.1079899999999998E-5</v>
      </c>
      <c r="EW38" s="69">
        <v>6.0125199999999998E-5</v>
      </c>
      <c r="EX38" s="69">
        <v>5.9185399999999997E-5</v>
      </c>
      <c r="EY38" s="69">
        <v>5.8260300000000002E-5</v>
      </c>
      <c r="EZ38" s="69">
        <v>5.7349599999999997E-5</v>
      </c>
      <c r="FA38" s="69">
        <v>5.6453199999999997E-5</v>
      </c>
      <c r="FB38" s="69">
        <v>5.55708E-5</v>
      </c>
      <c r="FC38" s="69">
        <v>5.4702199999999999E-5</v>
      </c>
      <c r="FD38" s="69">
        <v>5.3847100000000002E-5</v>
      </c>
      <c r="FE38" s="69">
        <v>5.3005399999999999E-5</v>
      </c>
      <c r="FF38" s="69">
        <v>5.2176899999999998E-5</v>
      </c>
      <c r="FG38" s="69">
        <v>5.1361299999999999E-5</v>
      </c>
      <c r="FH38" s="69">
        <v>5.0558500000000001E-5</v>
      </c>
      <c r="FI38" s="69">
        <v>4.9768200000000002E-5</v>
      </c>
      <c r="FJ38" s="69">
        <v>4.8990299999999997E-5</v>
      </c>
      <c r="FK38" s="69">
        <v>4.8224499999999999E-5</v>
      </c>
      <c r="FL38" s="69">
        <v>4.7470699999999999E-5</v>
      </c>
      <c r="FM38" s="69">
        <v>4.6728699999999999E-5</v>
      </c>
      <c r="FN38" s="69">
        <v>4.5998300000000003E-5</v>
      </c>
      <c r="FO38" s="69">
        <v>4.5279299999999999E-5</v>
      </c>
      <c r="FP38" s="69">
        <v>4.4571499999999998E-5</v>
      </c>
      <c r="FQ38" s="69">
        <v>4.3874800000000002E-5</v>
      </c>
    </row>
    <row r="39" spans="1:173" x14ac:dyDescent="0.25">
      <c r="A39" s="71">
        <v>37</v>
      </c>
      <c r="B39" s="69">
        <v>6.8997419999999995E-4</v>
      </c>
      <c r="C39" s="69">
        <v>6.8059220000000001E-4</v>
      </c>
      <c r="D39" s="69">
        <v>6.7122320000000005E-4</v>
      </c>
      <c r="E39" s="69">
        <v>6.6187769999999997E-4</v>
      </c>
      <c r="F39" s="69">
        <v>6.5256500000000002E-4</v>
      </c>
      <c r="G39" s="69">
        <v>6.4329380000000002E-4</v>
      </c>
      <c r="H39" s="69">
        <v>6.3407169999999996E-4</v>
      </c>
      <c r="I39" s="69">
        <v>6.2490579999999998E-4</v>
      </c>
      <c r="J39" s="69">
        <v>6.1580230000000003E-4</v>
      </c>
      <c r="K39" s="69">
        <v>6.0676689999999999E-4</v>
      </c>
      <c r="L39" s="69">
        <v>5.9780460000000005E-4</v>
      </c>
      <c r="M39" s="69">
        <v>5.8892000000000005E-4</v>
      </c>
      <c r="N39" s="69">
        <v>5.8011710000000004E-4</v>
      </c>
      <c r="O39" s="69">
        <v>5.7139940000000002E-4</v>
      </c>
      <c r="P39" s="69">
        <v>5.6276999999999998E-4</v>
      </c>
      <c r="Q39" s="69">
        <v>5.5423159999999996E-4</v>
      </c>
      <c r="R39" s="69">
        <v>5.4578649999999999E-4</v>
      </c>
      <c r="S39" s="69">
        <v>5.3743689999999995E-4</v>
      </c>
      <c r="T39" s="69">
        <v>5.2918430000000003E-4</v>
      </c>
      <c r="U39" s="69">
        <v>5.2103030000000001E-4</v>
      </c>
      <c r="V39" s="69">
        <v>5.1297590000000002E-4</v>
      </c>
      <c r="W39" s="69">
        <v>5.0502209999999997E-4</v>
      </c>
      <c r="X39" s="69">
        <v>4.9716970000000002E-4</v>
      </c>
      <c r="Y39" s="69">
        <v>4.8941920000000001E-4</v>
      </c>
      <c r="Z39" s="69">
        <v>4.8177080000000002E-4</v>
      </c>
      <c r="AA39" s="69">
        <v>4.7422490000000001E-4</v>
      </c>
      <c r="AB39" s="69">
        <v>4.6678140000000002E-4</v>
      </c>
      <c r="AC39" s="69">
        <v>4.5944019999999999E-4</v>
      </c>
      <c r="AD39" s="69">
        <v>4.5220109999999998E-4</v>
      </c>
      <c r="AE39" s="69">
        <v>4.4506379999999999E-4</v>
      </c>
      <c r="AF39" s="69">
        <v>4.3802789999999999E-4</v>
      </c>
      <c r="AG39" s="69">
        <v>4.3109289999999998E-4</v>
      </c>
      <c r="AH39" s="69">
        <v>4.24258E-4</v>
      </c>
      <c r="AI39" s="69">
        <v>4.1752279999999998E-4</v>
      </c>
      <c r="AJ39" s="69">
        <v>4.108863E-4</v>
      </c>
      <c r="AK39" s="69">
        <v>4.0434800000000001E-4</v>
      </c>
      <c r="AL39" s="69">
        <v>3.9790680000000001E-4</v>
      </c>
      <c r="AM39" s="69">
        <v>3.915619E-4</v>
      </c>
      <c r="AN39" s="69">
        <v>3.8531239999999999E-4</v>
      </c>
      <c r="AO39" s="69">
        <v>3.7915730000000002E-4</v>
      </c>
      <c r="AP39" s="69">
        <v>3.7309570000000001E-4</v>
      </c>
      <c r="AQ39" s="69">
        <v>3.6712639999999998E-4</v>
      </c>
      <c r="AR39" s="69">
        <v>3.612485E-4</v>
      </c>
      <c r="AS39" s="69">
        <v>3.5546090000000002E-4</v>
      </c>
      <c r="AT39" s="69">
        <v>3.497625E-4</v>
      </c>
      <c r="AU39" s="69">
        <v>3.4415230000000002E-4</v>
      </c>
      <c r="AV39" s="69">
        <v>3.3862900000000001E-4</v>
      </c>
      <c r="AW39" s="69">
        <v>3.3319170000000001E-4</v>
      </c>
      <c r="AX39" s="69">
        <v>3.278391E-4</v>
      </c>
      <c r="AY39" s="69">
        <v>3.2257020000000001E-4</v>
      </c>
      <c r="AZ39" s="69">
        <v>3.173839E-4</v>
      </c>
      <c r="BA39" s="69">
        <v>3.12279E-4</v>
      </c>
      <c r="BB39" s="69">
        <v>3.072544E-4</v>
      </c>
      <c r="BC39" s="69">
        <v>3.0230900000000001E-4</v>
      </c>
      <c r="BD39" s="69">
        <v>2.9744169999999998E-4</v>
      </c>
      <c r="BE39" s="69">
        <v>2.9265129999999999E-4</v>
      </c>
      <c r="BF39" s="69">
        <v>2.8793679999999998E-4</v>
      </c>
      <c r="BG39" s="69">
        <v>2.8329709999999999E-4</v>
      </c>
      <c r="BH39" s="69">
        <v>2.78731E-4</v>
      </c>
      <c r="BI39" s="69">
        <v>2.7423760000000003E-4</v>
      </c>
      <c r="BJ39" s="69">
        <v>2.6981560000000001E-4</v>
      </c>
      <c r="BK39" s="69">
        <v>2.6546410000000001E-4</v>
      </c>
      <c r="BL39" s="69">
        <v>2.6118199999999999E-4</v>
      </c>
      <c r="BM39" s="69">
        <v>2.5696820000000001E-4</v>
      </c>
      <c r="BN39" s="69">
        <v>2.5282180000000003E-4</v>
      </c>
      <c r="BO39" s="69">
        <v>2.4874160000000001E-4</v>
      </c>
      <c r="BP39" s="69">
        <v>2.4472680000000002E-4</v>
      </c>
      <c r="BQ39" s="69">
        <v>2.4077619999999999E-4</v>
      </c>
      <c r="BR39" s="69">
        <v>2.3688889999999999E-4</v>
      </c>
      <c r="BS39" s="69">
        <v>2.33064E-4</v>
      </c>
      <c r="BT39" s="69">
        <v>2.2930039999999999E-4</v>
      </c>
      <c r="BU39" s="69">
        <v>2.255972E-4</v>
      </c>
      <c r="BV39" s="69">
        <v>2.219535E-4</v>
      </c>
      <c r="BW39" s="69">
        <v>2.183683E-4</v>
      </c>
      <c r="BX39" s="69">
        <v>2.1484069999999999E-4</v>
      </c>
      <c r="BY39" s="69">
        <v>2.113699E-4</v>
      </c>
      <c r="BZ39" s="69">
        <v>2.079549E-4</v>
      </c>
      <c r="CA39" s="69">
        <v>2.045948E-4</v>
      </c>
      <c r="CB39" s="69">
        <v>2.0128879999999999E-4</v>
      </c>
      <c r="CC39" s="69">
        <v>1.9803600000000001E-4</v>
      </c>
      <c r="CD39" s="69">
        <v>1.948357E-4</v>
      </c>
      <c r="CE39" s="69">
        <v>1.916869E-4</v>
      </c>
      <c r="CF39" s="69">
        <v>1.8858880000000001E-4</v>
      </c>
      <c r="CG39" s="69">
        <v>1.8554070000000001E-4</v>
      </c>
      <c r="CH39" s="69">
        <v>1.8254170000000001E-4</v>
      </c>
      <c r="CI39" s="69">
        <v>1.79591E-4</v>
      </c>
      <c r="CJ39" s="69">
        <v>1.7668800000000001E-4</v>
      </c>
      <c r="CK39" s="69">
        <v>1.7383169999999999E-4</v>
      </c>
      <c r="CL39" s="69">
        <v>1.710216E-4</v>
      </c>
      <c r="CM39" s="69">
        <v>1.6825680000000001E-4</v>
      </c>
      <c r="CN39" s="69">
        <v>1.655366E-4</v>
      </c>
      <c r="CO39" s="69">
        <v>1.6286029999999999E-4</v>
      </c>
      <c r="CP39" s="69">
        <v>1.602273E-4</v>
      </c>
      <c r="CQ39" s="69">
        <v>1.576367E-4</v>
      </c>
      <c r="CR39" s="69">
        <v>1.55088E-4</v>
      </c>
      <c r="CS39" s="69">
        <v>1.5258040000000001E-4</v>
      </c>
      <c r="CT39" s="69">
        <v>1.501133E-4</v>
      </c>
      <c r="CU39" s="69">
        <v>1.4768609999999999E-4</v>
      </c>
      <c r="CV39" s="69">
        <v>1.45298E-4</v>
      </c>
      <c r="CW39" s="69">
        <v>1.4294859999999999E-4</v>
      </c>
      <c r="CX39" s="69">
        <v>1.406371E-4</v>
      </c>
      <c r="CY39" s="69">
        <v>1.3836290000000001E-4</v>
      </c>
      <c r="CZ39" s="69">
        <v>1.361255E-4</v>
      </c>
      <c r="DA39" s="69">
        <v>1.3392429999999999E-4</v>
      </c>
      <c r="DB39" s="69">
        <v>1.3175860000000001E-4</v>
      </c>
      <c r="DC39" s="69">
        <v>1.2962790000000001E-4</v>
      </c>
      <c r="DD39" s="69">
        <v>1.275317E-4</v>
      </c>
      <c r="DE39" s="69">
        <v>1.2546930000000001E-4</v>
      </c>
      <c r="DF39" s="69">
        <v>1.2344020000000001E-4</v>
      </c>
      <c r="DG39" s="69">
        <v>1.21444E-4</v>
      </c>
      <c r="DH39" s="69">
        <v>1.1948E-4</v>
      </c>
      <c r="DI39" s="69">
        <v>1.1754780000000001E-4</v>
      </c>
      <c r="DJ39" s="69">
        <v>1.156468E-4</v>
      </c>
      <c r="DK39" s="69">
        <v>1.137765E-4</v>
      </c>
      <c r="DL39" s="69">
        <v>1.119365E-4</v>
      </c>
      <c r="DM39" s="69">
        <v>1.101262E-4</v>
      </c>
      <c r="DN39" s="69">
        <v>1.0834519999999999E-4</v>
      </c>
      <c r="DO39" s="69">
        <v>1.06593E-4</v>
      </c>
      <c r="DP39" s="69">
        <v>1.048691E-4</v>
      </c>
      <c r="DQ39" s="69">
        <v>1.031731E-4</v>
      </c>
      <c r="DR39" s="69">
        <v>1.015045E-4</v>
      </c>
      <c r="DS39" s="69">
        <v>9.9862800000000002E-5</v>
      </c>
      <c r="DT39" s="69">
        <v>9.8247799999999998E-5</v>
      </c>
      <c r="DU39" s="69">
        <v>9.6658799999999997E-5</v>
      </c>
      <c r="DV39" s="69">
        <v>9.5095500000000005E-5</v>
      </c>
      <c r="DW39" s="69">
        <v>9.3557500000000007E-5</v>
      </c>
      <c r="DX39" s="69">
        <v>9.2044400000000003E-5</v>
      </c>
      <c r="DY39" s="69">
        <v>9.0555800000000005E-5</v>
      </c>
      <c r="DZ39" s="69">
        <v>8.9091200000000005E-5</v>
      </c>
      <c r="EA39" s="69">
        <v>8.7650299999999997E-5</v>
      </c>
      <c r="EB39" s="69">
        <v>8.6232700000000005E-5</v>
      </c>
      <c r="EC39" s="69">
        <v>8.4838000000000003E-5</v>
      </c>
      <c r="ED39" s="69">
        <v>8.3465899999999997E-5</v>
      </c>
      <c r="EE39" s="69">
        <v>8.2115999999999998E-5</v>
      </c>
      <c r="EF39" s="69">
        <v>8.0787900000000006E-5</v>
      </c>
      <c r="EG39" s="69">
        <v>7.9481199999999994E-5</v>
      </c>
      <c r="EH39" s="69">
        <v>7.8195700000000001E-5</v>
      </c>
      <c r="EI39" s="69">
        <v>7.6930999999999999E-5</v>
      </c>
      <c r="EJ39" s="69">
        <v>7.5686799999999995E-5</v>
      </c>
      <c r="EK39" s="69">
        <v>7.4462700000000001E-5</v>
      </c>
      <c r="EL39" s="69">
        <v>7.3258300000000003E-5</v>
      </c>
      <c r="EM39" s="69">
        <v>7.2073499999999994E-5</v>
      </c>
      <c r="EN39" s="69">
        <v>7.0907800000000006E-5</v>
      </c>
      <c r="EO39" s="69">
        <v>6.9760900000000005E-5</v>
      </c>
      <c r="EP39" s="69">
        <v>6.8632600000000004E-5</v>
      </c>
      <c r="EQ39" s="69">
        <v>6.7522599999999996E-5</v>
      </c>
      <c r="ER39" s="69">
        <v>6.6430499999999994E-5</v>
      </c>
      <c r="ES39" s="69">
        <v>6.5356099999999996E-5</v>
      </c>
      <c r="ET39" s="69">
        <v>6.4299000000000002E-5</v>
      </c>
      <c r="EU39" s="69">
        <v>6.3258999999999999E-5</v>
      </c>
      <c r="EV39" s="69">
        <v>6.2235899999999998E-5</v>
      </c>
      <c r="EW39" s="69">
        <v>6.12293E-5</v>
      </c>
      <c r="EX39" s="69">
        <v>6.0238999999999997E-5</v>
      </c>
      <c r="EY39" s="69">
        <v>5.9264700000000002E-5</v>
      </c>
      <c r="EZ39" s="69">
        <v>5.8306100000000001E-5</v>
      </c>
      <c r="FA39" s="69">
        <v>5.73631E-5</v>
      </c>
      <c r="FB39" s="69">
        <v>5.6435299999999998E-5</v>
      </c>
      <c r="FC39" s="69">
        <v>5.5522500000000002E-5</v>
      </c>
      <c r="FD39" s="69">
        <v>5.4624499999999999E-5</v>
      </c>
      <c r="FE39" s="69">
        <v>5.3740999999999999E-5</v>
      </c>
      <c r="FF39" s="69">
        <v>5.2871799999999997E-5</v>
      </c>
      <c r="FG39" s="69">
        <v>5.20167E-5</v>
      </c>
      <c r="FH39" s="69">
        <v>5.1175299999999998E-5</v>
      </c>
      <c r="FI39" s="69">
        <v>5.0347599999999999E-5</v>
      </c>
      <c r="FJ39" s="69">
        <v>4.9533300000000002E-5</v>
      </c>
      <c r="FK39" s="69">
        <v>4.8732200000000001E-5</v>
      </c>
      <c r="FL39" s="69">
        <v>4.7944E-5</v>
      </c>
      <c r="FM39" s="69">
        <v>4.7168500000000001E-5</v>
      </c>
      <c r="FN39" s="69">
        <v>4.6405600000000002E-5</v>
      </c>
      <c r="FO39" s="69">
        <v>4.5655000000000002E-5</v>
      </c>
      <c r="FP39" s="69">
        <v>4.4916600000000003E-5</v>
      </c>
      <c r="FQ39" s="69">
        <v>4.4190100000000002E-5</v>
      </c>
    </row>
    <row r="40" spans="1:173" x14ac:dyDescent="0.25">
      <c r="A40" s="71">
        <v>38</v>
      </c>
      <c r="B40" s="69">
        <v>7.3065040000000003E-4</v>
      </c>
      <c r="C40" s="69">
        <v>7.2131090000000005E-4</v>
      </c>
      <c r="D40" s="69">
        <v>7.1192179999999996E-4</v>
      </c>
      <c r="E40" s="69">
        <v>7.0249910000000002E-4</v>
      </c>
      <c r="F40" s="69">
        <v>6.9305739999999999E-4</v>
      </c>
      <c r="G40" s="69">
        <v>6.836101E-4</v>
      </c>
      <c r="H40" s="69">
        <v>6.7416939999999999E-4</v>
      </c>
      <c r="I40" s="69">
        <v>6.6474649999999998E-4</v>
      </c>
      <c r="J40" s="69">
        <v>6.5535159999999997E-4</v>
      </c>
      <c r="K40" s="69">
        <v>6.4599389999999996E-4</v>
      </c>
      <c r="L40" s="69">
        <v>6.3668169999999997E-4</v>
      </c>
      <c r="M40" s="69">
        <v>6.2742270000000001E-4</v>
      </c>
      <c r="N40" s="69">
        <v>6.1822359999999998E-4</v>
      </c>
      <c r="O40" s="69">
        <v>6.0909060000000005E-4</v>
      </c>
      <c r="P40" s="69">
        <v>6.0002920000000004E-4</v>
      </c>
      <c r="Q40" s="69">
        <v>5.9104429999999998E-4</v>
      </c>
      <c r="R40" s="69">
        <v>5.8214029999999997E-4</v>
      </c>
      <c r="S40" s="69">
        <v>5.7332089999999997E-4</v>
      </c>
      <c r="T40" s="69">
        <v>5.6458970000000002E-4</v>
      </c>
      <c r="U40" s="69">
        <v>5.5594960000000001E-4</v>
      </c>
      <c r="V40" s="69">
        <v>5.4740310000000005E-4</v>
      </c>
      <c r="W40" s="69">
        <v>5.3895259999999997E-4</v>
      </c>
      <c r="X40" s="69">
        <v>5.3059980000000004E-4</v>
      </c>
      <c r="Y40" s="69">
        <v>5.2234649999999998E-4</v>
      </c>
      <c r="Z40" s="69">
        <v>5.1419400000000004E-4</v>
      </c>
      <c r="AA40" s="69">
        <v>5.0614319999999998E-4</v>
      </c>
      <c r="AB40" s="69">
        <v>4.9819510000000003E-4</v>
      </c>
      <c r="AC40" s="69">
        <v>4.9035029999999996E-4</v>
      </c>
      <c r="AD40" s="69">
        <v>4.8260920000000001E-4</v>
      </c>
      <c r="AE40" s="69">
        <v>4.7497210000000003E-4</v>
      </c>
      <c r="AF40" s="69">
        <v>4.6743909999999997E-4</v>
      </c>
      <c r="AG40" s="69">
        <v>4.6001009999999999E-4</v>
      </c>
      <c r="AH40" s="69">
        <v>4.5268510000000001E-4</v>
      </c>
      <c r="AI40" s="69">
        <v>4.4546359999999999E-4</v>
      </c>
      <c r="AJ40" s="69">
        <v>4.3834530000000003E-4</v>
      </c>
      <c r="AK40" s="69">
        <v>4.3132970000000001E-4</v>
      </c>
      <c r="AL40" s="69">
        <v>4.2441629999999999E-4</v>
      </c>
      <c r="AM40" s="69">
        <v>4.1760430000000002E-4</v>
      </c>
      <c r="AN40" s="69">
        <v>4.1089309999999999E-4</v>
      </c>
      <c r="AO40" s="69">
        <v>4.0428179999999999E-4</v>
      </c>
      <c r="AP40" s="69">
        <v>3.9776969999999999E-4</v>
      </c>
      <c r="AQ40" s="69">
        <v>3.9135569999999999E-4</v>
      </c>
      <c r="AR40" s="69">
        <v>3.8503909999999998E-4</v>
      </c>
      <c r="AS40" s="69">
        <v>3.7881870000000003E-4</v>
      </c>
      <c r="AT40" s="69">
        <v>3.7269359999999999E-4</v>
      </c>
      <c r="AU40" s="69">
        <v>3.6666280000000002E-4</v>
      </c>
      <c r="AV40" s="69">
        <v>3.6072509999999998E-4</v>
      </c>
      <c r="AW40" s="69">
        <v>3.5487959999999999E-4</v>
      </c>
      <c r="AX40" s="69">
        <v>3.4912510000000002E-4</v>
      </c>
      <c r="AY40" s="69">
        <v>3.4346049999999998E-4</v>
      </c>
      <c r="AZ40" s="69">
        <v>3.3788459999999998E-4</v>
      </c>
      <c r="BA40" s="69">
        <v>3.3239629999999999E-4</v>
      </c>
      <c r="BB40" s="69">
        <v>3.2699459999999998E-4</v>
      </c>
      <c r="BC40" s="69">
        <v>3.2167820000000001E-4</v>
      </c>
      <c r="BD40" s="69">
        <v>3.1644589999999998E-4</v>
      </c>
      <c r="BE40" s="69">
        <v>3.1129669999999999E-4</v>
      </c>
      <c r="BF40" s="69">
        <v>3.0622940000000001E-4</v>
      </c>
      <c r="BG40" s="69">
        <v>3.0124280000000002E-4</v>
      </c>
      <c r="BH40" s="69">
        <v>2.963358E-4</v>
      </c>
      <c r="BI40" s="69">
        <v>2.915072E-4</v>
      </c>
      <c r="BJ40" s="69">
        <v>2.8675599999999999E-4</v>
      </c>
      <c r="BK40" s="69">
        <v>2.8208090000000002E-4</v>
      </c>
      <c r="BL40" s="69">
        <v>2.7748090000000002E-4</v>
      </c>
      <c r="BM40" s="69">
        <v>2.7295489999999998E-4</v>
      </c>
      <c r="BN40" s="69">
        <v>2.685017E-4</v>
      </c>
      <c r="BO40" s="69">
        <v>2.6412030000000001E-4</v>
      </c>
      <c r="BP40" s="69">
        <v>2.5980950000000001E-4</v>
      </c>
      <c r="BQ40" s="69">
        <v>2.5556830000000001E-4</v>
      </c>
      <c r="BR40" s="69">
        <v>2.5139569999999998E-4</v>
      </c>
      <c r="BS40" s="69">
        <v>2.4729050000000001E-4</v>
      </c>
      <c r="BT40" s="69">
        <v>2.4325179999999999E-4</v>
      </c>
      <c r="BU40" s="69">
        <v>2.392785E-4</v>
      </c>
      <c r="BV40" s="69">
        <v>2.3536959999999999E-4</v>
      </c>
      <c r="BW40" s="69">
        <v>2.3152409999999999E-4</v>
      </c>
      <c r="BX40" s="69">
        <v>2.27741E-4</v>
      </c>
      <c r="BY40" s="69">
        <v>2.2401929999999999E-4</v>
      </c>
      <c r="BZ40" s="69">
        <v>2.2035809999999999E-4</v>
      </c>
      <c r="CA40" s="69">
        <v>2.167564E-4</v>
      </c>
      <c r="CB40" s="69">
        <v>2.1321329999999999E-4</v>
      </c>
      <c r="CC40" s="69">
        <v>2.0972779999999999E-4</v>
      </c>
      <c r="CD40" s="69">
        <v>2.0629900000000001E-4</v>
      </c>
      <c r="CE40" s="69">
        <v>2.02926E-4</v>
      </c>
      <c r="CF40" s="69">
        <v>1.9960799999999999E-4</v>
      </c>
      <c r="CG40" s="69">
        <v>1.9634399999999999E-4</v>
      </c>
      <c r="CH40" s="69">
        <v>1.931332E-4</v>
      </c>
      <c r="CI40" s="69">
        <v>1.899747E-4</v>
      </c>
      <c r="CJ40" s="69">
        <v>1.8686779999999999E-4</v>
      </c>
      <c r="CK40" s="69">
        <v>1.8381149999999999E-4</v>
      </c>
      <c r="CL40" s="69">
        <v>1.80805E-4</v>
      </c>
      <c r="CM40" s="69">
        <v>1.7784760000000001E-4</v>
      </c>
      <c r="CN40" s="69">
        <v>1.7493850000000001E-4</v>
      </c>
      <c r="CO40" s="69">
        <v>1.7207689999999999E-4</v>
      </c>
      <c r="CP40" s="69">
        <v>1.6926190000000001E-4</v>
      </c>
      <c r="CQ40" s="69">
        <v>1.664929E-4</v>
      </c>
      <c r="CR40" s="69">
        <v>1.6376920000000001E-4</v>
      </c>
      <c r="CS40" s="69">
        <v>1.6108990000000001E-4</v>
      </c>
      <c r="CT40" s="69">
        <v>1.5845440000000001E-4</v>
      </c>
      <c r="CU40" s="69">
        <v>1.5586190000000001E-4</v>
      </c>
      <c r="CV40" s="69">
        <v>1.533118E-4</v>
      </c>
      <c r="CW40" s="69">
        <v>1.508034E-4</v>
      </c>
      <c r="CX40" s="69">
        <v>1.48336E-4</v>
      </c>
      <c r="CY40" s="69">
        <v>1.4590889999999999E-4</v>
      </c>
      <c r="CZ40" s="69">
        <v>1.435214E-4</v>
      </c>
      <c r="DA40" s="69">
        <v>1.41173E-4</v>
      </c>
      <c r="DB40" s="69">
        <v>1.38863E-4</v>
      </c>
      <c r="DC40" s="69">
        <v>1.3659070000000001E-4</v>
      </c>
      <c r="DD40" s="69">
        <v>1.343556E-4</v>
      </c>
      <c r="DE40" s="69">
        <v>1.3215699999999999E-4</v>
      </c>
      <c r="DF40" s="69">
        <v>1.299944E-4</v>
      </c>
      <c r="DG40" s="69">
        <v>1.278672E-4</v>
      </c>
      <c r="DH40" s="69">
        <v>1.2577469999999999E-4</v>
      </c>
      <c r="DI40" s="69">
        <v>1.2371649999999999E-4</v>
      </c>
      <c r="DJ40" s="69">
        <v>1.2169190000000001E-4</v>
      </c>
      <c r="DK40" s="69">
        <v>1.197004E-4</v>
      </c>
      <c r="DL40" s="69">
        <v>1.177415E-4</v>
      </c>
      <c r="DM40" s="69">
        <v>1.1581469999999999E-4</v>
      </c>
      <c r="DN40" s="69">
        <v>1.1391940000000001E-4</v>
      </c>
      <c r="DO40" s="69">
        <v>1.12055E-4</v>
      </c>
      <c r="DP40" s="69">
        <v>1.102212E-4</v>
      </c>
      <c r="DQ40" s="69">
        <v>1.084174E-4</v>
      </c>
      <c r="DR40" s="69">
        <v>1.066431E-4</v>
      </c>
      <c r="DS40" s="69">
        <v>1.048978E-4</v>
      </c>
      <c r="DT40" s="69">
        <v>1.0318109999999999E-4</v>
      </c>
      <c r="DU40" s="69">
        <v>1.014924E-4</v>
      </c>
      <c r="DV40" s="69">
        <v>9.9831400000000001E-5</v>
      </c>
      <c r="DW40" s="69">
        <v>9.8197599999999996E-5</v>
      </c>
      <c r="DX40" s="69">
        <v>9.6590399999999996E-5</v>
      </c>
      <c r="DY40" s="69">
        <v>9.5009599999999999E-5</v>
      </c>
      <c r="DZ40" s="69">
        <v>9.3454699999999998E-5</v>
      </c>
      <c r="EA40" s="69">
        <v>9.1925199999999999E-5</v>
      </c>
      <c r="EB40" s="69">
        <v>9.04207E-5</v>
      </c>
      <c r="EC40" s="69">
        <v>8.8940899999999994E-5</v>
      </c>
      <c r="ED40" s="69">
        <v>8.7485199999999994E-5</v>
      </c>
      <c r="EE40" s="69">
        <v>8.6053399999999998E-5</v>
      </c>
      <c r="EF40" s="69">
        <v>8.4645E-5</v>
      </c>
      <c r="EG40" s="69">
        <v>8.3259700000000005E-5</v>
      </c>
      <c r="EH40" s="69">
        <v>8.1897000000000005E-5</v>
      </c>
      <c r="EI40" s="69">
        <v>8.0556599999999994E-5</v>
      </c>
      <c r="EJ40" s="69">
        <v>7.9238200000000003E-5</v>
      </c>
      <c r="EK40" s="69">
        <v>7.7941299999999999E-5</v>
      </c>
      <c r="EL40" s="69">
        <v>7.6665699999999993E-5</v>
      </c>
      <c r="EM40" s="69">
        <v>7.5410900000000007E-5</v>
      </c>
      <c r="EN40" s="69">
        <v>7.4176699999999997E-5</v>
      </c>
      <c r="EO40" s="69">
        <v>7.2962599999999998E-5</v>
      </c>
      <c r="EP40" s="69">
        <v>7.1768500000000002E-5</v>
      </c>
      <c r="EQ40" s="69">
        <v>7.0593799999999995E-5</v>
      </c>
      <c r="ER40" s="69">
        <v>6.9438399999999996E-5</v>
      </c>
      <c r="ES40" s="69">
        <v>6.8301999999999998E-5</v>
      </c>
      <c r="ET40" s="69">
        <v>6.7184100000000006E-5</v>
      </c>
      <c r="EU40" s="69">
        <v>6.6084499999999994E-5</v>
      </c>
      <c r="EV40" s="69">
        <v>6.5002899999999994E-5</v>
      </c>
      <c r="EW40" s="69">
        <v>6.3938999999999999E-5</v>
      </c>
      <c r="EX40" s="69">
        <v>6.2892500000000001E-5</v>
      </c>
      <c r="EY40" s="69">
        <v>6.1863099999999994E-5</v>
      </c>
      <c r="EZ40" s="69">
        <v>6.0850600000000003E-5</v>
      </c>
      <c r="FA40" s="69">
        <v>5.9854700000000001E-5</v>
      </c>
      <c r="FB40" s="69">
        <v>5.8875000000000001E-5</v>
      </c>
      <c r="FC40" s="69">
        <v>5.7911400000000003E-5</v>
      </c>
      <c r="FD40" s="69">
        <v>5.6963599999999998E-5</v>
      </c>
      <c r="FE40" s="69">
        <v>5.60312E-5</v>
      </c>
      <c r="FF40" s="69">
        <v>5.5114200000000002E-5</v>
      </c>
      <c r="FG40" s="69">
        <v>5.4212100000000002E-5</v>
      </c>
      <c r="FH40" s="69">
        <v>5.3324800000000001E-5</v>
      </c>
      <c r="FI40" s="69">
        <v>5.2451999999999999E-5</v>
      </c>
      <c r="FJ40" s="69">
        <v>5.15936E-5</v>
      </c>
      <c r="FK40" s="69">
        <v>5.0749099999999998E-5</v>
      </c>
      <c r="FL40" s="69">
        <v>4.99185E-5</v>
      </c>
      <c r="FM40" s="69">
        <v>4.9101499999999997E-5</v>
      </c>
      <c r="FN40" s="69">
        <v>4.8297799999999997E-5</v>
      </c>
      <c r="FO40" s="69">
        <v>4.7507299999999998E-5</v>
      </c>
      <c r="FP40" s="69">
        <v>4.6729800000000001E-5</v>
      </c>
      <c r="FQ40" s="69">
        <v>4.5964899999999998E-5</v>
      </c>
    </row>
    <row r="41" spans="1:173" x14ac:dyDescent="0.25">
      <c r="A41" s="71">
        <v>39</v>
      </c>
      <c r="B41" s="69">
        <v>7.9452359999999998E-4</v>
      </c>
      <c r="C41" s="69">
        <v>7.852798E-4</v>
      </c>
      <c r="D41" s="69">
        <v>7.758916E-4</v>
      </c>
      <c r="E41" s="69">
        <v>7.6638300000000004E-4</v>
      </c>
      <c r="F41" s="69">
        <v>7.5677630000000001E-4</v>
      </c>
      <c r="G41" s="69">
        <v>7.4709189999999995E-4</v>
      </c>
      <c r="H41" s="69">
        <v>7.3734880000000003E-4</v>
      </c>
      <c r="I41" s="69">
        <v>7.2756410000000002E-4</v>
      </c>
      <c r="J41" s="69">
        <v>7.1775389999999999E-4</v>
      </c>
      <c r="K41" s="69">
        <v>7.0793270000000001E-4</v>
      </c>
      <c r="L41" s="69">
        <v>6.9811389999999997E-4</v>
      </c>
      <c r="M41" s="69">
        <v>6.8830949999999997E-4</v>
      </c>
      <c r="N41" s="69">
        <v>6.7853070000000002E-4</v>
      </c>
      <c r="O41" s="69">
        <v>6.6878740000000003E-4</v>
      </c>
      <c r="P41" s="69">
        <v>6.5908899999999996E-4</v>
      </c>
      <c r="Q41" s="69">
        <v>6.4944350000000004E-4</v>
      </c>
      <c r="R41" s="69">
        <v>6.3985850000000005E-4</v>
      </c>
      <c r="S41" s="69">
        <v>6.3034059999999995E-4</v>
      </c>
      <c r="T41" s="69">
        <v>6.2089580000000005E-4</v>
      </c>
      <c r="U41" s="69">
        <v>6.1152959999999997E-4</v>
      </c>
      <c r="V41" s="69">
        <v>6.0224669999999999E-4</v>
      </c>
      <c r="W41" s="69">
        <v>5.9305130000000003E-4</v>
      </c>
      <c r="X41" s="69">
        <v>5.8394709999999995E-4</v>
      </c>
      <c r="Y41" s="69">
        <v>5.7493750000000004E-4</v>
      </c>
      <c r="Z41" s="69">
        <v>5.6602539999999998E-4</v>
      </c>
      <c r="AA41" s="69">
        <v>5.5721299999999998E-4</v>
      </c>
      <c r="AB41" s="69">
        <v>5.485027E-4</v>
      </c>
      <c r="AC41" s="69">
        <v>5.3989610000000003E-4</v>
      </c>
      <c r="AD41" s="69">
        <v>5.3139470000000005E-4</v>
      </c>
      <c r="AE41" s="69">
        <v>5.2299970000000003E-4</v>
      </c>
      <c r="AF41" s="69">
        <v>5.1471220000000003E-4</v>
      </c>
      <c r="AG41" s="69">
        <v>5.0653269999999999E-4</v>
      </c>
      <c r="AH41" s="69">
        <v>4.9846190000000005E-4</v>
      </c>
      <c r="AI41" s="69">
        <v>4.9050000000000005E-4</v>
      </c>
      <c r="AJ41" s="69">
        <v>4.8264720000000002E-4</v>
      </c>
      <c r="AK41" s="69">
        <v>4.749035E-4</v>
      </c>
      <c r="AL41" s="69">
        <v>4.6726880000000001E-4</v>
      </c>
      <c r="AM41" s="69">
        <v>4.5974280000000002E-4</v>
      </c>
      <c r="AN41" s="69">
        <v>4.52325E-4</v>
      </c>
      <c r="AO41" s="69">
        <v>4.4501509999999997E-4</v>
      </c>
      <c r="AP41" s="69">
        <v>4.3781229999999998E-4</v>
      </c>
      <c r="AQ41" s="69">
        <v>4.3071610000000002E-4</v>
      </c>
      <c r="AR41" s="69">
        <v>4.237256E-4</v>
      </c>
      <c r="AS41" s="69">
        <v>4.1684010000000001E-4</v>
      </c>
      <c r="AT41" s="69">
        <v>4.100587E-4</v>
      </c>
      <c r="AU41" s="69">
        <v>4.0338039999999998E-4</v>
      </c>
      <c r="AV41" s="69">
        <v>3.9680420000000002E-4</v>
      </c>
      <c r="AW41" s="69">
        <v>3.9032919999999998E-4</v>
      </c>
      <c r="AX41" s="69">
        <v>3.839542E-4</v>
      </c>
      <c r="AY41" s="69">
        <v>3.7767820000000001E-4</v>
      </c>
      <c r="AZ41" s="69">
        <v>3.7149999999999998E-4</v>
      </c>
      <c r="BA41" s="69">
        <v>3.6541859999999999E-4</v>
      </c>
      <c r="BB41" s="69">
        <v>3.5943269999999999E-4</v>
      </c>
      <c r="BC41" s="69">
        <v>3.5354119999999998E-4</v>
      </c>
      <c r="BD41" s="69">
        <v>3.4774289999999999E-4</v>
      </c>
      <c r="BE41" s="69">
        <v>3.4203659999999998E-4</v>
      </c>
      <c r="BF41" s="69">
        <v>3.36421E-4</v>
      </c>
      <c r="BG41" s="69">
        <v>3.3089509999999998E-4</v>
      </c>
      <c r="BH41" s="69">
        <v>3.254574E-4</v>
      </c>
      <c r="BI41" s="69">
        <v>3.201069E-4</v>
      </c>
      <c r="BJ41" s="69">
        <v>3.1484230000000001E-4</v>
      </c>
      <c r="BK41" s="69">
        <v>3.096625E-4</v>
      </c>
      <c r="BL41" s="69">
        <v>3.0456610000000002E-4</v>
      </c>
      <c r="BM41" s="69">
        <v>2.9955200000000002E-4</v>
      </c>
      <c r="BN41" s="69">
        <v>2.946189E-4</v>
      </c>
      <c r="BO41" s="69">
        <v>2.8976579999999999E-4</v>
      </c>
      <c r="BP41" s="69">
        <v>2.8499139999999998E-4</v>
      </c>
      <c r="BQ41" s="69">
        <v>2.802945E-4</v>
      </c>
      <c r="BR41" s="69">
        <v>2.75674E-4</v>
      </c>
      <c r="BS41" s="69">
        <v>2.7112860000000003E-4</v>
      </c>
      <c r="BT41" s="69">
        <v>2.6665739999999998E-4</v>
      </c>
      <c r="BU41" s="69">
        <v>2.6225899999999998E-4</v>
      </c>
      <c r="BV41" s="69">
        <v>2.579325E-4</v>
      </c>
      <c r="BW41" s="69">
        <v>2.5367659999999998E-4</v>
      </c>
      <c r="BX41" s="69">
        <v>2.4949029999999999E-4</v>
      </c>
      <c r="BY41" s="69">
        <v>2.453725E-4</v>
      </c>
      <c r="BZ41" s="69">
        <v>2.4132219999999999E-4</v>
      </c>
      <c r="CA41" s="69">
        <v>2.3733820000000001E-4</v>
      </c>
      <c r="CB41" s="69">
        <v>2.3341949999999999E-4</v>
      </c>
      <c r="CC41" s="69">
        <v>2.295652E-4</v>
      </c>
      <c r="CD41" s="69">
        <v>2.2577400000000001E-4</v>
      </c>
      <c r="CE41" s="69">
        <v>2.2204519999999999E-4</v>
      </c>
      <c r="CF41" s="69">
        <v>2.183776E-4</v>
      </c>
      <c r="CG41" s="69">
        <v>2.1477019999999999E-4</v>
      </c>
      <c r="CH41" s="69">
        <v>2.1122219999999999E-4</v>
      </c>
      <c r="CI41" s="69">
        <v>2.0773260000000001E-4</v>
      </c>
      <c r="CJ41" s="69">
        <v>2.043003E-4</v>
      </c>
      <c r="CK41" s="69">
        <v>2.0092459999999999E-4</v>
      </c>
      <c r="CL41" s="69">
        <v>1.9760439999999999E-4</v>
      </c>
      <c r="CM41" s="69">
        <v>1.94339E-4</v>
      </c>
      <c r="CN41" s="69">
        <v>1.911273E-4</v>
      </c>
      <c r="CO41" s="69">
        <v>1.8796850000000001E-4</v>
      </c>
      <c r="CP41" s="69">
        <v>1.8486180000000001E-4</v>
      </c>
      <c r="CQ41" s="69">
        <v>1.8180630000000001E-4</v>
      </c>
      <c r="CR41" s="69">
        <v>1.7880120000000001E-4</v>
      </c>
      <c r="CS41" s="69">
        <v>1.7584569999999999E-4</v>
      </c>
      <c r="CT41" s="69">
        <v>1.7293890000000001E-4</v>
      </c>
      <c r="CU41" s="69">
        <v>1.700801E-4</v>
      </c>
      <c r="CV41" s="69">
        <v>1.6726840000000001E-4</v>
      </c>
      <c r="CW41" s="69">
        <v>1.6450319999999999E-4</v>
      </c>
      <c r="CX41" s="69">
        <v>1.6178349999999999E-4</v>
      </c>
      <c r="CY41" s="69">
        <v>1.5910880000000001E-4</v>
      </c>
      <c r="CZ41" s="69">
        <v>1.564782E-4</v>
      </c>
      <c r="DA41" s="69">
        <v>1.538911E-4</v>
      </c>
      <c r="DB41" s="69">
        <v>1.5134670000000001E-4</v>
      </c>
      <c r="DC41" s="69">
        <v>1.4884429999999999E-4</v>
      </c>
      <c r="DD41" s="69">
        <v>1.463832E-4</v>
      </c>
      <c r="DE41" s="69">
        <v>1.439628E-4</v>
      </c>
      <c r="DF41" s="69">
        <v>1.4158239999999999E-4</v>
      </c>
      <c r="DG41" s="69">
        <v>1.3924130000000001E-4</v>
      </c>
      <c r="DH41" s="69">
        <v>1.369389E-4</v>
      </c>
      <c r="DI41" s="69">
        <v>1.346745E-4</v>
      </c>
      <c r="DJ41" s="69">
        <v>1.3244750000000001E-4</v>
      </c>
      <c r="DK41" s="69">
        <v>1.302574E-4</v>
      </c>
      <c r="DL41" s="69">
        <v>1.2810339999999999E-4</v>
      </c>
      <c r="DM41" s="69">
        <v>1.2598500000000001E-4</v>
      </c>
      <c r="DN41" s="69">
        <v>1.2390160000000001E-4</v>
      </c>
      <c r="DO41" s="69">
        <v>1.2185270000000001E-4</v>
      </c>
      <c r="DP41" s="69">
        <v>1.198376E-4</v>
      </c>
      <c r="DQ41" s="69">
        <v>1.178559E-4</v>
      </c>
      <c r="DR41" s="69">
        <v>1.159068E-4</v>
      </c>
      <c r="DS41" s="69">
        <v>1.139901E-4</v>
      </c>
      <c r="DT41" s="69">
        <v>1.12105E-4</v>
      </c>
      <c r="DU41" s="69">
        <v>1.10251E-4</v>
      </c>
      <c r="DV41" s="69">
        <v>1.0842770000000001E-4</v>
      </c>
      <c r="DW41" s="69">
        <v>1.066346E-4</v>
      </c>
      <c r="DX41" s="69">
        <v>1.048711E-4</v>
      </c>
      <c r="DY41" s="69">
        <v>1.031367E-4</v>
      </c>
      <c r="DZ41" s="69">
        <v>1.01431E-4</v>
      </c>
      <c r="EA41" s="69">
        <v>9.9753600000000007E-5</v>
      </c>
      <c r="EB41" s="69">
        <v>9.8103799999999994E-5</v>
      </c>
      <c r="EC41" s="69">
        <v>9.6481400000000001E-5</v>
      </c>
      <c r="ED41" s="69">
        <v>9.4885700000000005E-5</v>
      </c>
      <c r="EE41" s="69">
        <v>9.3316499999999993E-5</v>
      </c>
      <c r="EF41" s="69">
        <v>9.1773200000000004E-5</v>
      </c>
      <c r="EG41" s="69">
        <v>9.0255399999999996E-5</v>
      </c>
      <c r="EH41" s="69">
        <v>8.8762699999999996E-5</v>
      </c>
      <c r="EI41" s="69">
        <v>8.7294700000000003E-5</v>
      </c>
      <c r="EJ41" s="69">
        <v>8.5851000000000002E-5</v>
      </c>
      <c r="EK41" s="69">
        <v>8.4431099999999999E-5</v>
      </c>
      <c r="EL41" s="69">
        <v>8.3034800000000007E-5</v>
      </c>
      <c r="EM41" s="69">
        <v>8.1661499999999997E-5</v>
      </c>
      <c r="EN41" s="69">
        <v>8.0310900000000004E-5</v>
      </c>
      <c r="EO41" s="69">
        <v>7.8982599999999998E-5</v>
      </c>
      <c r="EP41" s="69">
        <v>7.7676399999999994E-5</v>
      </c>
      <c r="EQ41" s="69">
        <v>7.6391700000000002E-5</v>
      </c>
      <c r="ER41" s="69">
        <v>7.5128299999999997E-5</v>
      </c>
      <c r="ES41" s="69">
        <v>7.3885699999999996E-5</v>
      </c>
      <c r="ET41" s="69">
        <v>7.26637E-5</v>
      </c>
      <c r="EU41" s="69">
        <v>7.1462000000000001E-5</v>
      </c>
      <c r="EV41" s="69">
        <v>7.0280100000000005E-5</v>
      </c>
      <c r="EW41" s="69">
        <v>6.9117700000000004E-5</v>
      </c>
      <c r="EX41" s="69">
        <v>6.7974599999999998E-5</v>
      </c>
      <c r="EY41" s="69">
        <v>6.6850300000000006E-5</v>
      </c>
      <c r="EZ41" s="69">
        <v>6.5744699999999994E-5</v>
      </c>
      <c r="FA41" s="69">
        <v>6.4657299999999995E-5</v>
      </c>
      <c r="FB41" s="69">
        <v>6.3588000000000002E-5</v>
      </c>
      <c r="FC41" s="69">
        <v>6.2536300000000006E-5</v>
      </c>
      <c r="FD41" s="69">
        <v>6.1501999999999995E-5</v>
      </c>
      <c r="FE41" s="69">
        <v>6.0484800000000001E-5</v>
      </c>
      <c r="FF41" s="69">
        <v>5.9484400000000003E-5</v>
      </c>
      <c r="FG41" s="69">
        <v>5.85006E-5</v>
      </c>
      <c r="FH41" s="69">
        <v>5.7533E-5</v>
      </c>
      <c r="FI41" s="69">
        <v>5.65815E-5</v>
      </c>
      <c r="FJ41" s="69">
        <v>5.5645700000000002E-5</v>
      </c>
      <c r="FK41" s="69">
        <v>5.4725300000000003E-5</v>
      </c>
      <c r="FL41" s="69">
        <v>5.3820199999999997E-5</v>
      </c>
      <c r="FM41" s="69">
        <v>5.2930100000000003E-5</v>
      </c>
      <c r="FN41" s="69">
        <v>5.2054700000000002E-5</v>
      </c>
      <c r="FO41" s="69">
        <v>5.1193699999999997E-5</v>
      </c>
      <c r="FP41" s="69">
        <v>5.0346999999999998E-5</v>
      </c>
      <c r="FQ41" s="69">
        <v>4.9514300000000001E-5</v>
      </c>
    </row>
    <row r="42" spans="1:173" x14ac:dyDescent="0.25">
      <c r="A42" s="71">
        <v>40</v>
      </c>
      <c r="B42" s="69">
        <v>8.7372329999999996E-4</v>
      </c>
      <c r="C42" s="69">
        <v>8.6092380000000004E-4</v>
      </c>
      <c r="D42" s="69">
        <v>8.4818510000000003E-4</v>
      </c>
      <c r="E42" s="69">
        <v>8.3551830000000004E-4</v>
      </c>
      <c r="F42" s="69">
        <v>8.2293320000000004E-4</v>
      </c>
      <c r="G42" s="69">
        <v>8.104389E-4</v>
      </c>
      <c r="H42" s="69">
        <v>7.9804330000000001E-4</v>
      </c>
      <c r="I42" s="69">
        <v>7.8575349999999999E-4</v>
      </c>
      <c r="J42" s="69">
        <v>7.7357589999999996E-4</v>
      </c>
      <c r="K42" s="69">
        <v>7.6151620000000002E-4</v>
      </c>
      <c r="L42" s="69">
        <v>7.4957919999999996E-4</v>
      </c>
      <c r="M42" s="69">
        <v>7.3776940000000002E-4</v>
      </c>
      <c r="N42" s="69">
        <v>7.2609029999999998E-4</v>
      </c>
      <c r="O42" s="69">
        <v>7.1454540000000005E-4</v>
      </c>
      <c r="P42" s="69">
        <v>7.0313730000000005E-4</v>
      </c>
      <c r="Q42" s="69">
        <v>6.9186840000000002E-4</v>
      </c>
      <c r="R42" s="69">
        <v>6.8074059999999998E-4</v>
      </c>
      <c r="S42" s="69">
        <v>6.6975529999999995E-4</v>
      </c>
      <c r="T42" s="69">
        <v>6.5891400000000003E-4</v>
      </c>
      <c r="U42" s="69">
        <v>6.4821740000000001E-4</v>
      </c>
      <c r="V42" s="69">
        <v>6.3766609999999998E-4</v>
      </c>
      <c r="W42" s="69">
        <v>6.2726060000000002E-4</v>
      </c>
      <c r="X42" s="69">
        <v>6.1700100000000005E-4</v>
      </c>
      <c r="Y42" s="69">
        <v>6.0688729999999996E-4</v>
      </c>
      <c r="Z42" s="69">
        <v>5.9691910000000004E-4</v>
      </c>
      <c r="AA42" s="69">
        <v>5.8709609999999998E-4</v>
      </c>
      <c r="AB42" s="69">
        <v>5.7741759999999998E-4</v>
      </c>
      <c r="AC42" s="69">
        <v>5.6788300000000004E-4</v>
      </c>
      <c r="AD42" s="69">
        <v>5.5849139999999996E-4</v>
      </c>
      <c r="AE42" s="69">
        <v>5.4924179999999996E-4</v>
      </c>
      <c r="AF42" s="69">
        <v>5.4013330000000003E-4</v>
      </c>
      <c r="AG42" s="69">
        <v>5.3116450000000005E-4</v>
      </c>
      <c r="AH42" s="69">
        <v>5.2233439999999998E-4</v>
      </c>
      <c r="AI42" s="69">
        <v>5.136416E-4</v>
      </c>
      <c r="AJ42" s="69">
        <v>5.0508469999999996E-4</v>
      </c>
      <c r="AK42" s="69">
        <v>4.9666239999999996E-4</v>
      </c>
      <c r="AL42" s="69">
        <v>4.8837309999999999E-4</v>
      </c>
      <c r="AM42" s="69">
        <v>4.8021549999999999E-4</v>
      </c>
      <c r="AN42" s="69">
        <v>4.721878E-4</v>
      </c>
      <c r="AO42" s="69">
        <v>4.6428870000000001E-4</v>
      </c>
      <c r="AP42" s="69">
        <v>4.5651639999999999E-4</v>
      </c>
      <c r="AQ42" s="69">
        <v>4.4886939999999999E-4</v>
      </c>
      <c r="AR42" s="69">
        <v>4.4134600000000001E-4</v>
      </c>
      <c r="AS42" s="69">
        <v>4.3394469999999999E-4</v>
      </c>
      <c r="AT42" s="69">
        <v>4.266637E-4</v>
      </c>
      <c r="AU42" s="69">
        <v>4.1950139999999999E-4</v>
      </c>
      <c r="AV42" s="69">
        <v>4.1245620000000002E-4</v>
      </c>
      <c r="AW42" s="69">
        <v>4.0552639999999999E-4</v>
      </c>
      <c r="AX42" s="69">
        <v>3.9871029999999998E-4</v>
      </c>
      <c r="AY42" s="69">
        <v>3.9200630000000002E-4</v>
      </c>
      <c r="AZ42" s="69">
        <v>3.8541280000000002E-4</v>
      </c>
      <c r="BA42" s="69">
        <v>3.7892809999999998E-4</v>
      </c>
      <c r="BB42" s="69">
        <v>3.7255060000000002E-4</v>
      </c>
      <c r="BC42" s="69">
        <v>3.6627859999999998E-4</v>
      </c>
      <c r="BD42" s="69">
        <v>3.6011069999999999E-4</v>
      </c>
      <c r="BE42" s="69">
        <v>3.5404510000000002E-4</v>
      </c>
      <c r="BF42" s="69">
        <v>3.4808030000000001E-4</v>
      </c>
      <c r="BG42" s="69">
        <v>3.4221469999999999E-4</v>
      </c>
      <c r="BH42" s="69">
        <v>3.3644680000000001E-4</v>
      </c>
      <c r="BI42" s="69">
        <v>3.30775E-4</v>
      </c>
      <c r="BJ42" s="69">
        <v>3.2519789999999998E-4</v>
      </c>
      <c r="BK42" s="69">
        <v>3.1971400000000002E-4</v>
      </c>
      <c r="BL42" s="69">
        <v>3.1432159999999999E-4</v>
      </c>
      <c r="BM42" s="69">
        <v>3.0901950000000001E-4</v>
      </c>
      <c r="BN42" s="69">
        <v>3.0380609999999998E-4</v>
      </c>
      <c r="BO42" s="69">
        <v>2.9868000000000001E-4</v>
      </c>
      <c r="BP42" s="69">
        <v>2.936398E-4</v>
      </c>
      <c r="BQ42" s="69">
        <v>2.8868410000000002E-4</v>
      </c>
      <c r="BR42" s="69">
        <v>2.8381149999999998E-4</v>
      </c>
      <c r="BS42" s="69">
        <v>2.790208E-4</v>
      </c>
      <c r="BT42" s="69">
        <v>2.7431040000000002E-4</v>
      </c>
      <c r="BU42" s="69">
        <v>2.696792E-4</v>
      </c>
      <c r="BV42" s="69">
        <v>2.6512589999999999E-4</v>
      </c>
      <c r="BW42" s="69">
        <v>2.60649E-4</v>
      </c>
      <c r="BX42" s="69">
        <v>2.5624749999999998E-4</v>
      </c>
      <c r="BY42" s="69">
        <v>2.5191999999999999E-4</v>
      </c>
      <c r="BZ42" s="69">
        <v>2.4766529999999999E-4</v>
      </c>
      <c r="CA42" s="69">
        <v>2.4348229999999999E-4</v>
      </c>
      <c r="CB42" s="69">
        <v>2.3936970000000001E-4</v>
      </c>
      <c r="CC42" s="69">
        <v>2.353263E-4</v>
      </c>
      <c r="CD42" s="69">
        <v>2.3135110000000001E-4</v>
      </c>
      <c r="CE42" s="69">
        <v>2.2744280000000001E-4</v>
      </c>
      <c r="CF42" s="69">
        <v>2.2360039999999999E-4</v>
      </c>
      <c r="CG42" s="69">
        <v>2.198228E-4</v>
      </c>
      <c r="CH42" s="69">
        <v>2.1610889999999999E-4</v>
      </c>
      <c r="CI42" s="69">
        <v>2.124575E-4</v>
      </c>
      <c r="CJ42" s="69">
        <v>2.0886780000000001E-4</v>
      </c>
      <c r="CK42" s="69">
        <v>2.0533859999999999E-4</v>
      </c>
      <c r="CL42" s="69">
        <v>2.01869E-4</v>
      </c>
      <c r="CM42" s="69">
        <v>1.9845790000000001E-4</v>
      </c>
      <c r="CN42" s="69">
        <v>1.951043E-4</v>
      </c>
      <c r="CO42" s="69">
        <v>1.918073E-4</v>
      </c>
      <c r="CP42" s="69">
        <v>1.8856600000000001E-4</v>
      </c>
      <c r="CQ42" s="69">
        <v>1.853794E-4</v>
      </c>
      <c r="CR42" s="69">
        <v>1.8224659999999999E-4</v>
      </c>
      <c r="CS42" s="69">
        <v>1.7916669999999999E-4</v>
      </c>
      <c r="CT42" s="69">
        <v>1.7613869999999999E-4</v>
      </c>
      <c r="CU42" s="69">
        <v>1.731619E-4</v>
      </c>
      <c r="CV42" s="69">
        <v>1.702354E-4</v>
      </c>
      <c r="CW42" s="69">
        <v>1.6735830000000001E-4</v>
      </c>
      <c r="CX42" s="69">
        <v>1.6452980000000001E-4</v>
      </c>
      <c r="CY42" s="69">
        <v>1.6174900000000001E-4</v>
      </c>
      <c r="CZ42" s="69">
        <v>1.590152E-4</v>
      </c>
      <c r="DA42" s="69">
        <v>1.5632760000000001E-4</v>
      </c>
      <c r="DB42" s="69">
        <v>1.536854E-4</v>
      </c>
      <c r="DC42" s="69">
        <v>1.510878E-4</v>
      </c>
      <c r="DD42" s="69">
        <v>1.485341E-4</v>
      </c>
      <c r="DE42" s="69">
        <v>1.460236E-4</v>
      </c>
      <c r="DF42" s="69">
        <v>1.4355539999999999E-4</v>
      </c>
      <c r="DG42" s="69">
        <v>1.4112900000000001E-4</v>
      </c>
      <c r="DH42" s="69">
        <v>1.3874349999999999E-4</v>
      </c>
      <c r="DI42" s="69">
        <v>1.3639840000000001E-4</v>
      </c>
      <c r="DJ42" s="69">
        <v>1.3409279999999999E-4</v>
      </c>
      <c r="DK42" s="69">
        <v>1.318263E-4</v>
      </c>
      <c r="DL42" s="69">
        <v>1.29598E-4</v>
      </c>
      <c r="DM42" s="69">
        <v>1.2740740000000001E-4</v>
      </c>
      <c r="DN42" s="69">
        <v>1.252538E-4</v>
      </c>
      <c r="DO42" s="69">
        <v>1.231366E-4</v>
      </c>
      <c r="DP42" s="69">
        <v>1.210552E-4</v>
      </c>
      <c r="DQ42" s="69">
        <v>1.1900890000000001E-4</v>
      </c>
      <c r="DR42" s="69">
        <v>1.169973E-4</v>
      </c>
      <c r="DS42" s="69">
        <v>1.1501960000000001E-4</v>
      </c>
      <c r="DT42" s="69">
        <v>1.130754E-4</v>
      </c>
      <c r="DU42" s="69">
        <v>1.1116399999999999E-4</v>
      </c>
      <c r="DV42" s="69">
        <v>1.092849E-4</v>
      </c>
      <c r="DW42" s="69">
        <v>1.074375E-4</v>
      </c>
      <c r="DX42" s="69">
        <v>1.056214E-4</v>
      </c>
      <c r="DY42" s="69">
        <v>1.03836E-4</v>
      </c>
      <c r="DZ42" s="69">
        <v>1.020808E-4</v>
      </c>
      <c r="EA42" s="69">
        <v>1.003552E-4</v>
      </c>
      <c r="EB42" s="69">
        <v>9.8658800000000005E-5</v>
      </c>
      <c r="EC42" s="69">
        <v>9.69911E-5</v>
      </c>
      <c r="ED42" s="69">
        <v>9.5351499999999997E-5</v>
      </c>
      <c r="EE42" s="69">
        <v>9.37397E-5</v>
      </c>
      <c r="EF42" s="69">
        <v>9.2155099999999995E-5</v>
      </c>
      <c r="EG42" s="69">
        <v>9.0597299999999994E-5</v>
      </c>
      <c r="EH42" s="69">
        <v>8.9065800000000004E-5</v>
      </c>
      <c r="EI42" s="69">
        <v>8.7560199999999996E-5</v>
      </c>
      <c r="EJ42" s="69">
        <v>8.6080099999999996E-5</v>
      </c>
      <c r="EK42" s="69">
        <v>8.4624999999999997E-5</v>
      </c>
      <c r="EL42" s="69">
        <v>8.3194400000000004E-5</v>
      </c>
      <c r="EM42" s="69">
        <v>8.1788100000000004E-5</v>
      </c>
      <c r="EN42" s="69">
        <v>8.0405499999999994E-5</v>
      </c>
      <c r="EO42" s="69">
        <v>7.9046299999999996E-5</v>
      </c>
      <c r="EP42" s="69">
        <v>7.7710100000000007E-5</v>
      </c>
      <c r="EQ42" s="69">
        <v>7.6396400000000006E-5</v>
      </c>
      <c r="ER42" s="69">
        <v>7.5104999999999993E-5</v>
      </c>
      <c r="ES42" s="69">
        <v>7.3835400000000001E-5</v>
      </c>
      <c r="ET42" s="69">
        <v>7.2587200000000002E-5</v>
      </c>
      <c r="EU42" s="69">
        <v>7.1360199999999995E-5</v>
      </c>
      <c r="EV42" s="69">
        <v>7.0153899999999999E-5</v>
      </c>
      <c r="EW42" s="69">
        <v>6.8967900000000001E-5</v>
      </c>
      <c r="EX42" s="69">
        <v>6.7802100000000006E-5</v>
      </c>
      <c r="EY42" s="69">
        <v>6.66559E-5</v>
      </c>
      <c r="EZ42" s="69">
        <v>6.5529099999999996E-5</v>
      </c>
      <c r="FA42" s="69">
        <v>6.44214E-5</v>
      </c>
      <c r="FB42" s="69">
        <v>6.3332399999999997E-5</v>
      </c>
      <c r="FC42" s="69">
        <v>6.2261700000000001E-5</v>
      </c>
      <c r="FD42" s="69">
        <v>6.1209200000000003E-5</v>
      </c>
      <c r="FE42" s="69">
        <v>6.0174499999999998E-5</v>
      </c>
      <c r="FF42" s="69">
        <v>5.9157299999999997E-5</v>
      </c>
      <c r="FG42" s="69">
        <v>5.8157199999999999E-5</v>
      </c>
      <c r="FH42" s="69">
        <v>5.7174099999999999E-5</v>
      </c>
      <c r="FI42" s="69">
        <v>5.62076E-5</v>
      </c>
      <c r="FJ42" s="69">
        <v>5.5257399999999997E-5</v>
      </c>
      <c r="FK42" s="69">
        <v>5.4323300000000002E-5</v>
      </c>
      <c r="FL42" s="69">
        <v>5.3405000000000001E-5</v>
      </c>
      <c r="FM42" s="69">
        <v>5.25022E-5</v>
      </c>
      <c r="FN42" s="69">
        <v>5.1614699999999999E-5</v>
      </c>
      <c r="FO42" s="69">
        <v>5.0742100000000003E-5</v>
      </c>
      <c r="FP42" s="69">
        <v>4.9884299999999999E-5</v>
      </c>
      <c r="FQ42" s="69">
        <v>4.90411E-5</v>
      </c>
    </row>
    <row r="43" spans="1:173" x14ac:dyDescent="0.25">
      <c r="A43" s="71">
        <v>41</v>
      </c>
      <c r="B43" s="69">
        <v>9.5293099999999996E-4</v>
      </c>
      <c r="C43" s="69">
        <v>9.3912719999999996E-4</v>
      </c>
      <c r="D43" s="69">
        <v>9.2536479999999997E-4</v>
      </c>
      <c r="E43" s="69">
        <v>9.1165810000000001E-4</v>
      </c>
      <c r="F43" s="69">
        <v>8.9801989999999999E-4</v>
      </c>
      <c r="G43" s="69">
        <v>8.8446209999999996E-4</v>
      </c>
      <c r="H43" s="69">
        <v>8.7099499999999995E-4</v>
      </c>
      <c r="I43" s="69">
        <v>8.5762809999999996E-4</v>
      </c>
      <c r="J43" s="69">
        <v>8.4436989999999996E-4</v>
      </c>
      <c r="K43" s="69">
        <v>8.3122779999999998E-4</v>
      </c>
      <c r="L43" s="69">
        <v>8.1820860000000005E-4</v>
      </c>
      <c r="M43" s="69">
        <v>8.0531820000000003E-4</v>
      </c>
      <c r="N43" s="69">
        <v>7.9256170000000003E-4</v>
      </c>
      <c r="O43" s="69">
        <v>7.7994360000000005E-4</v>
      </c>
      <c r="P43" s="69">
        <v>7.6746799999999999E-4</v>
      </c>
      <c r="Q43" s="69">
        <v>7.5513809999999996E-4</v>
      </c>
      <c r="R43" s="69">
        <v>7.4295679999999997E-4</v>
      </c>
      <c r="S43" s="69">
        <v>7.3092649999999997E-4</v>
      </c>
      <c r="T43" s="69">
        <v>7.1904909999999996E-4</v>
      </c>
      <c r="U43" s="69">
        <v>7.0732629999999998E-4</v>
      </c>
      <c r="V43" s="69">
        <v>6.9575919999999996E-4</v>
      </c>
      <c r="W43" s="69">
        <v>6.8434870000000001E-4</v>
      </c>
      <c r="X43" s="69">
        <v>6.7309550000000003E-4</v>
      </c>
      <c r="Y43" s="69">
        <v>6.6199979999999998E-4</v>
      </c>
      <c r="Z43" s="69">
        <v>6.510617E-4</v>
      </c>
      <c r="AA43" s="69">
        <v>6.4028119999999999E-4</v>
      </c>
      <c r="AB43" s="69">
        <v>6.2965769999999996E-4</v>
      </c>
      <c r="AC43" s="69">
        <v>6.1919090000000002E-4</v>
      </c>
      <c r="AD43" s="69">
        <v>6.0888000000000001E-4</v>
      </c>
      <c r="AE43" s="69">
        <v>5.9872419999999998E-4</v>
      </c>
      <c r="AF43" s="69">
        <v>5.8872259999999995E-4</v>
      </c>
      <c r="AG43" s="69">
        <v>5.7887399999999995E-4</v>
      </c>
      <c r="AH43" s="69">
        <v>5.6917730000000002E-4</v>
      </c>
      <c r="AI43" s="69">
        <v>5.5963110000000003E-4</v>
      </c>
      <c r="AJ43" s="69">
        <v>5.5023419999999999E-4</v>
      </c>
      <c r="AK43" s="69">
        <v>5.4098500000000001E-4</v>
      </c>
      <c r="AL43" s="69">
        <v>5.3188210000000005E-4</v>
      </c>
      <c r="AM43" s="69">
        <v>5.2292400000000002E-4</v>
      </c>
      <c r="AN43" s="69">
        <v>5.1410889999999997E-4</v>
      </c>
      <c r="AO43" s="69">
        <v>5.0543530000000004E-4</v>
      </c>
      <c r="AP43" s="69">
        <v>4.9690140000000003E-4</v>
      </c>
      <c r="AQ43" s="69">
        <v>4.8850559999999996E-4</v>
      </c>
      <c r="AR43" s="69">
        <v>4.8024610000000002E-4</v>
      </c>
      <c r="AS43" s="69">
        <v>4.721212E-4</v>
      </c>
      <c r="AT43" s="69">
        <v>4.6412899999999997E-4</v>
      </c>
      <c r="AU43" s="69">
        <v>4.562678E-4</v>
      </c>
      <c r="AV43" s="69">
        <v>4.4853580000000002E-4</v>
      </c>
      <c r="AW43" s="69">
        <v>4.409312E-4</v>
      </c>
      <c r="AX43" s="69">
        <v>4.3345219999999998E-4</v>
      </c>
      <c r="AY43" s="69">
        <v>4.2609689999999998E-4</v>
      </c>
      <c r="AZ43" s="69">
        <v>4.1886370000000003E-4</v>
      </c>
      <c r="BA43" s="69">
        <v>4.1175059999999999E-4</v>
      </c>
      <c r="BB43" s="69">
        <v>4.0475590000000001E-4</v>
      </c>
      <c r="BC43" s="69">
        <v>3.9787790000000002E-4</v>
      </c>
      <c r="BD43" s="69">
        <v>3.9111469999999999E-4</v>
      </c>
      <c r="BE43" s="69">
        <v>3.8446459999999998E-4</v>
      </c>
      <c r="BF43" s="69">
        <v>3.7792590000000002E-4</v>
      </c>
      <c r="BG43" s="69">
        <v>3.7149680000000002E-4</v>
      </c>
      <c r="BH43" s="69">
        <v>3.6517569999999999E-4</v>
      </c>
      <c r="BI43" s="69">
        <v>3.5896069999999999E-4</v>
      </c>
      <c r="BJ43" s="69">
        <v>3.5285040000000001E-4</v>
      </c>
      <c r="BK43" s="69">
        <v>3.4684290000000002E-4</v>
      </c>
      <c r="BL43" s="69">
        <v>3.409366E-4</v>
      </c>
      <c r="BM43" s="69">
        <v>3.3513E-4</v>
      </c>
      <c r="BN43" s="69">
        <v>3.2942140000000002E-4</v>
      </c>
      <c r="BO43" s="69">
        <v>3.2380929999999998E-4</v>
      </c>
      <c r="BP43" s="69">
        <v>3.1829200000000002E-4</v>
      </c>
      <c r="BQ43" s="69">
        <v>3.1286809999999998E-4</v>
      </c>
      <c r="BR43" s="69">
        <v>3.0753589999999998E-4</v>
      </c>
      <c r="BS43" s="69">
        <v>3.0229410000000002E-4</v>
      </c>
      <c r="BT43" s="69">
        <v>2.9714109999999999E-4</v>
      </c>
      <c r="BU43" s="69">
        <v>2.9207540000000001E-4</v>
      </c>
      <c r="BV43" s="69">
        <v>2.8709569999999998E-4</v>
      </c>
      <c r="BW43" s="69">
        <v>2.822004E-4</v>
      </c>
      <c r="BX43" s="69">
        <v>2.7738820000000001E-4</v>
      </c>
      <c r="BY43" s="69">
        <v>2.7265779999999999E-4</v>
      </c>
      <c r="BZ43" s="69">
        <v>2.680076E-4</v>
      </c>
      <c r="CA43" s="69">
        <v>2.6343649999999998E-4</v>
      </c>
      <c r="CB43" s="69">
        <v>2.5894310000000001E-4</v>
      </c>
      <c r="CC43" s="69">
        <v>2.5452610000000002E-4</v>
      </c>
      <c r="CD43" s="69">
        <v>2.5018419999999999E-4</v>
      </c>
      <c r="CE43" s="69">
        <v>2.4591620000000001E-4</v>
      </c>
      <c r="CF43" s="69">
        <v>2.4172080000000001E-4</v>
      </c>
      <c r="CG43" s="69">
        <v>2.3759669999999999E-4</v>
      </c>
      <c r="CH43" s="69">
        <v>2.335429E-4</v>
      </c>
      <c r="CI43" s="69">
        <v>2.2955809999999999E-4</v>
      </c>
      <c r="CJ43" s="69">
        <v>2.2564110000000001E-4</v>
      </c>
      <c r="CK43" s="69">
        <v>2.217908E-4</v>
      </c>
      <c r="CL43" s="69">
        <v>2.1800610000000001E-4</v>
      </c>
      <c r="CM43" s="69">
        <v>2.1428589999999999E-4</v>
      </c>
      <c r="CN43" s="69">
        <v>2.106291E-4</v>
      </c>
      <c r="CO43" s="69">
        <v>2.070346E-4</v>
      </c>
      <c r="CP43" s="69">
        <v>2.035013E-4</v>
      </c>
      <c r="CQ43" s="69">
        <v>2.0002830000000001E-4</v>
      </c>
      <c r="CR43" s="69">
        <v>1.9661440000000001E-4</v>
      </c>
      <c r="CS43" s="69">
        <v>1.932588E-4</v>
      </c>
      <c r="CT43" s="69">
        <v>1.899604E-4</v>
      </c>
      <c r="CU43" s="69">
        <v>1.8671820000000001E-4</v>
      </c>
      <c r="CV43" s="69">
        <v>1.8353130000000001E-4</v>
      </c>
      <c r="CW43" s="69">
        <v>1.8039870000000001E-4</v>
      </c>
      <c r="CX43" s="69">
        <v>1.7731950000000001E-4</v>
      </c>
      <c r="CY43" s="69">
        <v>1.742929E-4</v>
      </c>
      <c r="CZ43" s="69">
        <v>1.7131789999999999E-4</v>
      </c>
      <c r="DA43" s="69">
        <v>1.6839360000000001E-4</v>
      </c>
      <c r="DB43" s="69">
        <v>1.655192E-4</v>
      </c>
      <c r="DC43" s="69">
        <v>1.626939E-4</v>
      </c>
      <c r="DD43" s="69">
        <v>1.5991670000000001E-4</v>
      </c>
      <c r="DE43" s="69">
        <v>1.5718700000000001E-4</v>
      </c>
      <c r="DF43" s="69">
        <v>1.5450380000000001E-4</v>
      </c>
      <c r="DG43" s="69">
        <v>1.5186639999999999E-4</v>
      </c>
      <c r="DH43" s="69">
        <v>1.4927389999999999E-4</v>
      </c>
      <c r="DI43" s="69">
        <v>1.467258E-4</v>
      </c>
      <c r="DJ43" s="69">
        <v>1.4422109999999999E-4</v>
      </c>
      <c r="DK43" s="69">
        <v>1.4175909999999999E-4</v>
      </c>
      <c r="DL43" s="69">
        <v>1.393392E-4</v>
      </c>
      <c r="DM43" s="69">
        <v>1.369605E-4</v>
      </c>
      <c r="DN43" s="69">
        <v>1.3462239999999999E-4</v>
      </c>
      <c r="DO43" s="69">
        <v>1.3232430000000001E-4</v>
      </c>
      <c r="DP43" s="69">
        <v>1.300653E-4</v>
      </c>
      <c r="DQ43" s="69">
        <v>1.2784499999999999E-4</v>
      </c>
      <c r="DR43" s="69">
        <v>1.256625E-4</v>
      </c>
      <c r="DS43" s="69">
        <v>1.235172E-4</v>
      </c>
      <c r="DT43" s="69">
        <v>1.214086E-4</v>
      </c>
      <c r="DU43" s="69">
        <v>1.19336E-4</v>
      </c>
      <c r="DV43" s="69">
        <v>1.172987E-4</v>
      </c>
      <c r="DW43" s="69">
        <v>1.152962E-4</v>
      </c>
      <c r="DX43" s="69">
        <v>1.133279E-4</v>
      </c>
      <c r="DY43" s="69">
        <v>1.113932E-4</v>
      </c>
      <c r="DZ43" s="69">
        <v>1.0949149999999999E-4</v>
      </c>
      <c r="EA43" s="69">
        <v>1.076223E-4</v>
      </c>
      <c r="EB43" s="69">
        <v>1.057849E-4</v>
      </c>
      <c r="EC43" s="69">
        <v>1.03979E-4</v>
      </c>
      <c r="ED43" s="69">
        <v>1.022038E-4</v>
      </c>
      <c r="EE43" s="69">
        <v>1.0045899999999999E-4</v>
      </c>
      <c r="EF43" s="69">
        <v>9.8744000000000002E-5</v>
      </c>
      <c r="EG43" s="69">
        <v>9.7058200000000005E-5</v>
      </c>
      <c r="EH43" s="69">
        <v>9.5401200000000004E-5</v>
      </c>
      <c r="EI43" s="69">
        <v>9.3772500000000004E-5</v>
      </c>
      <c r="EJ43" s="69">
        <v>9.2171599999999997E-5</v>
      </c>
      <c r="EK43" s="69">
        <v>9.0598000000000002E-5</v>
      </c>
      <c r="EL43" s="69">
        <v>8.9051300000000006E-5</v>
      </c>
      <c r="EM43" s="69">
        <v>8.7530999999999999E-5</v>
      </c>
      <c r="EN43" s="69">
        <v>8.6036600000000002E-5</v>
      </c>
      <c r="EO43" s="69">
        <v>8.4567799999999994E-5</v>
      </c>
      <c r="EP43" s="69">
        <v>8.3123999999999999E-5</v>
      </c>
      <c r="EQ43" s="69">
        <v>8.1704899999999998E-5</v>
      </c>
      <c r="ER43" s="69">
        <v>8.0309999999999995E-5</v>
      </c>
      <c r="ES43" s="69">
        <v>7.8938900000000004E-5</v>
      </c>
      <c r="ET43" s="69">
        <v>7.7591199999999997E-5</v>
      </c>
      <c r="EU43" s="69">
        <v>7.6266499999999999E-5</v>
      </c>
      <c r="EV43" s="69">
        <v>7.4964399999999997E-5</v>
      </c>
      <c r="EW43" s="69">
        <v>7.3684599999999996E-5</v>
      </c>
      <c r="EX43" s="69">
        <v>7.2426600000000002E-5</v>
      </c>
      <c r="EY43" s="69">
        <v>7.1190099999999995E-5</v>
      </c>
      <c r="EZ43" s="69">
        <v>6.9974699999999999E-5</v>
      </c>
      <c r="FA43" s="69">
        <v>6.8780099999999996E-5</v>
      </c>
      <c r="FB43" s="69">
        <v>6.7605800000000002E-5</v>
      </c>
      <c r="FC43" s="69">
        <v>6.6451600000000006E-5</v>
      </c>
      <c r="FD43" s="69">
        <v>6.5317100000000005E-5</v>
      </c>
      <c r="FE43" s="69">
        <v>6.4201899999999999E-5</v>
      </c>
      <c r="FF43" s="69">
        <v>6.3105800000000001E-5</v>
      </c>
      <c r="FG43" s="69">
        <v>6.2028500000000004E-5</v>
      </c>
      <c r="FH43" s="69">
        <v>6.09695E-5</v>
      </c>
      <c r="FI43" s="69">
        <v>5.9928500000000001E-5</v>
      </c>
      <c r="FJ43" s="69">
        <v>5.89054E-5</v>
      </c>
      <c r="FK43" s="69">
        <v>5.7899699999999997E-5</v>
      </c>
      <c r="FL43" s="69">
        <v>5.6911199999999998E-5</v>
      </c>
      <c r="FM43" s="69">
        <v>5.5939600000000002E-5</v>
      </c>
      <c r="FN43" s="69">
        <v>5.4984500000000002E-5</v>
      </c>
      <c r="FO43" s="69">
        <v>5.4045799999999997E-5</v>
      </c>
      <c r="FP43" s="69">
        <v>5.31231E-5</v>
      </c>
      <c r="FQ43" s="69">
        <v>5.2216100000000003E-5</v>
      </c>
    </row>
    <row r="44" spans="1:173" x14ac:dyDescent="0.25">
      <c r="A44" s="71">
        <v>42</v>
      </c>
      <c r="B44" s="69">
        <v>1.0457704E-3</v>
      </c>
      <c r="C44" s="69">
        <v>1.0318771999999999E-3</v>
      </c>
      <c r="D44" s="69">
        <v>1.0178877999999999E-3</v>
      </c>
      <c r="E44" s="69">
        <v>1.0038289999999999E-3</v>
      </c>
      <c r="F44" s="69">
        <v>9.8972569999999991E-4</v>
      </c>
      <c r="G44" s="69">
        <v>9.7560069999999999E-4</v>
      </c>
      <c r="H44" s="69">
        <v>9.6147470000000005E-4</v>
      </c>
      <c r="I44" s="69">
        <v>9.4736669999999996E-4</v>
      </c>
      <c r="J44" s="69">
        <v>9.3329389999999995E-4</v>
      </c>
      <c r="K44" s="69">
        <v>9.1927199999999995E-4</v>
      </c>
      <c r="L44" s="69">
        <v>9.0531520000000003E-4</v>
      </c>
      <c r="M44" s="69">
        <v>8.914363E-4</v>
      </c>
      <c r="N44" s="69">
        <v>8.7764679999999999E-4</v>
      </c>
      <c r="O44" s="69">
        <v>8.6395720000000001E-4</v>
      </c>
      <c r="P44" s="69">
        <v>8.5037670000000004E-4</v>
      </c>
      <c r="Q44" s="69">
        <v>8.3691359999999999E-4</v>
      </c>
      <c r="R44" s="69">
        <v>8.2357540000000003E-4</v>
      </c>
      <c r="S44" s="69">
        <v>8.1036840000000003E-4</v>
      </c>
      <c r="T44" s="69">
        <v>7.9729859999999998E-4</v>
      </c>
      <c r="U44" s="69">
        <v>7.843708E-4</v>
      </c>
      <c r="V44" s="69">
        <v>7.7158939999999996E-4</v>
      </c>
      <c r="W44" s="69">
        <v>7.589583E-4</v>
      </c>
      <c r="X44" s="69">
        <v>7.4648049999999995E-4</v>
      </c>
      <c r="Y44" s="69">
        <v>7.3415869999999997E-4</v>
      </c>
      <c r="Z44" s="69">
        <v>7.2199519999999998E-4</v>
      </c>
      <c r="AA44" s="69">
        <v>7.0999170000000001E-4</v>
      </c>
      <c r="AB44" s="69">
        <v>6.981496E-4</v>
      </c>
      <c r="AC44" s="69">
        <v>6.8647000000000001E-4</v>
      </c>
      <c r="AD44" s="69">
        <v>6.7495360000000004E-4</v>
      </c>
      <c r="AE44" s="69">
        <v>6.636007E-4</v>
      </c>
      <c r="AF44" s="69">
        <v>6.5241159999999997E-4</v>
      </c>
      <c r="AG44" s="69">
        <v>6.4138620000000004E-4</v>
      </c>
      <c r="AH44" s="69">
        <v>6.3052409999999996E-4</v>
      </c>
      <c r="AI44" s="69">
        <v>6.198248E-4</v>
      </c>
      <c r="AJ44" s="69">
        <v>6.0928770000000004E-4</v>
      </c>
      <c r="AK44" s="69">
        <v>5.9891179999999999E-4</v>
      </c>
      <c r="AL44" s="69">
        <v>5.8869629999999998E-4</v>
      </c>
      <c r="AM44" s="69">
        <v>5.7863999999999995E-4</v>
      </c>
      <c r="AN44" s="69">
        <v>5.6874159999999998E-4</v>
      </c>
      <c r="AO44" s="69">
        <v>5.5899979999999997E-4</v>
      </c>
      <c r="AP44" s="69">
        <v>5.4941319999999997E-4</v>
      </c>
      <c r="AQ44" s="69">
        <v>5.3998030000000001E-4</v>
      </c>
      <c r="AR44" s="69">
        <v>5.3069939999999996E-4</v>
      </c>
      <c r="AS44" s="69">
        <v>5.2156900000000005E-4</v>
      </c>
      <c r="AT44" s="69">
        <v>5.1258740000000003E-4</v>
      </c>
      <c r="AU44" s="69">
        <v>5.0375280000000005E-4</v>
      </c>
      <c r="AV44" s="69">
        <v>4.9506340000000004E-4</v>
      </c>
      <c r="AW44" s="69">
        <v>4.8651750000000001E-4</v>
      </c>
      <c r="AX44" s="69">
        <v>4.7811309999999999E-4</v>
      </c>
      <c r="AY44" s="69">
        <v>4.6984849999999999E-4</v>
      </c>
      <c r="AZ44" s="69">
        <v>4.6172169999999997E-4</v>
      </c>
      <c r="BA44" s="69">
        <v>4.5373089999999999E-4</v>
      </c>
      <c r="BB44" s="69">
        <v>4.4587419999999998E-4</v>
      </c>
      <c r="BC44" s="69">
        <v>4.3814960000000002E-4</v>
      </c>
      <c r="BD44" s="69">
        <v>4.3055520000000001E-4</v>
      </c>
      <c r="BE44" s="69">
        <v>4.2308919999999999E-4</v>
      </c>
      <c r="BF44" s="69">
        <v>4.157497E-4</v>
      </c>
      <c r="BG44" s="69">
        <v>4.0853470000000002E-4</v>
      </c>
      <c r="BH44" s="69">
        <v>4.0144239999999998E-4</v>
      </c>
      <c r="BI44" s="69">
        <v>3.9447089999999999E-4</v>
      </c>
      <c r="BJ44" s="69">
        <v>3.876183E-4</v>
      </c>
      <c r="BK44" s="69">
        <v>3.808827E-4</v>
      </c>
      <c r="BL44" s="69">
        <v>3.7426240000000002E-4</v>
      </c>
      <c r="BM44" s="69">
        <v>3.677555E-4</v>
      </c>
      <c r="BN44" s="69">
        <v>3.6136019999999998E-4</v>
      </c>
      <c r="BO44" s="69">
        <v>3.5507460000000002E-4</v>
      </c>
      <c r="BP44" s="69">
        <v>3.4889719999999999E-4</v>
      </c>
      <c r="BQ44" s="69">
        <v>3.4282600000000001E-4</v>
      </c>
      <c r="BR44" s="69">
        <v>3.368593E-4</v>
      </c>
      <c r="BS44" s="69">
        <v>3.3099550000000001E-4</v>
      </c>
      <c r="BT44" s="69">
        <v>3.2523289999999999E-4</v>
      </c>
      <c r="BU44" s="69">
        <v>3.1956969999999998E-4</v>
      </c>
      <c r="BV44" s="69">
        <v>3.1400429999999999E-4</v>
      </c>
      <c r="BW44" s="69">
        <v>3.0853519999999999E-4</v>
      </c>
      <c r="BX44" s="69">
        <v>3.0316060000000001E-4</v>
      </c>
      <c r="BY44" s="69">
        <v>2.9787910000000001E-4</v>
      </c>
      <c r="BZ44" s="69">
        <v>2.92689E-4</v>
      </c>
      <c r="CA44" s="69">
        <v>2.8758890000000001E-4</v>
      </c>
      <c r="CB44" s="69">
        <v>2.8257709999999998E-4</v>
      </c>
      <c r="CC44" s="69">
        <v>2.7765230000000003E-4</v>
      </c>
      <c r="CD44" s="69">
        <v>2.7281279999999999E-4</v>
      </c>
      <c r="CE44" s="69">
        <v>2.6805740000000001E-4</v>
      </c>
      <c r="CF44" s="69">
        <v>2.6338449999999998E-4</v>
      </c>
      <c r="CG44" s="69">
        <v>2.5879279999999999E-4</v>
      </c>
      <c r="CH44" s="69">
        <v>2.5428080000000001E-4</v>
      </c>
      <c r="CI44" s="69">
        <v>2.498472E-4</v>
      </c>
      <c r="CJ44" s="69">
        <v>2.4549069999999998E-4</v>
      </c>
      <c r="CK44" s="69">
        <v>2.412099E-4</v>
      </c>
      <c r="CL44" s="69">
        <v>2.370036E-4</v>
      </c>
      <c r="CM44" s="69">
        <v>2.3287049999999999E-4</v>
      </c>
      <c r="CN44" s="69">
        <v>2.288092E-4</v>
      </c>
      <c r="CO44" s="69">
        <v>2.2481859999999999E-4</v>
      </c>
      <c r="CP44" s="69">
        <v>2.2089749999999999E-4</v>
      </c>
      <c r="CQ44" s="69">
        <v>2.1704459999999999E-4</v>
      </c>
      <c r="CR44" s="69">
        <v>2.132588E-4</v>
      </c>
      <c r="CS44" s="69">
        <v>2.0953890000000001E-4</v>
      </c>
      <c r="CT44" s="69">
        <v>2.058838E-4</v>
      </c>
      <c r="CU44" s="69">
        <v>2.0229229999999999E-4</v>
      </c>
      <c r="CV44" s="69">
        <v>1.987634E-4</v>
      </c>
      <c r="CW44" s="69">
        <v>1.9529599999999999E-4</v>
      </c>
      <c r="CX44" s="69">
        <v>1.9188899999999999E-4</v>
      </c>
      <c r="CY44" s="69">
        <v>1.885414E-4</v>
      </c>
      <c r="CZ44" s="69">
        <v>1.8525209999999999E-4</v>
      </c>
      <c r="DA44" s="69">
        <v>1.820201E-4</v>
      </c>
      <c r="DB44" s="69">
        <v>1.7884450000000001E-4</v>
      </c>
      <c r="DC44" s="69">
        <v>1.757242E-4</v>
      </c>
      <c r="DD44" s="69">
        <v>1.7265830000000001E-4</v>
      </c>
      <c r="DE44" s="69">
        <v>1.6964589999999999E-4</v>
      </c>
      <c r="DF44" s="69">
        <v>1.666859E-4</v>
      </c>
      <c r="DG44" s="69">
        <v>1.637776E-4</v>
      </c>
      <c r="DH44" s="69">
        <v>1.6092E-4</v>
      </c>
      <c r="DI44" s="69">
        <v>1.5811220000000001E-4</v>
      </c>
      <c r="DJ44" s="69">
        <v>1.553534E-4</v>
      </c>
      <c r="DK44" s="69">
        <v>1.526427E-4</v>
      </c>
      <c r="DL44" s="69">
        <v>1.499792E-4</v>
      </c>
      <c r="DM44" s="69">
        <v>1.473623E-4</v>
      </c>
      <c r="DN44" s="69">
        <v>1.4479090000000001E-4</v>
      </c>
      <c r="DO44" s="69">
        <v>1.4226439999999999E-4</v>
      </c>
      <c r="DP44" s="69">
        <v>1.39782E-4</v>
      </c>
      <c r="DQ44" s="69">
        <v>1.373429E-4</v>
      </c>
      <c r="DR44" s="69">
        <v>1.3494630000000001E-4</v>
      </c>
      <c r="DS44" s="69">
        <v>1.325915E-4</v>
      </c>
      <c r="DT44" s="69">
        <v>1.3027779999999999E-4</v>
      </c>
      <c r="DU44" s="69">
        <v>1.2800450000000001E-4</v>
      </c>
      <c r="DV44" s="69">
        <v>1.2577080000000001E-4</v>
      </c>
      <c r="DW44" s="69">
        <v>1.235761E-4</v>
      </c>
      <c r="DX44" s="69">
        <v>1.214196E-4</v>
      </c>
      <c r="DY44" s="69">
        <v>1.193008E-4</v>
      </c>
      <c r="DZ44" s="69">
        <v>1.17219E-4</v>
      </c>
      <c r="EA44" s="69">
        <v>1.151735E-4</v>
      </c>
      <c r="EB44" s="69">
        <v>1.131636E-4</v>
      </c>
      <c r="EC44" s="69">
        <v>1.111889E-4</v>
      </c>
      <c r="ED44" s="69">
        <v>1.092486E-4</v>
      </c>
      <c r="EE44" s="69">
        <v>1.073421E-4</v>
      </c>
      <c r="EF44" s="69">
        <v>1.054689E-4</v>
      </c>
      <c r="EG44" s="69">
        <v>1.0362840000000001E-4</v>
      </c>
      <c r="EH44" s="69">
        <v>1.0182E-4</v>
      </c>
      <c r="EI44" s="69">
        <v>1.000431E-4</v>
      </c>
      <c r="EJ44" s="69">
        <v>9.8297300000000005E-5</v>
      </c>
      <c r="EK44" s="69">
        <v>9.6581899999999998E-5</v>
      </c>
      <c r="EL44" s="69">
        <v>9.4896500000000002E-5</v>
      </c>
      <c r="EM44" s="69">
        <v>9.3240399999999996E-5</v>
      </c>
      <c r="EN44" s="69">
        <v>9.1613299999999999E-5</v>
      </c>
      <c r="EO44" s="69">
        <v>9.0014500000000004E-5</v>
      </c>
      <c r="EP44" s="69">
        <v>8.8443700000000002E-5</v>
      </c>
      <c r="EQ44" s="69">
        <v>8.6900199999999999E-5</v>
      </c>
      <c r="ER44" s="69">
        <v>8.53837E-5</v>
      </c>
      <c r="ES44" s="69">
        <v>8.3893699999999999E-5</v>
      </c>
      <c r="ET44" s="69">
        <v>8.2429599999999994E-5</v>
      </c>
      <c r="EU44" s="69">
        <v>8.0991100000000005E-5</v>
      </c>
      <c r="EV44" s="69">
        <v>7.9577699999999995E-5</v>
      </c>
      <c r="EW44" s="69">
        <v>7.8189000000000006E-5</v>
      </c>
      <c r="EX44" s="69">
        <v>7.6824500000000003E-5</v>
      </c>
      <c r="EY44" s="69">
        <v>7.5483799999999997E-5</v>
      </c>
      <c r="EZ44" s="69">
        <v>7.4166500000000002E-5</v>
      </c>
      <c r="FA44" s="69">
        <v>7.2872200000000003E-5</v>
      </c>
      <c r="FB44" s="69">
        <v>7.16005E-5</v>
      </c>
      <c r="FC44" s="69">
        <v>7.0350899999999998E-5</v>
      </c>
      <c r="FD44" s="69">
        <v>6.9123199999999996E-5</v>
      </c>
      <c r="FE44" s="69">
        <v>6.79169E-5</v>
      </c>
      <c r="FF44" s="69">
        <v>6.6731700000000003E-5</v>
      </c>
      <c r="FG44" s="69">
        <v>6.5567099999999998E-5</v>
      </c>
      <c r="FH44" s="69">
        <v>6.4422899999999996E-5</v>
      </c>
      <c r="FI44" s="69">
        <v>6.3298600000000004E-5</v>
      </c>
      <c r="FJ44" s="69">
        <v>6.2193900000000001E-5</v>
      </c>
      <c r="FK44" s="69">
        <v>6.1108500000000006E-5</v>
      </c>
      <c r="FL44" s="69">
        <v>6.0042099999999999E-5</v>
      </c>
      <c r="FM44" s="69">
        <v>5.8994299999999999E-5</v>
      </c>
      <c r="FN44" s="69">
        <v>5.7964699999999997E-5</v>
      </c>
      <c r="FO44" s="69">
        <v>5.6953100000000002E-5</v>
      </c>
      <c r="FP44" s="69">
        <v>5.5959199999999998E-5</v>
      </c>
      <c r="FQ44" s="69">
        <v>5.4982599999999998E-5</v>
      </c>
    </row>
    <row r="45" spans="1:173" x14ac:dyDescent="0.25">
      <c r="A45" s="71">
        <v>43</v>
      </c>
      <c r="B45" s="69">
        <v>1.1510168E-3</v>
      </c>
      <c r="C45" s="69">
        <v>1.1364467E-3</v>
      </c>
      <c r="D45" s="69">
        <v>1.1217073000000001E-3</v>
      </c>
      <c r="E45" s="69">
        <v>1.1068326000000001E-3</v>
      </c>
      <c r="F45" s="69">
        <v>1.0918541E-3</v>
      </c>
      <c r="G45" s="69">
        <v>1.0768010000000001E-3</v>
      </c>
      <c r="H45" s="69">
        <v>1.0616997E-3</v>
      </c>
      <c r="I45" s="69">
        <v>1.0465747E-3</v>
      </c>
      <c r="J45" s="69">
        <v>1.0314479999999999E-3</v>
      </c>
      <c r="K45" s="69">
        <v>1.0163402E-3</v>
      </c>
      <c r="L45" s="69">
        <v>1.0012695999999999E-3</v>
      </c>
      <c r="M45" s="69">
        <v>9.8625290000000005E-4</v>
      </c>
      <c r="N45" s="69">
        <v>9.7130549999999995E-4</v>
      </c>
      <c r="O45" s="69">
        <v>9.5644109999999997E-4</v>
      </c>
      <c r="P45" s="69">
        <v>9.4167199999999995E-4</v>
      </c>
      <c r="Q45" s="69">
        <v>9.2700930000000001E-4</v>
      </c>
      <c r="R45" s="69">
        <v>9.124631E-4</v>
      </c>
      <c r="S45" s="69">
        <v>8.9804220000000001E-4</v>
      </c>
      <c r="T45" s="69">
        <v>8.8375460000000004E-4</v>
      </c>
      <c r="U45" s="69">
        <v>8.6960719999999996E-4</v>
      </c>
      <c r="V45" s="69">
        <v>8.5560620000000003E-4</v>
      </c>
      <c r="W45" s="69">
        <v>8.4175690000000002E-4</v>
      </c>
      <c r="X45" s="69">
        <v>8.2806410000000003E-4</v>
      </c>
      <c r="Y45" s="69">
        <v>8.1453180000000001E-4</v>
      </c>
      <c r="Z45" s="69">
        <v>8.0116330000000002E-4</v>
      </c>
      <c r="AA45" s="69">
        <v>7.8796170000000002E-4</v>
      </c>
      <c r="AB45" s="69">
        <v>7.7492909999999997E-4</v>
      </c>
      <c r="AC45" s="69">
        <v>7.6206769999999997E-4</v>
      </c>
      <c r="AD45" s="69">
        <v>7.4937880000000004E-4</v>
      </c>
      <c r="AE45" s="69">
        <v>7.3686360000000002E-4</v>
      </c>
      <c r="AF45" s="69">
        <v>7.2452289999999999E-4</v>
      </c>
      <c r="AG45" s="69">
        <v>7.1235709999999998E-4</v>
      </c>
      <c r="AH45" s="69">
        <v>7.0036640000000004E-4</v>
      </c>
      <c r="AI45" s="69">
        <v>6.8855070000000003E-4</v>
      </c>
      <c r="AJ45" s="69">
        <v>6.7690969999999997E-4</v>
      </c>
      <c r="AK45" s="69">
        <v>6.6544290000000001E-4</v>
      </c>
      <c r="AL45" s="69">
        <v>6.5414949999999998E-4</v>
      </c>
      <c r="AM45" s="69">
        <v>6.4302860000000001E-4</v>
      </c>
      <c r="AN45" s="69">
        <v>6.3207919999999998E-4</v>
      </c>
      <c r="AO45" s="69">
        <v>6.2130020000000005E-4</v>
      </c>
      <c r="AP45" s="69">
        <v>6.1069E-4</v>
      </c>
      <c r="AQ45" s="69">
        <v>6.002475E-4</v>
      </c>
      <c r="AR45" s="69">
        <v>5.8997100000000001E-4</v>
      </c>
      <c r="AS45" s="69">
        <v>5.7985890000000003E-4</v>
      </c>
      <c r="AT45" s="69">
        <v>5.6990950000000002E-4</v>
      </c>
      <c r="AU45" s="69">
        <v>5.6012110000000005E-4</v>
      </c>
      <c r="AV45" s="69">
        <v>5.5049199999999997E-4</v>
      </c>
      <c r="AW45" s="69">
        <v>5.4102009999999995E-4</v>
      </c>
      <c r="AX45" s="69">
        <v>5.3170370000000004E-4</v>
      </c>
      <c r="AY45" s="69">
        <v>5.225408E-4</v>
      </c>
      <c r="AZ45" s="69">
        <v>5.1352940000000001E-4</v>
      </c>
      <c r="BA45" s="69">
        <v>5.0466759999999997E-4</v>
      </c>
      <c r="BB45" s="69">
        <v>4.9595330000000003E-4</v>
      </c>
      <c r="BC45" s="69">
        <v>4.873845E-4</v>
      </c>
      <c r="BD45" s="69">
        <v>4.7895929999999999E-4</v>
      </c>
      <c r="BE45" s="69">
        <v>4.706755E-4</v>
      </c>
      <c r="BF45" s="69">
        <v>4.6253119999999998E-4</v>
      </c>
      <c r="BG45" s="69">
        <v>4.5452429999999998E-4</v>
      </c>
      <c r="BH45" s="69">
        <v>4.4665269999999999E-4</v>
      </c>
      <c r="BI45" s="69">
        <v>4.389145E-4</v>
      </c>
      <c r="BJ45" s="69">
        <v>4.3130760000000001E-4</v>
      </c>
      <c r="BK45" s="69">
        <v>4.2383010000000002E-4</v>
      </c>
      <c r="BL45" s="69">
        <v>4.1647979999999998E-4</v>
      </c>
      <c r="BM45" s="69">
        <v>4.0925500000000002E-4</v>
      </c>
      <c r="BN45" s="69">
        <v>4.0215349999999999E-4</v>
      </c>
      <c r="BO45" s="69">
        <v>3.9517339999999999E-4</v>
      </c>
      <c r="BP45" s="69">
        <v>3.8831290000000001E-4</v>
      </c>
      <c r="BQ45" s="69">
        <v>3.8156989999999999E-4</v>
      </c>
      <c r="BR45" s="69">
        <v>3.749426E-4</v>
      </c>
      <c r="BS45" s="69">
        <v>3.6842919999999999E-4</v>
      </c>
      <c r="BT45" s="69">
        <v>3.6202769999999998E-4</v>
      </c>
      <c r="BU45" s="69">
        <v>3.5573640000000003E-4</v>
      </c>
      <c r="BV45" s="69">
        <v>3.4955339999999998E-4</v>
      </c>
      <c r="BW45" s="69">
        <v>3.4347700000000002E-4</v>
      </c>
      <c r="BX45" s="69">
        <v>3.3750540000000002E-4</v>
      </c>
      <c r="BY45" s="69">
        <v>3.3163680000000001E-4</v>
      </c>
      <c r="BZ45" s="69">
        <v>3.2586950000000001E-4</v>
      </c>
      <c r="CA45" s="69">
        <v>3.2020189999999997E-4</v>
      </c>
      <c r="CB45" s="69">
        <v>3.1463230000000001E-4</v>
      </c>
      <c r="CC45" s="69">
        <v>3.0915899999999999E-4</v>
      </c>
      <c r="CD45" s="69">
        <v>3.0378030000000002E-4</v>
      </c>
      <c r="CE45" s="69">
        <v>2.9849480000000001E-4</v>
      </c>
      <c r="CF45" s="69">
        <v>2.9330090000000001E-4</v>
      </c>
      <c r="CG45" s="69">
        <v>2.8819689999999999E-4</v>
      </c>
      <c r="CH45" s="69">
        <v>2.831814E-4</v>
      </c>
      <c r="CI45" s="69">
        <v>2.7825279999999999E-4</v>
      </c>
      <c r="CJ45" s="69">
        <v>2.7340969999999998E-4</v>
      </c>
      <c r="CK45" s="69">
        <v>2.6865059999999999E-4</v>
      </c>
      <c r="CL45" s="69">
        <v>2.6397410000000002E-4</v>
      </c>
      <c r="CM45" s="69">
        <v>2.5937870000000002E-4</v>
      </c>
      <c r="CN45" s="69">
        <v>2.5486310000000001E-4</v>
      </c>
      <c r="CO45" s="69">
        <v>2.5042599999999999E-4</v>
      </c>
      <c r="CP45" s="69">
        <v>2.4606589999999999E-4</v>
      </c>
      <c r="CQ45" s="69">
        <v>2.417815E-4</v>
      </c>
      <c r="CR45" s="69">
        <v>2.3757159999999999E-4</v>
      </c>
      <c r="CS45" s="69">
        <v>2.334348E-4</v>
      </c>
      <c r="CT45" s="69">
        <v>2.2937000000000001E-4</v>
      </c>
      <c r="CU45" s="69">
        <v>2.2537579999999999E-4</v>
      </c>
      <c r="CV45" s="69">
        <v>2.21451E-4</v>
      </c>
      <c r="CW45" s="69">
        <v>2.175945E-4</v>
      </c>
      <c r="CX45" s="69">
        <v>2.1380499999999999E-4</v>
      </c>
      <c r="CY45" s="69">
        <v>2.1008140000000001E-4</v>
      </c>
      <c r="CZ45" s="69">
        <v>2.0642269999999999E-4</v>
      </c>
      <c r="DA45" s="69">
        <v>2.028275E-4</v>
      </c>
      <c r="DB45" s="69">
        <v>1.9929489999999999E-4</v>
      </c>
      <c r="DC45" s="69">
        <v>1.958238E-4</v>
      </c>
      <c r="DD45" s="69">
        <v>1.92413E-4</v>
      </c>
      <c r="DE45" s="69">
        <v>1.8906160000000001E-4</v>
      </c>
      <c r="DF45" s="69">
        <v>1.8576859999999999E-4</v>
      </c>
      <c r="DG45" s="69">
        <v>1.8253280000000001E-4</v>
      </c>
      <c r="DH45" s="69">
        <v>1.7935339999999999E-4</v>
      </c>
      <c r="DI45" s="69">
        <v>1.7622929999999999E-4</v>
      </c>
      <c r="DJ45" s="69">
        <v>1.7315949999999999E-4</v>
      </c>
      <c r="DK45" s="69">
        <v>1.7014330000000001E-4</v>
      </c>
      <c r="DL45" s="69">
        <v>1.671795E-4</v>
      </c>
      <c r="DM45" s="69">
        <v>1.642673E-4</v>
      </c>
      <c r="DN45" s="69">
        <v>1.6140579999999999E-4</v>
      </c>
      <c r="DO45" s="69">
        <v>1.5859420000000001E-4</v>
      </c>
      <c r="DP45" s="69">
        <v>1.558315E-4</v>
      </c>
      <c r="DQ45" s="69">
        <v>1.531169E-4</v>
      </c>
      <c r="DR45" s="69">
        <v>1.504496E-4</v>
      </c>
      <c r="DS45" s="69">
        <v>1.4782869999999999E-4</v>
      </c>
      <c r="DT45" s="69">
        <v>1.4525350000000001E-4</v>
      </c>
      <c r="DU45" s="69">
        <v>1.4272309999999999E-4</v>
      </c>
      <c r="DV45" s="69">
        <v>1.4023670000000001E-4</v>
      </c>
      <c r="DW45" s="69">
        <v>1.3779370000000001E-4</v>
      </c>
      <c r="DX45" s="69">
        <v>1.353932E-4</v>
      </c>
      <c r="DY45" s="69">
        <v>1.3303459999999999E-4</v>
      </c>
      <c r="DZ45" s="69">
        <v>1.30717E-4</v>
      </c>
      <c r="EA45" s="69">
        <v>1.2843969999999999E-4</v>
      </c>
      <c r="EB45" s="69">
        <v>1.262022E-4</v>
      </c>
      <c r="EC45" s="69">
        <v>1.2400360000000001E-4</v>
      </c>
      <c r="ED45" s="69">
        <v>1.218433E-4</v>
      </c>
      <c r="EE45" s="69">
        <v>1.197206E-4</v>
      </c>
      <c r="EF45" s="69">
        <v>1.176349E-4</v>
      </c>
      <c r="EG45" s="69">
        <v>1.1558550000000001E-4</v>
      </c>
      <c r="EH45" s="69">
        <v>1.135718E-4</v>
      </c>
      <c r="EI45" s="69">
        <v>1.115932E-4</v>
      </c>
      <c r="EJ45" s="69">
        <v>1.096491E-4</v>
      </c>
      <c r="EK45" s="69">
        <v>1.0773880000000001E-4</v>
      </c>
      <c r="EL45" s="69">
        <v>1.058618E-4</v>
      </c>
      <c r="EM45" s="69">
        <v>1.0401760000000001E-4</v>
      </c>
      <c r="EN45" s="69">
        <v>1.022054E-4</v>
      </c>
      <c r="EO45" s="69">
        <v>1.004248E-4</v>
      </c>
      <c r="EP45" s="69">
        <v>9.86752E-5</v>
      </c>
      <c r="EQ45" s="69">
        <v>9.6956100000000005E-5</v>
      </c>
      <c r="ER45" s="69">
        <v>9.5266900000000001E-5</v>
      </c>
      <c r="ES45" s="69">
        <v>9.3607200000000001E-5</v>
      </c>
      <c r="ET45" s="69">
        <v>9.1976400000000003E-5</v>
      </c>
      <c r="EU45" s="69">
        <v>9.0373900000000006E-5</v>
      </c>
      <c r="EV45" s="69">
        <v>8.8799400000000002E-5</v>
      </c>
      <c r="EW45" s="69">
        <v>8.7252399999999998E-5</v>
      </c>
      <c r="EX45" s="69">
        <v>8.5732300000000006E-5</v>
      </c>
      <c r="EY45" s="69">
        <v>8.4238600000000004E-5</v>
      </c>
      <c r="EZ45" s="69">
        <v>8.2770999999999997E-5</v>
      </c>
      <c r="FA45" s="69">
        <v>8.13289E-5</v>
      </c>
      <c r="FB45" s="69">
        <v>7.9912000000000003E-5</v>
      </c>
      <c r="FC45" s="69">
        <v>7.85198E-5</v>
      </c>
      <c r="FD45" s="69">
        <v>7.7151799999999995E-5</v>
      </c>
      <c r="FE45" s="69">
        <v>7.5807600000000002E-5</v>
      </c>
      <c r="FF45" s="69">
        <v>7.44869E-5</v>
      </c>
      <c r="FG45" s="69">
        <v>7.31891E-5</v>
      </c>
      <c r="FH45" s="69">
        <v>7.1914000000000003E-5</v>
      </c>
      <c r="FI45" s="69">
        <v>7.06611E-5</v>
      </c>
      <c r="FJ45" s="69">
        <v>6.9430000000000004E-5</v>
      </c>
      <c r="FK45" s="69">
        <v>6.8220399999999995E-5</v>
      </c>
      <c r="FL45" s="69">
        <v>6.7031800000000004E-5</v>
      </c>
      <c r="FM45" s="69">
        <v>6.5864000000000005E-5</v>
      </c>
      <c r="FN45" s="69">
        <v>6.4716500000000003E-5</v>
      </c>
      <c r="FO45" s="69">
        <v>6.3589000000000004E-5</v>
      </c>
      <c r="FP45" s="69">
        <v>6.2481099999999994E-5</v>
      </c>
      <c r="FQ45" s="69">
        <v>6.1392500000000006E-5</v>
      </c>
    </row>
    <row r="46" spans="1:173" x14ac:dyDescent="0.25">
      <c r="A46" s="71">
        <v>44</v>
      </c>
      <c r="B46" s="69">
        <v>1.3015815E-3</v>
      </c>
      <c r="C46" s="69">
        <v>1.2811741E-3</v>
      </c>
      <c r="D46" s="69">
        <v>1.2609304000000001E-3</v>
      </c>
      <c r="E46" s="69">
        <v>1.2408625999999999E-3</v>
      </c>
      <c r="F46" s="69">
        <v>1.2209819E-3</v>
      </c>
      <c r="G46" s="69">
        <v>1.2012979999999999E-3</v>
      </c>
      <c r="H46" s="69">
        <v>1.1818194999999999E-3</v>
      </c>
      <c r="I46" s="69">
        <v>1.1625539000000001E-3</v>
      </c>
      <c r="J46" s="69">
        <v>1.1435077E-3</v>
      </c>
      <c r="K46" s="69">
        <v>1.1246865999999999E-3</v>
      </c>
      <c r="L46" s="69">
        <v>1.1060951999999999E-3</v>
      </c>
      <c r="M46" s="69">
        <v>1.0877377000000001E-3</v>
      </c>
      <c r="N46" s="69">
        <v>1.0696172E-3</v>
      </c>
      <c r="O46" s="69">
        <v>1.0517364999999999E-3</v>
      </c>
      <c r="P46" s="69">
        <v>1.0340975000000001E-3</v>
      </c>
      <c r="Q46" s="69">
        <v>1.0167018999999999E-3</v>
      </c>
      <c r="R46" s="69">
        <v>9.995506999999999E-4</v>
      </c>
      <c r="S46" s="69">
        <v>9.8264449999999992E-4</v>
      </c>
      <c r="T46" s="69">
        <v>9.6598349999999996E-4</v>
      </c>
      <c r="U46" s="69">
        <v>9.4956749999999996E-4</v>
      </c>
      <c r="V46" s="69">
        <v>9.333961E-4</v>
      </c>
      <c r="W46" s="69">
        <v>9.1746850000000001E-4</v>
      </c>
      <c r="X46" s="69">
        <v>9.0178359999999996E-4</v>
      </c>
      <c r="Y46" s="69">
        <v>8.8634019999999996E-4</v>
      </c>
      <c r="Z46" s="69">
        <v>8.7113670000000002E-4</v>
      </c>
      <c r="AA46" s="69">
        <v>8.5617150000000003E-4</v>
      </c>
      <c r="AB46" s="69">
        <v>8.4144259999999996E-4</v>
      </c>
      <c r="AC46" s="69">
        <v>8.2694810000000002E-4</v>
      </c>
      <c r="AD46" s="69">
        <v>8.126858E-4</v>
      </c>
      <c r="AE46" s="69">
        <v>7.986534E-4</v>
      </c>
      <c r="AF46" s="69">
        <v>7.8484850000000005E-4</v>
      </c>
      <c r="AG46" s="69">
        <v>7.712687E-4</v>
      </c>
      <c r="AH46" s="69">
        <v>7.5791140000000003E-4</v>
      </c>
      <c r="AI46" s="69">
        <v>7.4477389999999999E-4</v>
      </c>
      <c r="AJ46" s="69">
        <v>7.318537E-4</v>
      </c>
      <c r="AK46" s="69">
        <v>7.1914790000000004E-4</v>
      </c>
      <c r="AL46" s="69">
        <v>7.0665389999999999E-4</v>
      </c>
      <c r="AM46" s="69">
        <v>6.9436870000000003E-4</v>
      </c>
      <c r="AN46" s="69">
        <v>6.8228959999999997E-4</v>
      </c>
      <c r="AO46" s="69">
        <v>6.7041370000000004E-4</v>
      </c>
      <c r="AP46" s="69">
        <v>6.5873829999999996E-4</v>
      </c>
      <c r="AQ46" s="69">
        <v>6.4726029999999997E-4</v>
      </c>
      <c r="AR46" s="69">
        <v>6.3597700000000003E-4</v>
      </c>
      <c r="AS46" s="69">
        <v>6.2488539999999997E-4</v>
      </c>
      <c r="AT46" s="69">
        <v>6.1398279999999995E-4</v>
      </c>
      <c r="AU46" s="69">
        <v>6.0326629999999997E-4</v>
      </c>
      <c r="AV46" s="69">
        <v>5.9273300000000002E-4</v>
      </c>
      <c r="AW46" s="69">
        <v>5.823801E-4</v>
      </c>
      <c r="AX46" s="69">
        <v>5.7220480000000004E-4</v>
      </c>
      <c r="AY46" s="69">
        <v>5.6220429999999995E-4</v>
      </c>
      <c r="AZ46" s="69">
        <v>5.523759E-4</v>
      </c>
      <c r="BA46" s="69">
        <v>5.427168E-4</v>
      </c>
      <c r="BB46" s="69">
        <v>5.332243E-4</v>
      </c>
      <c r="BC46" s="69">
        <v>5.2389570000000005E-4</v>
      </c>
      <c r="BD46" s="69">
        <v>5.1472840000000002E-4</v>
      </c>
      <c r="BE46" s="69">
        <v>5.0571969999999998E-4</v>
      </c>
      <c r="BF46" s="69">
        <v>4.9686700000000001E-4</v>
      </c>
      <c r="BG46" s="69">
        <v>4.8816780000000002E-4</v>
      </c>
      <c r="BH46" s="69">
        <v>4.7961949999999998E-4</v>
      </c>
      <c r="BI46" s="69">
        <v>4.7121959999999998E-4</v>
      </c>
      <c r="BJ46" s="69">
        <v>4.6296569999999999E-4</v>
      </c>
      <c r="BK46" s="69">
        <v>4.5485520000000001E-4</v>
      </c>
      <c r="BL46" s="69">
        <v>4.4688589999999998E-4</v>
      </c>
      <c r="BM46" s="69">
        <v>4.390552E-4</v>
      </c>
      <c r="BN46" s="69">
        <v>4.3136100000000001E-4</v>
      </c>
      <c r="BO46" s="69">
        <v>4.238008E-4</v>
      </c>
      <c r="BP46" s="69">
        <v>4.1637230000000003E-4</v>
      </c>
      <c r="BQ46" s="69">
        <v>4.0907349999999999E-4</v>
      </c>
      <c r="BR46" s="69">
        <v>4.0190199999999999E-4</v>
      </c>
      <c r="BS46" s="69">
        <v>3.9485559999999999E-4</v>
      </c>
      <c r="BT46" s="69">
        <v>3.8793230000000001E-4</v>
      </c>
      <c r="BU46" s="69">
        <v>3.811299E-4</v>
      </c>
      <c r="BV46" s="69">
        <v>3.7444639999999999E-4</v>
      </c>
      <c r="BW46" s="69">
        <v>3.6787959999999998E-4</v>
      </c>
      <c r="BX46" s="69">
        <v>3.6142770000000002E-4</v>
      </c>
      <c r="BY46" s="69">
        <v>3.5508849999999999E-4</v>
      </c>
      <c r="BZ46" s="69">
        <v>3.4886029999999998E-4</v>
      </c>
      <c r="CA46" s="69">
        <v>3.4274099999999998E-4</v>
      </c>
      <c r="CB46" s="69">
        <v>3.3672880000000001E-4</v>
      </c>
      <c r="CC46" s="69">
        <v>3.3082180000000002E-4</v>
      </c>
      <c r="CD46" s="69">
        <v>3.2501809999999998E-4</v>
      </c>
      <c r="CE46" s="69">
        <v>3.1931610000000002E-4</v>
      </c>
      <c r="CF46" s="69">
        <v>3.1371399999999999E-4</v>
      </c>
      <c r="CG46" s="69">
        <v>3.0820990000000003E-4</v>
      </c>
      <c r="CH46" s="69">
        <v>3.0280230000000001E-4</v>
      </c>
      <c r="CI46" s="69">
        <v>2.9748939999999998E-4</v>
      </c>
      <c r="CJ46" s="69">
        <v>2.9226959999999999E-4</v>
      </c>
      <c r="CK46" s="69">
        <v>2.8714119999999999E-4</v>
      </c>
      <c r="CL46" s="69">
        <v>2.8210270000000003E-4</v>
      </c>
      <c r="CM46" s="69">
        <v>2.7715250000000003E-4</v>
      </c>
      <c r="CN46" s="69">
        <v>2.7228909999999997E-4</v>
      </c>
      <c r="CO46" s="69">
        <v>2.6751089999999997E-4</v>
      </c>
      <c r="CP46" s="69">
        <v>2.6281649999999998E-4</v>
      </c>
      <c r="CQ46" s="69">
        <v>2.5820429999999999E-4</v>
      </c>
      <c r="CR46" s="69">
        <v>2.5367309999999998E-4</v>
      </c>
      <c r="CS46" s="69">
        <v>2.4922129999999999E-4</v>
      </c>
      <c r="CT46" s="69">
        <v>2.4484749999999998E-4</v>
      </c>
      <c r="CU46" s="69">
        <v>2.405505E-4</v>
      </c>
      <c r="CV46" s="69">
        <v>2.3632880000000001E-4</v>
      </c>
      <c r="CW46" s="69">
        <v>2.3218119999999999E-4</v>
      </c>
      <c r="CX46" s="69">
        <v>2.2810629999999999E-4</v>
      </c>
      <c r="CY46" s="69">
        <v>2.2410290000000001E-4</v>
      </c>
      <c r="CZ46" s="69">
        <v>2.2016970000000001E-4</v>
      </c>
      <c r="DA46" s="69">
        <v>2.163055E-4</v>
      </c>
      <c r="DB46" s="69">
        <v>2.1250899999999999E-4</v>
      </c>
      <c r="DC46" s="69">
        <v>2.0877919999999999E-4</v>
      </c>
      <c r="DD46" s="69">
        <v>2.051148E-4</v>
      </c>
      <c r="DE46" s="69">
        <v>2.0151469999999999E-4</v>
      </c>
      <c r="DF46" s="69">
        <v>1.9797780000000001E-4</v>
      </c>
      <c r="DG46" s="69">
        <v>1.945029E-4</v>
      </c>
      <c r="DH46" s="69">
        <v>1.91089E-4</v>
      </c>
      <c r="DI46" s="69">
        <v>1.8773499999999999E-4</v>
      </c>
      <c r="DJ46" s="69">
        <v>1.8443990000000001E-4</v>
      </c>
      <c r="DK46" s="69">
        <v>1.812025E-4</v>
      </c>
      <c r="DL46" s="69">
        <v>1.7802200000000001E-4</v>
      </c>
      <c r="DM46" s="69">
        <v>1.748973E-4</v>
      </c>
      <c r="DN46" s="69">
        <v>1.7182739999999999E-4</v>
      </c>
      <c r="DO46" s="69">
        <v>1.6881139999999999E-4</v>
      </c>
      <c r="DP46" s="69">
        <v>1.6584830000000001E-4</v>
      </c>
      <c r="DQ46" s="69">
        <v>1.629372E-4</v>
      </c>
      <c r="DR46" s="69">
        <v>1.6007719999999999E-4</v>
      </c>
      <c r="DS46" s="69">
        <v>1.572674E-4</v>
      </c>
      <c r="DT46" s="69">
        <v>1.5450690000000001E-4</v>
      </c>
      <c r="DU46" s="69">
        <v>1.5179479999999999E-4</v>
      </c>
      <c r="DV46" s="69">
        <v>1.491303E-4</v>
      </c>
      <c r="DW46" s="69">
        <v>1.465126E-4</v>
      </c>
      <c r="DX46" s="69">
        <v>1.4394089999999999E-4</v>
      </c>
      <c r="DY46" s="69">
        <v>1.4141429999999999E-4</v>
      </c>
      <c r="DZ46" s="69">
        <v>1.38932E-4</v>
      </c>
      <c r="EA46" s="69">
        <v>1.364933E-4</v>
      </c>
      <c r="EB46" s="69">
        <v>1.3409739999999999E-4</v>
      </c>
      <c r="EC46" s="69">
        <v>1.3174350000000001E-4</v>
      </c>
      <c r="ED46" s="69">
        <v>1.2943089999999999E-4</v>
      </c>
      <c r="EE46" s="69">
        <v>1.2715900000000001E-4</v>
      </c>
      <c r="EF46" s="69">
        <v>1.2492690000000001E-4</v>
      </c>
      <c r="EG46" s="69">
        <v>1.2273399999999999E-4</v>
      </c>
      <c r="EH46" s="69">
        <v>1.205796E-4</v>
      </c>
      <c r="EI46" s="69">
        <v>1.1846299999999999E-4</v>
      </c>
      <c r="EJ46" s="69">
        <v>1.1638349999999999E-4</v>
      </c>
      <c r="EK46" s="69">
        <v>1.1434059999999999E-4</v>
      </c>
      <c r="EL46" s="69">
        <v>1.123335E-4</v>
      </c>
      <c r="EM46" s="69">
        <v>1.103616E-4</v>
      </c>
      <c r="EN46" s="69">
        <v>1.084243E-4</v>
      </c>
      <c r="EO46" s="69">
        <v>1.065211E-4</v>
      </c>
      <c r="EP46" s="69">
        <v>1.046512E-4</v>
      </c>
      <c r="EQ46" s="69">
        <v>1.028142E-4</v>
      </c>
      <c r="ER46" s="69">
        <v>1.010094E-4</v>
      </c>
      <c r="ES46" s="69">
        <v>9.9236300000000004E-5</v>
      </c>
      <c r="ET46" s="69">
        <v>9.7494300000000006E-5</v>
      </c>
      <c r="EU46" s="69">
        <v>9.5782899999999994E-5</v>
      </c>
      <c r="EV46" s="69">
        <v>9.41016E-5</v>
      </c>
      <c r="EW46" s="69">
        <v>9.2449700000000004E-5</v>
      </c>
      <c r="EX46" s="69">
        <v>9.0826899999999996E-5</v>
      </c>
      <c r="EY46" s="69">
        <v>8.9232499999999996E-5</v>
      </c>
      <c r="EZ46" s="69">
        <v>8.7666100000000004E-5</v>
      </c>
      <c r="FA46" s="69">
        <v>8.6127199999999998E-5</v>
      </c>
      <c r="FB46" s="69">
        <v>8.4615299999999996E-5</v>
      </c>
      <c r="FC46" s="69">
        <v>8.3129999999999999E-5</v>
      </c>
      <c r="FD46" s="69">
        <v>8.1670700000000004E-5</v>
      </c>
      <c r="FE46" s="69">
        <v>8.0237100000000005E-5</v>
      </c>
      <c r="FF46" s="69">
        <v>7.8828599999999999E-5</v>
      </c>
      <c r="FG46" s="69">
        <v>7.7444800000000001E-5</v>
      </c>
      <c r="FH46" s="69">
        <v>7.6085299999999995E-5</v>
      </c>
      <c r="FI46" s="69">
        <v>7.4749699999999993E-5</v>
      </c>
      <c r="FJ46" s="69">
        <v>7.3437599999999996E-5</v>
      </c>
      <c r="FK46" s="69">
        <v>7.2148400000000002E-5</v>
      </c>
      <c r="FL46" s="69">
        <v>7.0881899999999996E-5</v>
      </c>
      <c r="FM46" s="69">
        <v>6.9637599999999999E-5</v>
      </c>
      <c r="FN46" s="69">
        <v>6.8415200000000002E-5</v>
      </c>
      <c r="FO46" s="69">
        <v>6.7214199999999998E-5</v>
      </c>
      <c r="FP46" s="69">
        <v>6.6034300000000006E-5</v>
      </c>
      <c r="FQ46" s="69">
        <v>6.4875200000000005E-5</v>
      </c>
    </row>
    <row r="47" spans="1:173" x14ac:dyDescent="0.25">
      <c r="A47" s="71">
        <v>45</v>
      </c>
      <c r="B47" s="69">
        <v>1.401411E-3</v>
      </c>
      <c r="C47" s="69">
        <v>1.3799412E-3</v>
      </c>
      <c r="D47" s="69">
        <v>1.3585913E-3</v>
      </c>
      <c r="E47" s="69">
        <v>1.3373791999999999E-3</v>
      </c>
      <c r="F47" s="69">
        <v>1.3163214E-3</v>
      </c>
      <c r="G47" s="69">
        <v>1.2954322999999999E-3</v>
      </c>
      <c r="H47" s="69">
        <v>1.274725E-3</v>
      </c>
      <c r="I47" s="69">
        <v>1.2542109000000001E-3</v>
      </c>
      <c r="J47" s="69">
        <v>1.2339002999999999E-3</v>
      </c>
      <c r="K47" s="69">
        <v>1.2138021E-3</v>
      </c>
      <c r="L47" s="69">
        <v>1.1939241999999999E-3</v>
      </c>
      <c r="M47" s="69">
        <v>1.1742733000000001E-3</v>
      </c>
      <c r="N47" s="69">
        <v>1.1548553000000001E-3</v>
      </c>
      <c r="O47" s="69">
        <v>1.1356751999999999E-3</v>
      </c>
      <c r="P47" s="69">
        <v>1.1167372000000001E-3</v>
      </c>
      <c r="Q47" s="69">
        <v>1.0980446E-3</v>
      </c>
      <c r="R47" s="69">
        <v>1.0796003000000001E-3</v>
      </c>
      <c r="S47" s="69">
        <v>1.0614063999999999E-3</v>
      </c>
      <c r="T47" s="69">
        <v>1.0434646E-3</v>
      </c>
      <c r="U47" s="69">
        <v>1.0257758000000001E-3</v>
      </c>
      <c r="V47" s="69">
        <v>1.0083409E-3</v>
      </c>
      <c r="W47" s="69">
        <v>9.9115990000000001E-4</v>
      </c>
      <c r="X47" s="69">
        <v>9.7423270000000003E-4</v>
      </c>
      <c r="Y47" s="69">
        <v>9.5755880000000001E-4</v>
      </c>
      <c r="Z47" s="69">
        <v>9.4113740000000001E-4</v>
      </c>
      <c r="AA47" s="69">
        <v>9.2496750000000002E-4</v>
      </c>
      <c r="AB47" s="69">
        <v>9.0904759999999995E-4</v>
      </c>
      <c r="AC47" s="69">
        <v>8.9337620000000005E-4</v>
      </c>
      <c r="AD47" s="69">
        <v>8.7795159999999996E-4</v>
      </c>
      <c r="AE47" s="69">
        <v>8.6277179999999997E-4</v>
      </c>
      <c r="AF47" s="69">
        <v>8.4783459999999999E-4</v>
      </c>
      <c r="AG47" s="69">
        <v>8.3313790000000005E-4</v>
      </c>
      <c r="AH47" s="69">
        <v>8.1867929999999999E-4</v>
      </c>
      <c r="AI47" s="69">
        <v>8.0445620000000001E-4</v>
      </c>
      <c r="AJ47" s="69">
        <v>7.9046620000000005E-4</v>
      </c>
      <c r="AK47" s="69">
        <v>7.7670650000000001E-4</v>
      </c>
      <c r="AL47" s="69">
        <v>7.6317439999999996E-4</v>
      </c>
      <c r="AM47" s="69">
        <v>7.4986710000000002E-4</v>
      </c>
      <c r="AN47" s="69">
        <v>7.3678190000000003E-4</v>
      </c>
      <c r="AO47" s="69">
        <v>7.2391580000000005E-4</v>
      </c>
      <c r="AP47" s="69">
        <v>7.1126589999999997E-4</v>
      </c>
      <c r="AQ47" s="69">
        <v>6.9882919999999995E-4</v>
      </c>
      <c r="AR47" s="69">
        <v>6.8660279999999997E-4</v>
      </c>
      <c r="AS47" s="69">
        <v>6.7458380000000003E-4</v>
      </c>
      <c r="AT47" s="69">
        <v>6.6276910000000004E-4</v>
      </c>
      <c r="AU47" s="69">
        <v>6.5115590000000003E-4</v>
      </c>
      <c r="AV47" s="69">
        <v>6.3974089999999995E-4</v>
      </c>
      <c r="AW47" s="69">
        <v>6.285215E-4</v>
      </c>
      <c r="AX47" s="69">
        <v>6.1749440000000004E-4</v>
      </c>
      <c r="AY47" s="69">
        <v>6.066569E-4</v>
      </c>
      <c r="AZ47" s="69">
        <v>5.9600600000000005E-4</v>
      </c>
      <c r="BA47" s="69">
        <v>5.8553870000000005E-4</v>
      </c>
      <c r="BB47" s="69">
        <v>5.7525209999999998E-4</v>
      </c>
      <c r="BC47" s="69">
        <v>5.651435E-4</v>
      </c>
      <c r="BD47" s="69">
        <v>5.5520989999999996E-4</v>
      </c>
      <c r="BE47" s="69">
        <v>5.4544849999999998E-4</v>
      </c>
      <c r="BF47" s="69">
        <v>5.3585649999999998E-4</v>
      </c>
      <c r="BG47" s="69">
        <v>5.2643120000000002E-4</v>
      </c>
      <c r="BH47" s="69">
        <v>5.1716990000000003E-4</v>
      </c>
      <c r="BI47" s="69">
        <v>5.0806970000000001E-4</v>
      </c>
      <c r="BJ47" s="69">
        <v>4.9912820000000001E-4</v>
      </c>
      <c r="BK47" s="69">
        <v>4.9034250000000001E-4</v>
      </c>
      <c r="BL47" s="69">
        <v>4.8171020000000001E-4</v>
      </c>
      <c r="BM47" s="69">
        <v>4.732286E-4</v>
      </c>
      <c r="BN47" s="69">
        <v>4.6489520000000001E-4</v>
      </c>
      <c r="BO47" s="69">
        <v>4.5670759999999998E-4</v>
      </c>
      <c r="BP47" s="69">
        <v>4.4866319999999998E-4</v>
      </c>
      <c r="BQ47" s="69">
        <v>4.4075959999999997E-4</v>
      </c>
      <c r="BR47" s="69">
        <v>4.3299449999999998E-4</v>
      </c>
      <c r="BS47" s="69">
        <v>4.2536540000000001E-4</v>
      </c>
      <c r="BT47" s="69">
        <v>4.1787010000000002E-4</v>
      </c>
      <c r="BU47" s="69">
        <v>4.105062E-4</v>
      </c>
      <c r="BV47" s="69">
        <v>4.0327149999999998E-4</v>
      </c>
      <c r="BW47" s="69">
        <v>3.961638E-4</v>
      </c>
      <c r="BX47" s="69">
        <v>3.8918090000000002E-4</v>
      </c>
      <c r="BY47" s="69">
        <v>3.823206E-4</v>
      </c>
      <c r="BZ47" s="69">
        <v>3.7558079999999998E-4</v>
      </c>
      <c r="CA47" s="69">
        <v>3.6895949999999998E-4</v>
      </c>
      <c r="CB47" s="69">
        <v>3.6245450000000002E-4</v>
      </c>
      <c r="CC47" s="69">
        <v>3.5606389999999998E-4</v>
      </c>
      <c r="CD47" s="69">
        <v>3.4978569999999999E-4</v>
      </c>
      <c r="CE47" s="69">
        <v>3.4361789999999998E-4</v>
      </c>
      <c r="CF47" s="69">
        <v>3.3755869999999998E-4</v>
      </c>
      <c r="CG47" s="69">
        <v>3.3160600000000002E-4</v>
      </c>
      <c r="CH47" s="69">
        <v>3.2575809999999997E-4</v>
      </c>
      <c r="CI47" s="69">
        <v>3.2001309999999999E-4</v>
      </c>
      <c r="CJ47" s="69">
        <v>3.1436929999999999E-4</v>
      </c>
      <c r="CK47" s="69">
        <v>3.0882480000000003E-4</v>
      </c>
      <c r="CL47" s="69">
        <v>3.0337799999999998E-4</v>
      </c>
      <c r="CM47" s="69">
        <v>2.9802700000000002E-4</v>
      </c>
      <c r="CN47" s="69">
        <v>2.927704E-4</v>
      </c>
      <c r="CO47" s="69">
        <v>2.8760629999999998E-4</v>
      </c>
      <c r="CP47" s="69">
        <v>2.8253319999999997E-4</v>
      </c>
      <c r="CQ47" s="69">
        <v>2.7754949999999999E-4</v>
      </c>
      <c r="CR47" s="69">
        <v>2.7265360000000002E-4</v>
      </c>
      <c r="CS47" s="69">
        <v>2.6784399999999999E-4</v>
      </c>
      <c r="CT47" s="69">
        <v>2.6311910000000001E-4</v>
      </c>
      <c r="CU47" s="69">
        <v>2.5847750000000002E-4</v>
      </c>
      <c r="CV47" s="69">
        <v>2.5391770000000001E-4</v>
      </c>
      <c r="CW47" s="69">
        <v>2.4943829999999999E-4</v>
      </c>
      <c r="CX47" s="69">
        <v>2.4503779999999998E-4</v>
      </c>
      <c r="CY47" s="69">
        <v>2.4071499999999999E-4</v>
      </c>
      <c r="CZ47" s="69">
        <v>2.3646830000000001E-4</v>
      </c>
      <c r="DA47" s="69">
        <v>2.3229650000000001E-4</v>
      </c>
      <c r="DB47" s="69">
        <v>2.2819830000000001E-4</v>
      </c>
      <c r="DC47" s="69">
        <v>2.2417229999999999E-4</v>
      </c>
      <c r="DD47" s="69">
        <v>2.202173E-4</v>
      </c>
      <c r="DE47" s="69">
        <v>2.163321E-4</v>
      </c>
      <c r="DF47" s="69">
        <v>2.125153E-4</v>
      </c>
      <c r="DG47" s="69">
        <v>2.0876590000000001E-4</v>
      </c>
      <c r="DH47" s="69">
        <v>2.050826E-4</v>
      </c>
      <c r="DI47" s="69">
        <v>2.0146429999999999E-4</v>
      </c>
      <c r="DJ47" s="69">
        <v>1.9790979999999999E-4</v>
      </c>
      <c r="DK47" s="69">
        <v>1.9441789999999999E-4</v>
      </c>
      <c r="DL47" s="69">
        <v>1.9098769999999999E-4</v>
      </c>
      <c r="DM47" s="69">
        <v>1.8761790000000001E-4</v>
      </c>
      <c r="DN47" s="69">
        <v>1.843076E-4</v>
      </c>
      <c r="DO47" s="69">
        <v>1.810557E-4</v>
      </c>
      <c r="DP47" s="69">
        <v>1.7786120000000001E-4</v>
      </c>
      <c r="DQ47" s="69">
        <v>1.74723E-4</v>
      </c>
      <c r="DR47" s="69">
        <v>1.7164010000000001E-4</v>
      </c>
      <c r="DS47" s="69">
        <v>1.686116E-4</v>
      </c>
      <c r="DT47" s="69">
        <v>1.656366E-4</v>
      </c>
      <c r="DU47" s="69">
        <v>1.62714E-4</v>
      </c>
      <c r="DV47" s="69">
        <v>1.5984300000000001E-4</v>
      </c>
      <c r="DW47" s="69">
        <v>1.5702270000000001E-4</v>
      </c>
      <c r="DX47" s="69">
        <v>1.5425209999999999E-4</v>
      </c>
      <c r="DY47" s="69">
        <v>1.515303E-4</v>
      </c>
      <c r="DZ47" s="69">
        <v>1.4885659999999999E-4</v>
      </c>
      <c r="EA47" s="69">
        <v>1.4623009999999999E-4</v>
      </c>
      <c r="EB47" s="69">
        <v>1.4364989999999999E-4</v>
      </c>
      <c r="EC47" s="69">
        <v>1.4111519999999999E-4</v>
      </c>
      <c r="ED47" s="69">
        <v>1.3862520000000001E-4</v>
      </c>
      <c r="EE47" s="69">
        <v>1.3617920000000001E-4</v>
      </c>
      <c r="EF47" s="69">
        <v>1.337763E-4</v>
      </c>
      <c r="EG47" s="69">
        <v>1.3141579999999999E-4</v>
      </c>
      <c r="EH47" s="69">
        <v>1.29097E-4</v>
      </c>
      <c r="EI47" s="69">
        <v>1.2681899999999999E-4</v>
      </c>
      <c r="EJ47" s="69">
        <v>1.2458130000000001E-4</v>
      </c>
      <c r="EK47" s="69">
        <v>1.22383E-4</v>
      </c>
      <c r="EL47" s="69">
        <v>1.2022360000000001E-4</v>
      </c>
      <c r="EM47" s="69">
        <v>1.181022E-4</v>
      </c>
      <c r="EN47" s="69">
        <v>1.160182E-4</v>
      </c>
      <c r="EO47" s="69">
        <v>1.139711E-4</v>
      </c>
      <c r="EP47" s="69">
        <v>1.1196000000000001E-4</v>
      </c>
      <c r="EQ47" s="69">
        <v>1.099844E-4</v>
      </c>
      <c r="ER47" s="69">
        <v>1.080437E-4</v>
      </c>
      <c r="ES47" s="69">
        <v>1.061372E-4</v>
      </c>
      <c r="ET47" s="69">
        <v>1.042644E-4</v>
      </c>
      <c r="EU47" s="69">
        <v>1.024246E-4</v>
      </c>
      <c r="EV47" s="69">
        <v>1.006173E-4</v>
      </c>
      <c r="EW47" s="69">
        <v>9.88418E-5</v>
      </c>
      <c r="EX47" s="69">
        <v>9.7097700000000004E-5</v>
      </c>
      <c r="EY47" s="69">
        <v>9.5384399999999994E-5</v>
      </c>
      <c r="EZ47" s="69">
        <v>9.3701299999999997E-5</v>
      </c>
      <c r="FA47" s="69">
        <v>9.2047799999999996E-5</v>
      </c>
      <c r="FB47" s="69">
        <v>9.0423599999999999E-5</v>
      </c>
      <c r="FC47" s="69">
        <v>8.8827999999999997E-5</v>
      </c>
      <c r="FD47" s="69">
        <v>8.7260600000000003E-5</v>
      </c>
      <c r="FE47" s="69">
        <v>8.5720800000000001E-5</v>
      </c>
      <c r="FF47" s="69">
        <v>8.4208200000000005E-5</v>
      </c>
      <c r="FG47" s="69">
        <v>8.2722300000000006E-5</v>
      </c>
      <c r="FH47" s="69">
        <v>8.1262599999999997E-5</v>
      </c>
      <c r="FI47" s="69">
        <v>7.9828700000000004E-5</v>
      </c>
      <c r="FJ47" s="69">
        <v>7.8419999999999998E-5</v>
      </c>
      <c r="FK47" s="69">
        <v>7.7036300000000006E-5</v>
      </c>
      <c r="FL47" s="69">
        <v>7.5676899999999994E-5</v>
      </c>
      <c r="FM47" s="69">
        <v>7.4341500000000006E-5</v>
      </c>
      <c r="FN47" s="69">
        <v>7.3029700000000003E-5</v>
      </c>
      <c r="FO47" s="69">
        <v>7.1741000000000003E-5</v>
      </c>
      <c r="FP47" s="69">
        <v>7.0475099999999999E-5</v>
      </c>
      <c r="FQ47" s="69">
        <v>6.9231499999999996E-5</v>
      </c>
    </row>
    <row r="48" spans="1:173" x14ac:dyDescent="0.25">
      <c r="A48" s="71">
        <v>46</v>
      </c>
      <c r="B48" s="69">
        <v>1.5435115E-3</v>
      </c>
      <c r="C48" s="69">
        <v>1.5202606E-3</v>
      </c>
      <c r="D48" s="69">
        <v>1.4970987999999999E-3</v>
      </c>
      <c r="E48" s="69">
        <v>1.4740496000000001E-3</v>
      </c>
      <c r="F48" s="69">
        <v>1.4511341E-3</v>
      </c>
      <c r="G48" s="69">
        <v>1.4283714E-3</v>
      </c>
      <c r="H48" s="69">
        <v>1.4057786000000001E-3</v>
      </c>
      <c r="I48" s="69">
        <v>1.383371E-3</v>
      </c>
      <c r="J48" s="69">
        <v>1.3611622E-3</v>
      </c>
      <c r="K48" s="69">
        <v>1.3391643E-3</v>
      </c>
      <c r="L48" s="69">
        <v>1.3173880000000001E-3</v>
      </c>
      <c r="M48" s="69">
        <v>1.2958427E-3</v>
      </c>
      <c r="N48" s="69">
        <v>1.2745364000000001E-3</v>
      </c>
      <c r="O48" s="69">
        <v>1.2534764E-3</v>
      </c>
      <c r="P48" s="69">
        <v>1.2326686999999999E-3</v>
      </c>
      <c r="Q48" s="69">
        <v>1.2121185E-3</v>
      </c>
      <c r="R48" s="69">
        <v>1.1918300000000001E-3</v>
      </c>
      <c r="S48" s="69">
        <v>1.1718067999999999E-3</v>
      </c>
      <c r="T48" s="69">
        <v>1.1520516000000001E-3</v>
      </c>
      <c r="U48" s="69">
        <v>1.1325668000000001E-3</v>
      </c>
      <c r="V48" s="69">
        <v>1.1133537999999999E-3</v>
      </c>
      <c r="W48" s="69">
        <v>1.0944137E-3</v>
      </c>
      <c r="X48" s="69">
        <v>1.0757471E-3</v>
      </c>
      <c r="Y48" s="69">
        <v>1.0573542E-3</v>
      </c>
      <c r="Z48" s="69">
        <v>1.0392346E-3</v>
      </c>
      <c r="AA48" s="69">
        <v>1.0213876999999999E-3</v>
      </c>
      <c r="AB48" s="69">
        <v>1.0038126E-3</v>
      </c>
      <c r="AC48" s="69">
        <v>9.8650800000000009E-4</v>
      </c>
      <c r="AD48" s="69">
        <v>9.694724E-4</v>
      </c>
      <c r="AE48" s="69">
        <v>9.5270399999999996E-4</v>
      </c>
      <c r="AF48" s="69">
        <v>9.3620089999999997E-4</v>
      </c>
      <c r="AG48" s="69">
        <v>9.1996099999999996E-4</v>
      </c>
      <c r="AH48" s="69">
        <v>9.0398189999999997E-4</v>
      </c>
      <c r="AI48" s="69">
        <v>8.8826119999999996E-4</v>
      </c>
      <c r="AJ48" s="69">
        <v>8.7279619999999997E-4</v>
      </c>
      <c r="AK48" s="69">
        <v>8.5758429999999999E-4</v>
      </c>
      <c r="AL48" s="69">
        <v>8.426226E-4</v>
      </c>
      <c r="AM48" s="69">
        <v>8.2790830000000002E-4</v>
      </c>
      <c r="AN48" s="69">
        <v>8.1343840000000001E-4</v>
      </c>
      <c r="AO48" s="69">
        <v>7.992098E-4</v>
      </c>
      <c r="AP48" s="69">
        <v>7.8521950000000004E-4</v>
      </c>
      <c r="AQ48" s="69">
        <v>7.7146440000000005E-4</v>
      </c>
      <c r="AR48" s="69">
        <v>7.5794130000000003E-4</v>
      </c>
      <c r="AS48" s="69">
        <v>7.4464699999999997E-4</v>
      </c>
      <c r="AT48" s="69">
        <v>7.3157829999999997E-4</v>
      </c>
      <c r="AU48" s="69">
        <v>7.1873209999999996E-4</v>
      </c>
      <c r="AV48" s="69">
        <v>7.0610509999999998E-4</v>
      </c>
      <c r="AW48" s="69">
        <v>6.9369400000000002E-4</v>
      </c>
      <c r="AX48" s="69">
        <v>6.8149569999999997E-4</v>
      </c>
      <c r="AY48" s="69">
        <v>6.6950699999999996E-4</v>
      </c>
      <c r="AZ48" s="69">
        <v>6.5772460000000004E-4</v>
      </c>
      <c r="BA48" s="69">
        <v>6.4614540000000002E-4</v>
      </c>
      <c r="BB48" s="69">
        <v>6.3476609999999997E-4</v>
      </c>
      <c r="BC48" s="69">
        <v>6.2358379999999998E-4</v>
      </c>
      <c r="BD48" s="69">
        <v>6.1259520000000003E-4</v>
      </c>
      <c r="BE48" s="69">
        <v>6.0179730000000005E-4</v>
      </c>
      <c r="BF48" s="69">
        <v>5.9118699999999996E-4</v>
      </c>
      <c r="BG48" s="69">
        <v>5.8076120000000002E-4</v>
      </c>
      <c r="BH48" s="69">
        <v>5.7051699999999999E-4</v>
      </c>
      <c r="BI48" s="69">
        <v>5.604513E-4</v>
      </c>
      <c r="BJ48" s="69">
        <v>5.5056129999999997E-4</v>
      </c>
      <c r="BK48" s="69">
        <v>5.4084399999999996E-4</v>
      </c>
      <c r="BL48" s="69">
        <v>5.3129649999999996E-4</v>
      </c>
      <c r="BM48" s="69">
        <v>5.2191610000000002E-4</v>
      </c>
      <c r="BN48" s="69">
        <v>5.1269990000000001E-4</v>
      </c>
      <c r="BO48" s="69">
        <v>5.0364509999999997E-4</v>
      </c>
      <c r="BP48" s="69">
        <v>4.9474909999999998E-4</v>
      </c>
      <c r="BQ48" s="69">
        <v>4.8600919999999999E-4</v>
      </c>
      <c r="BR48" s="69">
        <v>4.7742260000000001E-4</v>
      </c>
      <c r="BS48" s="69">
        <v>4.6898680000000001E-4</v>
      </c>
      <c r="BT48" s="69">
        <v>4.6069919999999997E-4</v>
      </c>
      <c r="BU48" s="69">
        <v>4.5255730000000002E-4</v>
      </c>
      <c r="BV48" s="69">
        <v>4.445586E-4</v>
      </c>
      <c r="BW48" s="69">
        <v>4.367005E-4</v>
      </c>
      <c r="BX48" s="69">
        <v>4.2898079999999998E-4</v>
      </c>
      <c r="BY48" s="69">
        <v>4.21397E-4</v>
      </c>
      <c r="BZ48" s="69">
        <v>4.1394670000000002E-4</v>
      </c>
      <c r="CA48" s="69">
        <v>4.0662769999999998E-4</v>
      </c>
      <c r="CB48" s="69">
        <v>3.9943770000000001E-4</v>
      </c>
      <c r="CC48" s="69">
        <v>3.9237430000000002E-4</v>
      </c>
      <c r="CD48" s="69">
        <v>3.8543559999999999E-4</v>
      </c>
      <c r="CE48" s="69">
        <v>3.7861909999999999E-4</v>
      </c>
      <c r="CF48" s="69">
        <v>3.7192300000000002E-4</v>
      </c>
      <c r="CG48" s="69">
        <v>3.6534490000000001E-4</v>
      </c>
      <c r="CH48" s="69">
        <v>3.58883E-4</v>
      </c>
      <c r="CI48" s="69">
        <v>3.5253500000000001E-4</v>
      </c>
      <c r="CJ48" s="69">
        <v>3.4629920000000001E-4</v>
      </c>
      <c r="CK48" s="69">
        <v>3.4017340000000001E-4</v>
      </c>
      <c r="CL48" s="69">
        <v>3.3415579999999999E-4</v>
      </c>
      <c r="CM48" s="69">
        <v>3.282445E-4</v>
      </c>
      <c r="CN48" s="69">
        <v>3.224376E-4</v>
      </c>
      <c r="CO48" s="69">
        <v>3.1673319999999999E-4</v>
      </c>
      <c r="CP48" s="69">
        <v>3.1112970000000002E-4</v>
      </c>
      <c r="CQ48" s="69">
        <v>3.056251E-4</v>
      </c>
      <c r="CR48" s="69">
        <v>3.0021779999999998E-4</v>
      </c>
      <c r="CS48" s="69">
        <v>2.9490609999999998E-4</v>
      </c>
      <c r="CT48" s="69">
        <v>2.8968819999999998E-4</v>
      </c>
      <c r="CU48" s="69">
        <v>2.8456260000000002E-4</v>
      </c>
      <c r="CV48" s="69">
        <v>2.795276E-4</v>
      </c>
      <c r="CW48" s="69">
        <v>2.7458160000000002E-4</v>
      </c>
      <c r="CX48" s="69">
        <v>2.6972299999999998E-4</v>
      </c>
      <c r="CY48" s="69">
        <v>2.6495030000000001E-4</v>
      </c>
      <c r="CZ48" s="69">
        <v>2.6026210000000002E-4</v>
      </c>
      <c r="DA48" s="69">
        <v>2.5565670000000001E-4</v>
      </c>
      <c r="DB48" s="69">
        <v>2.5113270000000002E-4</v>
      </c>
      <c r="DC48" s="69">
        <v>2.4668880000000001E-4</v>
      </c>
      <c r="DD48" s="69">
        <v>2.4232339999999999E-4</v>
      </c>
      <c r="DE48" s="69">
        <v>2.3803529999999999E-4</v>
      </c>
      <c r="DF48" s="69">
        <v>2.33823E-4</v>
      </c>
      <c r="DG48" s="69">
        <v>2.2968519999999999E-4</v>
      </c>
      <c r="DH48" s="69">
        <v>2.2562060000000001E-4</v>
      </c>
      <c r="DI48" s="69">
        <v>2.2162789999999999E-4</v>
      </c>
      <c r="DJ48" s="69">
        <v>2.1770580000000001E-4</v>
      </c>
      <c r="DK48" s="69">
        <v>2.1385309999999999E-4</v>
      </c>
      <c r="DL48" s="69">
        <v>2.100685E-4</v>
      </c>
      <c r="DM48" s="69">
        <v>2.0635090000000001E-4</v>
      </c>
      <c r="DN48" s="69">
        <v>2.0269910000000001E-4</v>
      </c>
      <c r="DO48" s="69">
        <v>1.991118E-4</v>
      </c>
      <c r="DP48" s="69">
        <v>1.9558809999999999E-4</v>
      </c>
      <c r="DQ48" s="69">
        <v>1.921267E-4</v>
      </c>
      <c r="DR48" s="69">
        <v>1.8872649999999999E-4</v>
      </c>
      <c r="DS48" s="69">
        <v>1.8538650000000001E-4</v>
      </c>
      <c r="DT48" s="69">
        <v>1.8210550000000001E-4</v>
      </c>
      <c r="DU48" s="69">
        <v>1.7888269999999999E-4</v>
      </c>
      <c r="DV48" s="69">
        <v>1.757168E-4</v>
      </c>
      <c r="DW48" s="69">
        <v>1.72607E-4</v>
      </c>
      <c r="DX48" s="69">
        <v>1.6955219999999999E-4</v>
      </c>
      <c r="DY48" s="69">
        <v>1.665514E-4</v>
      </c>
      <c r="DZ48" s="69">
        <v>1.6360379999999999E-4</v>
      </c>
      <c r="EA48" s="69">
        <v>1.6070829999999999E-4</v>
      </c>
      <c r="EB48" s="69">
        <v>1.5786399999999999E-4</v>
      </c>
      <c r="EC48" s="69">
        <v>1.550701E-4</v>
      </c>
      <c r="ED48" s="69">
        <v>1.5232559999999999E-4</v>
      </c>
      <c r="EE48" s="69">
        <v>1.4962969999999999E-4</v>
      </c>
      <c r="EF48" s="69">
        <v>1.469815E-4</v>
      </c>
      <c r="EG48" s="69">
        <v>1.443801E-4</v>
      </c>
      <c r="EH48" s="69">
        <v>1.418248E-4</v>
      </c>
      <c r="EI48" s="69">
        <v>1.393147E-4</v>
      </c>
      <c r="EJ48" s="69">
        <v>1.36849E-4</v>
      </c>
      <c r="EK48" s="69">
        <v>1.3442700000000001E-4</v>
      </c>
      <c r="EL48" s="69">
        <v>1.3204779999999999E-4</v>
      </c>
      <c r="EM48" s="69">
        <v>1.297107E-4</v>
      </c>
      <c r="EN48" s="69">
        <v>1.27415E-4</v>
      </c>
      <c r="EO48" s="69">
        <v>1.2515989999999999E-4</v>
      </c>
      <c r="EP48" s="69">
        <v>1.2294469999999999E-4</v>
      </c>
      <c r="EQ48" s="69">
        <v>1.207687E-4</v>
      </c>
      <c r="ER48" s="69">
        <v>1.186312E-4</v>
      </c>
      <c r="ES48" s="69">
        <v>1.165316E-4</v>
      </c>
      <c r="ET48" s="69">
        <v>1.144691E-4</v>
      </c>
      <c r="EU48" s="69">
        <v>1.124431E-4</v>
      </c>
      <c r="EV48" s="69">
        <v>1.1045299999999999E-4</v>
      </c>
      <c r="EW48" s="69">
        <v>1.084981E-4</v>
      </c>
      <c r="EX48" s="69">
        <v>1.065777E-4</v>
      </c>
      <c r="EY48" s="69">
        <v>1.0469140000000001E-4</v>
      </c>
      <c r="EZ48" s="69">
        <v>1.028385E-4</v>
      </c>
      <c r="FA48" s="69">
        <v>1.0101829999999999E-4</v>
      </c>
      <c r="FB48" s="69">
        <v>9.9230399999999998E-5</v>
      </c>
      <c r="FC48" s="69">
        <v>9.7474100000000002E-5</v>
      </c>
      <c r="FD48" s="69">
        <v>9.5748900000000001E-5</v>
      </c>
      <c r="FE48" s="69">
        <v>9.4054200000000005E-5</v>
      </c>
      <c r="FF48" s="69">
        <v>9.2389499999999994E-5</v>
      </c>
      <c r="FG48" s="69">
        <v>9.0754299999999999E-5</v>
      </c>
      <c r="FH48" s="69">
        <v>8.9147999999999994E-5</v>
      </c>
      <c r="FI48" s="69">
        <v>8.7570099999999997E-5</v>
      </c>
      <c r="FJ48" s="69">
        <v>8.6020199999999993E-5</v>
      </c>
      <c r="FK48" s="69">
        <v>8.4497699999999996E-5</v>
      </c>
      <c r="FL48" s="69">
        <v>8.3002200000000003E-5</v>
      </c>
      <c r="FM48" s="69">
        <v>8.15331E-5</v>
      </c>
      <c r="FN48" s="69">
        <v>8.0090000000000001E-5</v>
      </c>
      <c r="FO48" s="69">
        <v>7.8672500000000003E-5</v>
      </c>
      <c r="FP48" s="69">
        <v>7.7280000000000005E-5</v>
      </c>
      <c r="FQ48" s="69">
        <v>7.5912200000000001E-5</v>
      </c>
    </row>
    <row r="49" spans="1:173" x14ac:dyDescent="0.25">
      <c r="A49" s="71">
        <v>47</v>
      </c>
      <c r="B49" s="69">
        <v>1.7139970999999999E-3</v>
      </c>
      <c r="C49" s="69">
        <v>1.6941205999999999E-3</v>
      </c>
      <c r="D49" s="69">
        <v>1.6738114E-3</v>
      </c>
      <c r="E49" s="69">
        <v>1.6531336E-3</v>
      </c>
      <c r="F49" s="69">
        <v>1.6321462E-3</v>
      </c>
      <c r="G49" s="69">
        <v>1.6109041000000001E-3</v>
      </c>
      <c r="H49" s="69">
        <v>1.5894577999999999E-3</v>
      </c>
      <c r="I49" s="69">
        <v>1.5678539E-3</v>
      </c>
      <c r="J49" s="69">
        <v>1.5461349999999999E-3</v>
      </c>
      <c r="K49" s="69">
        <v>1.5243406000000001E-3</v>
      </c>
      <c r="L49" s="69">
        <v>1.5025065E-3</v>
      </c>
      <c r="M49" s="69">
        <v>1.4806655999999999E-3</v>
      </c>
      <c r="N49" s="69">
        <v>1.458848E-3</v>
      </c>
      <c r="O49" s="69">
        <v>1.4370809E-3</v>
      </c>
      <c r="P49" s="69">
        <v>1.4153891E-3</v>
      </c>
      <c r="Q49" s="69">
        <v>1.3937951E-3</v>
      </c>
      <c r="R49" s="69">
        <v>1.3723193E-3</v>
      </c>
      <c r="S49" s="69">
        <v>1.3509799000000001E-3</v>
      </c>
      <c r="T49" s="69">
        <v>1.3297934E-3</v>
      </c>
      <c r="U49" s="69">
        <v>1.3087745999999999E-3</v>
      </c>
      <c r="V49" s="69">
        <v>1.2879364999999999E-3</v>
      </c>
      <c r="W49" s="69">
        <v>1.267291E-3</v>
      </c>
      <c r="X49" s="69">
        <v>1.2468482999999999E-3</v>
      </c>
      <c r="Y49" s="69">
        <v>1.2266175999999999E-3</v>
      </c>
      <c r="Z49" s="69">
        <v>1.2066068000000001E-3</v>
      </c>
      <c r="AA49" s="69">
        <v>1.1868229E-3</v>
      </c>
      <c r="AB49" s="69">
        <v>1.1672717999999999E-3</v>
      </c>
      <c r="AC49" s="69">
        <v>1.1479585999999999E-3</v>
      </c>
      <c r="AD49" s="69">
        <v>1.1288875E-3</v>
      </c>
      <c r="AE49" s="69">
        <v>1.1100622000000001E-3</v>
      </c>
      <c r="AF49" s="69">
        <v>1.0914854E-3</v>
      </c>
      <c r="AG49" s="69">
        <v>1.0731593000000001E-3</v>
      </c>
      <c r="AH49" s="69">
        <v>1.0550857999999999E-3</v>
      </c>
      <c r="AI49" s="69">
        <v>1.0372657999999999E-3</v>
      </c>
      <c r="AJ49" s="69">
        <v>1.0197002E-3</v>
      </c>
      <c r="AK49" s="69">
        <v>1.0023892000000001E-3</v>
      </c>
      <c r="AL49" s="69">
        <v>9.8533259999999999E-4</v>
      </c>
      <c r="AM49" s="69">
        <v>9.6853010000000003E-4</v>
      </c>
      <c r="AN49" s="69">
        <v>9.519808E-4</v>
      </c>
      <c r="AO49" s="69">
        <v>9.3568380000000004E-4</v>
      </c>
      <c r="AP49" s="69">
        <v>9.1963760000000005E-4</v>
      </c>
      <c r="AQ49" s="69">
        <v>9.0384079999999999E-4</v>
      </c>
      <c r="AR49" s="69">
        <v>8.8829169999999995E-4</v>
      </c>
      <c r="AS49" s="69">
        <v>8.7298819999999996E-4</v>
      </c>
      <c r="AT49" s="69">
        <v>8.5792840000000002E-4</v>
      </c>
      <c r="AU49" s="69">
        <v>8.4311E-4</v>
      </c>
      <c r="AV49" s="69">
        <v>8.2853060000000005E-4</v>
      </c>
      <c r="AW49" s="69">
        <v>8.1418780000000002E-4</v>
      </c>
      <c r="AX49" s="69">
        <v>8.0007899999999998E-4</v>
      </c>
      <c r="AY49" s="69">
        <v>7.8620160000000003E-4</v>
      </c>
      <c r="AZ49" s="69">
        <v>7.7255279999999997E-4</v>
      </c>
      <c r="BA49" s="69">
        <v>7.5912989999999997E-4</v>
      </c>
      <c r="BB49" s="69">
        <v>7.4593010000000004E-4</v>
      </c>
      <c r="BC49" s="69">
        <v>7.3295049999999996E-4</v>
      </c>
      <c r="BD49" s="69">
        <v>7.201881E-4</v>
      </c>
      <c r="BE49" s="69">
        <v>7.0764000000000005E-4</v>
      </c>
      <c r="BF49" s="69">
        <v>6.9530329999999997E-4</v>
      </c>
      <c r="BG49" s="69">
        <v>6.8317509999999998E-4</v>
      </c>
      <c r="BH49" s="69">
        <v>6.7125219999999996E-4</v>
      </c>
      <c r="BI49" s="69">
        <v>6.5953189999999997E-4</v>
      </c>
      <c r="BJ49" s="69">
        <v>6.4801099999999999E-4</v>
      </c>
      <c r="BK49" s="69">
        <v>6.3668660000000001E-4</v>
      </c>
      <c r="BL49" s="69">
        <v>6.2555569999999999E-4</v>
      </c>
      <c r="BM49" s="69">
        <v>6.1461540000000002E-4</v>
      </c>
      <c r="BN49" s="69">
        <v>6.0386279999999999E-4</v>
      </c>
      <c r="BO49" s="69">
        <v>5.9329490000000005E-4</v>
      </c>
      <c r="BP49" s="69">
        <v>5.8290879999999998E-4</v>
      </c>
      <c r="BQ49" s="69">
        <v>5.7270159999999999E-4</v>
      </c>
      <c r="BR49" s="69">
        <v>5.6267060000000002E-4</v>
      </c>
      <c r="BS49" s="69">
        <v>5.5281289999999995E-4</v>
      </c>
      <c r="BT49" s="69">
        <v>5.4312559999999998E-4</v>
      </c>
      <c r="BU49" s="69">
        <v>5.3360609999999998E-4</v>
      </c>
      <c r="BV49" s="69">
        <v>5.2425149999999995E-4</v>
      </c>
      <c r="BW49" s="69">
        <v>5.1505919999999996E-4</v>
      </c>
      <c r="BX49" s="69">
        <v>5.0602640000000005E-4</v>
      </c>
      <c r="BY49" s="69">
        <v>4.9715070000000004E-4</v>
      </c>
      <c r="BZ49" s="69">
        <v>4.8842920000000004E-4</v>
      </c>
      <c r="CA49" s="69">
        <v>4.7985950000000002E-4</v>
      </c>
      <c r="CB49" s="69">
        <v>4.7143910000000002E-4</v>
      </c>
      <c r="CC49" s="69">
        <v>4.631654E-4</v>
      </c>
      <c r="CD49" s="69">
        <v>4.5503589999999999E-4</v>
      </c>
      <c r="CE49" s="69">
        <v>4.4704819999999998E-4</v>
      </c>
      <c r="CF49" s="69">
        <v>4.3919990000000002E-4</v>
      </c>
      <c r="CG49" s="69">
        <v>4.3148859999999999E-4</v>
      </c>
      <c r="CH49" s="69">
        <v>4.2391210000000001E-4</v>
      </c>
      <c r="CI49" s="69">
        <v>4.1646789999999999E-4</v>
      </c>
      <c r="CJ49" s="69">
        <v>4.0915390000000003E-4</v>
      </c>
      <c r="CK49" s="69">
        <v>4.0196790000000002E-4</v>
      </c>
      <c r="CL49" s="69">
        <v>3.9490750000000001E-4</v>
      </c>
      <c r="CM49" s="69">
        <v>3.8797069999999998E-4</v>
      </c>
      <c r="CN49" s="69">
        <v>3.8115529999999999E-4</v>
      </c>
      <c r="CO49" s="69">
        <v>3.7445920000000001E-4</v>
      </c>
      <c r="CP49" s="69">
        <v>3.6788050000000002E-4</v>
      </c>
      <c r="CQ49" s="69">
        <v>3.6141690000000002E-4</v>
      </c>
      <c r="CR49" s="69">
        <v>3.5506669999999999E-4</v>
      </c>
      <c r="CS49" s="69">
        <v>3.4882769999999998E-4</v>
      </c>
      <c r="CT49" s="69">
        <v>3.4269809999999998E-4</v>
      </c>
      <c r="CU49" s="69">
        <v>3.36676E-4</v>
      </c>
      <c r="CV49" s="69">
        <v>3.3075949999999998E-4</v>
      </c>
      <c r="CW49" s="69">
        <v>3.249468E-4</v>
      </c>
      <c r="CX49" s="69">
        <v>3.1923599999999998E-4</v>
      </c>
      <c r="CY49" s="69">
        <v>3.1362540000000002E-4</v>
      </c>
      <c r="CZ49" s="69">
        <v>3.0811329999999999E-4</v>
      </c>
      <c r="DA49" s="69">
        <v>3.0269789999999997E-4</v>
      </c>
      <c r="DB49" s="69">
        <v>2.9737760000000002E-4</v>
      </c>
      <c r="DC49" s="69">
        <v>2.9215060000000001E-4</v>
      </c>
      <c r="DD49" s="69">
        <v>2.8701539999999998E-4</v>
      </c>
      <c r="DE49" s="69">
        <v>2.8197040000000001E-4</v>
      </c>
      <c r="DF49" s="69">
        <v>2.7701389999999998E-4</v>
      </c>
      <c r="DG49" s="69">
        <v>2.721445E-4</v>
      </c>
      <c r="DH49" s="69">
        <v>2.673606E-4</v>
      </c>
      <c r="DI49" s="69">
        <v>2.6266069999999998E-4</v>
      </c>
      <c r="DJ49" s="69">
        <v>2.5804339999999998E-4</v>
      </c>
      <c r="DK49" s="69">
        <v>2.5350710000000002E-4</v>
      </c>
      <c r="DL49" s="69">
        <v>2.4905050000000002E-4</v>
      </c>
      <c r="DM49" s="69">
        <v>2.4467230000000003E-4</v>
      </c>
      <c r="DN49" s="69">
        <v>2.4037090000000001E-4</v>
      </c>
      <c r="DO49" s="69">
        <v>2.361451E-4</v>
      </c>
      <c r="DP49" s="69">
        <v>2.3199359999999999E-4</v>
      </c>
      <c r="DQ49" s="69">
        <v>2.27915E-4</v>
      </c>
      <c r="DR49" s="69">
        <v>2.2390809999999999E-4</v>
      </c>
      <c r="DS49" s="69">
        <v>2.1997149999999999E-4</v>
      </c>
      <c r="DT49" s="69">
        <v>2.1610419999999999E-4</v>
      </c>
      <c r="DU49" s="69">
        <v>2.1230479999999999E-4</v>
      </c>
      <c r="DV49" s="69">
        <v>2.0857220000000001E-4</v>
      </c>
      <c r="DW49" s="69">
        <v>2.049052E-4</v>
      </c>
      <c r="DX49" s="69">
        <v>2.0130260000000001E-4</v>
      </c>
      <c r="DY49" s="69">
        <v>1.977634E-4</v>
      </c>
      <c r="DZ49" s="69">
        <v>1.942863E-4</v>
      </c>
      <c r="EA49" s="69">
        <v>1.9087039999999999E-4</v>
      </c>
      <c r="EB49" s="69">
        <v>1.8751449999999999E-4</v>
      </c>
      <c r="EC49" s="69">
        <v>1.8421759999999999E-4</v>
      </c>
      <c r="ED49" s="69">
        <v>1.809786E-4</v>
      </c>
      <c r="EE49" s="69">
        <v>1.7779659999999999E-4</v>
      </c>
      <c r="EF49" s="69">
        <v>1.7467049999999999E-4</v>
      </c>
      <c r="EG49" s="69">
        <v>1.715993E-4</v>
      </c>
      <c r="EH49" s="69">
        <v>1.6858220000000001E-4</v>
      </c>
      <c r="EI49" s="69">
        <v>1.6561810000000001E-4</v>
      </c>
      <c r="EJ49" s="69">
        <v>1.6270609999999999E-4</v>
      </c>
      <c r="EK49" s="69">
        <v>1.598452E-4</v>
      </c>
      <c r="EL49" s="69">
        <v>1.5703470000000001E-4</v>
      </c>
      <c r="EM49" s="69">
        <v>1.5427360000000001E-4</v>
      </c>
      <c r="EN49" s="69">
        <v>1.5156100000000001E-4</v>
      </c>
      <c r="EO49" s="69">
        <v>1.4889610000000001E-4</v>
      </c>
      <c r="EP49" s="69">
        <v>1.4627809999999999E-4</v>
      </c>
      <c r="EQ49" s="69">
        <v>1.4370600000000001E-4</v>
      </c>
      <c r="ER49" s="69">
        <v>1.411792E-4</v>
      </c>
      <c r="ES49" s="69">
        <v>1.3869690000000001E-4</v>
      </c>
      <c r="ET49" s="69">
        <v>1.362581E-4</v>
      </c>
      <c r="EU49" s="69">
        <v>1.3386229999999999E-4</v>
      </c>
      <c r="EV49" s="69">
        <v>1.315085E-4</v>
      </c>
      <c r="EW49" s="69">
        <v>1.291962E-4</v>
      </c>
      <c r="EX49" s="69">
        <v>1.269245E-4</v>
      </c>
      <c r="EY49" s="69">
        <v>1.246927E-4</v>
      </c>
      <c r="EZ49" s="69">
        <v>1.2250020000000001E-4</v>
      </c>
      <c r="FA49" s="69">
        <v>1.203462E-4</v>
      </c>
      <c r="FB49" s="69">
        <v>1.182301E-4</v>
      </c>
      <c r="FC49" s="69">
        <v>1.1615119999999999E-4</v>
      </c>
      <c r="FD49" s="69">
        <v>1.141088E-4</v>
      </c>
      <c r="FE49" s="69">
        <v>1.1210240000000001E-4</v>
      </c>
      <c r="FF49" s="69">
        <v>1.1013119999999999E-4</v>
      </c>
      <c r="FG49" s="69">
        <v>1.081947E-4</v>
      </c>
      <c r="FH49" s="69">
        <v>1.062923E-4</v>
      </c>
      <c r="FI49" s="69">
        <v>1.0442329999999999E-4</v>
      </c>
      <c r="FJ49" s="69">
        <v>1.0258710000000001E-4</v>
      </c>
      <c r="FK49" s="69">
        <v>1.0078329999999999E-4</v>
      </c>
      <c r="FL49" s="69">
        <v>9.9011099999999998E-5</v>
      </c>
      <c r="FM49" s="69">
        <v>9.7270100000000002E-5</v>
      </c>
      <c r="FN49" s="69">
        <v>9.5559700000000006E-5</v>
      </c>
      <c r="FO49" s="69">
        <v>9.3879400000000001E-5</v>
      </c>
      <c r="FP49" s="69">
        <v>9.2228699999999993E-5</v>
      </c>
      <c r="FQ49" s="69">
        <v>9.0606900000000002E-5</v>
      </c>
    </row>
    <row r="50" spans="1:173" x14ac:dyDescent="0.25">
      <c r="A50" s="71">
        <v>48</v>
      </c>
      <c r="B50" s="69">
        <v>1.9514395000000001E-3</v>
      </c>
      <c r="C50" s="69">
        <v>1.9211078999999999E-3</v>
      </c>
      <c r="D50" s="69">
        <v>1.8909843E-3</v>
      </c>
      <c r="E50" s="69">
        <v>1.8610908E-3</v>
      </c>
      <c r="F50" s="69">
        <v>1.8314469999999999E-3</v>
      </c>
      <c r="G50" s="69">
        <v>1.8020703999999999E-3</v>
      </c>
      <c r="H50" s="69">
        <v>1.7729764E-3</v>
      </c>
      <c r="I50" s="69">
        <v>1.7441787999999999E-3</v>
      </c>
      <c r="J50" s="69">
        <v>1.7156895E-3</v>
      </c>
      <c r="K50" s="69">
        <v>1.6875188999999999E-3</v>
      </c>
      <c r="L50" s="69">
        <v>1.6596759999999999E-3</v>
      </c>
      <c r="M50" s="69">
        <v>1.6321686E-3</v>
      </c>
      <c r="N50" s="69">
        <v>1.6050032000000001E-3</v>
      </c>
      <c r="O50" s="69">
        <v>1.5781852E-3</v>
      </c>
      <c r="P50" s="69">
        <v>1.5517191E-3</v>
      </c>
      <c r="Q50" s="69">
        <v>1.5256083E-3</v>
      </c>
      <c r="R50" s="69">
        <v>1.4998555E-3</v>
      </c>
      <c r="S50" s="69">
        <v>1.4744628E-3</v>
      </c>
      <c r="T50" s="69">
        <v>1.4494312E-3</v>
      </c>
      <c r="U50" s="69">
        <v>1.4247615E-3</v>
      </c>
      <c r="V50" s="69">
        <v>1.4004536000000001E-3</v>
      </c>
      <c r="W50" s="69">
        <v>1.3765070999999999E-3</v>
      </c>
      <c r="X50" s="69">
        <v>1.3529211E-3</v>
      </c>
      <c r="Y50" s="69">
        <v>1.3296942E-3</v>
      </c>
      <c r="Z50" s="69">
        <v>1.3068247000000001E-3</v>
      </c>
      <c r="AA50" s="69">
        <v>1.2843106000000001E-3</v>
      </c>
      <c r="AB50" s="69">
        <v>1.2621493000000001E-3</v>
      </c>
      <c r="AC50" s="69">
        <v>1.2403384E-3</v>
      </c>
      <c r="AD50" s="69">
        <v>1.2188749000000001E-3</v>
      </c>
      <c r="AE50" s="69">
        <v>1.1977557E-3</v>
      </c>
      <c r="AF50" s="69">
        <v>1.1769775E-3</v>
      </c>
      <c r="AG50" s="69">
        <v>1.1565369E-3</v>
      </c>
      <c r="AH50" s="69">
        <v>1.1364303E-3</v>
      </c>
      <c r="AI50" s="69">
        <v>1.1166539000000001E-3</v>
      </c>
      <c r="AJ50" s="69">
        <v>1.0972039E-3</v>
      </c>
      <c r="AK50" s="69">
        <v>1.0780764E-3</v>
      </c>
      <c r="AL50" s="69">
        <v>1.0592672999999999E-3</v>
      </c>
      <c r="AM50" s="69">
        <v>1.0407725999999999E-3</v>
      </c>
      <c r="AN50" s="69">
        <v>1.0225881000000001E-3</v>
      </c>
      <c r="AO50" s="69">
        <v>1.0047098E-3</v>
      </c>
      <c r="AP50" s="69">
        <v>9.8713329999999995E-4</v>
      </c>
      <c r="AQ50" s="69">
        <v>9.6985449999999998E-4</v>
      </c>
      <c r="AR50" s="69">
        <v>9.5286909999999999E-4</v>
      </c>
      <c r="AS50" s="69">
        <v>9.3617289999999996E-4</v>
      </c>
      <c r="AT50" s="69">
        <v>9.1976160000000005E-4</v>
      </c>
      <c r="AU50" s="69">
        <v>9.0363100000000001E-4</v>
      </c>
      <c r="AV50" s="69">
        <v>8.8777680000000001E-4</v>
      </c>
      <c r="AW50" s="69">
        <v>8.7219490000000005E-4</v>
      </c>
      <c r="AX50" s="69">
        <v>8.5688099999999998E-4</v>
      </c>
      <c r="AY50" s="69">
        <v>8.4183100000000002E-4</v>
      </c>
      <c r="AZ50" s="69">
        <v>8.2704070000000005E-4</v>
      </c>
      <c r="BA50" s="69">
        <v>8.1250599999999995E-4</v>
      </c>
      <c r="BB50" s="69">
        <v>7.982229E-4</v>
      </c>
      <c r="BC50" s="69">
        <v>7.8418729999999999E-4</v>
      </c>
      <c r="BD50" s="69">
        <v>7.7039519999999996E-4</v>
      </c>
      <c r="BE50" s="69">
        <v>7.568427E-4</v>
      </c>
      <c r="BF50" s="69">
        <v>7.435257E-4</v>
      </c>
      <c r="BG50" s="69">
        <v>7.3044060000000005E-4</v>
      </c>
      <c r="BH50" s="69">
        <v>7.1758330000000004E-4</v>
      </c>
      <c r="BI50" s="69">
        <v>7.0495020000000005E-4</v>
      </c>
      <c r="BJ50" s="69">
        <v>6.925376E-4</v>
      </c>
      <c r="BK50" s="69">
        <v>6.8034159999999998E-4</v>
      </c>
      <c r="BL50" s="69">
        <v>6.6835880000000003E-4</v>
      </c>
      <c r="BM50" s="69">
        <v>6.5658540000000003E-4</v>
      </c>
      <c r="BN50" s="69">
        <v>6.4501800000000002E-4</v>
      </c>
      <c r="BO50" s="69">
        <v>6.3365310000000001E-4</v>
      </c>
      <c r="BP50" s="69">
        <v>6.2248719999999998E-4</v>
      </c>
      <c r="BQ50" s="69">
        <v>6.1151700000000001E-4</v>
      </c>
      <c r="BR50" s="69">
        <v>6.0073910000000002E-4</v>
      </c>
      <c r="BS50" s="69">
        <v>5.9015019999999997E-4</v>
      </c>
      <c r="BT50" s="69">
        <v>5.7974700000000003E-4</v>
      </c>
      <c r="BU50" s="69">
        <v>5.6952649999999995E-4</v>
      </c>
      <c r="BV50" s="69">
        <v>5.594854E-4</v>
      </c>
      <c r="BW50" s="69">
        <v>5.496206E-4</v>
      </c>
      <c r="BX50" s="69">
        <v>5.3992920000000004E-4</v>
      </c>
      <c r="BY50" s="69">
        <v>5.3040800000000001E-4</v>
      </c>
      <c r="BZ50" s="69">
        <v>5.2105420000000003E-4</v>
      </c>
      <c r="CA50" s="69">
        <v>5.1186489999999999E-4</v>
      </c>
      <c r="CB50" s="69">
        <v>5.0283719999999997E-4</v>
      </c>
      <c r="CC50" s="69">
        <v>4.9396830000000001E-4</v>
      </c>
      <c r="CD50" s="69">
        <v>4.8525549999999998E-4</v>
      </c>
      <c r="CE50" s="69">
        <v>4.766959E-4</v>
      </c>
      <c r="CF50" s="69">
        <v>4.6828700000000001E-4</v>
      </c>
      <c r="CG50" s="69">
        <v>4.600262E-4</v>
      </c>
      <c r="CH50" s="69">
        <v>4.5191079999999998E-4</v>
      </c>
      <c r="CI50" s="69">
        <v>4.439383E-4</v>
      </c>
      <c r="CJ50" s="69">
        <v>4.3610619999999998E-4</v>
      </c>
      <c r="CK50" s="69">
        <v>4.2841210000000001E-4</v>
      </c>
      <c r="CL50" s="69">
        <v>4.2085350000000001E-4</v>
      </c>
      <c r="CM50" s="69">
        <v>4.1342810000000001E-4</v>
      </c>
      <c r="CN50" s="69">
        <v>4.0613349999999999E-4</v>
      </c>
      <c r="CO50" s="69">
        <v>3.9896750000000003E-4</v>
      </c>
      <c r="CP50" s="69">
        <v>3.919277E-4</v>
      </c>
      <c r="CQ50" s="69">
        <v>3.8501200000000001E-4</v>
      </c>
      <c r="CR50" s="69">
        <v>3.7821829999999998E-4</v>
      </c>
      <c r="CS50" s="69">
        <v>3.7154430000000001E-4</v>
      </c>
      <c r="CT50" s="69">
        <v>3.6498789999999998E-4</v>
      </c>
      <c r="CU50" s="69">
        <v>3.5854719999999998E-4</v>
      </c>
      <c r="CV50" s="69">
        <v>3.5221999999999999E-4</v>
      </c>
      <c r="CW50" s="69">
        <v>3.4600439999999999E-4</v>
      </c>
      <c r="CX50" s="69">
        <v>3.3989829999999998E-4</v>
      </c>
      <c r="CY50" s="69">
        <v>3.3389999999999998E-4</v>
      </c>
      <c r="CZ50" s="69">
        <v>3.2800739999999998E-4</v>
      </c>
      <c r="DA50" s="69">
        <v>3.2221879999999999E-4</v>
      </c>
      <c r="DB50" s="69">
        <v>3.1653230000000001E-4</v>
      </c>
      <c r="DC50" s="69">
        <v>3.1094599999999999E-4</v>
      </c>
      <c r="DD50" s="69">
        <v>3.0545829999999998E-4</v>
      </c>
      <c r="DE50" s="69">
        <v>3.0006740000000003E-4</v>
      </c>
      <c r="DF50" s="69">
        <v>2.9477159999999997E-4</v>
      </c>
      <c r="DG50" s="69">
        <v>2.8956920000000001E-4</v>
      </c>
      <c r="DH50" s="69">
        <v>2.8445860000000001E-4</v>
      </c>
      <c r="DI50" s="69">
        <v>2.7943819999999998E-4</v>
      </c>
      <c r="DJ50" s="69">
        <v>2.7450629999999998E-4</v>
      </c>
      <c r="DK50" s="69">
        <v>2.6966140000000001E-4</v>
      </c>
      <c r="DL50" s="69">
        <v>2.6490200000000002E-4</v>
      </c>
      <c r="DM50" s="69">
        <v>2.602266E-4</v>
      </c>
      <c r="DN50" s="69">
        <v>2.5563369999999998E-4</v>
      </c>
      <c r="DO50" s="69">
        <v>2.5112179999999998E-4</v>
      </c>
      <c r="DP50" s="69">
        <v>2.4668949999999998E-4</v>
      </c>
      <c r="DQ50" s="69">
        <v>2.423355E-4</v>
      </c>
      <c r="DR50" s="69">
        <v>2.3805819999999999E-4</v>
      </c>
      <c r="DS50" s="69">
        <v>2.3385650000000001E-4</v>
      </c>
      <c r="DT50" s="69">
        <v>2.2972889999999999E-4</v>
      </c>
      <c r="DU50" s="69">
        <v>2.2567409999999999E-4</v>
      </c>
      <c r="DV50" s="69">
        <v>2.216908E-4</v>
      </c>
      <c r="DW50" s="69">
        <v>2.1777790000000001E-4</v>
      </c>
      <c r="DX50" s="69">
        <v>2.1393399999999999E-4</v>
      </c>
      <c r="DY50" s="69">
        <v>2.101579E-4</v>
      </c>
      <c r="DZ50" s="69">
        <v>2.0644850000000001E-4</v>
      </c>
      <c r="EA50" s="69">
        <v>2.0280459999999999E-4</v>
      </c>
      <c r="EB50" s="69">
        <v>1.992249E-4</v>
      </c>
      <c r="EC50" s="69">
        <v>1.957084E-4</v>
      </c>
      <c r="ED50" s="69">
        <v>1.9225399999999999E-4</v>
      </c>
      <c r="EE50" s="69">
        <v>1.8886059999999999E-4</v>
      </c>
      <c r="EF50" s="69">
        <v>1.85527E-4</v>
      </c>
      <c r="EG50" s="69">
        <v>1.8225230000000001E-4</v>
      </c>
      <c r="EH50" s="69">
        <v>1.7903529999999999E-4</v>
      </c>
      <c r="EI50" s="69">
        <v>1.7587519999999999E-4</v>
      </c>
      <c r="EJ50" s="69">
        <v>1.7277079999999999E-4</v>
      </c>
      <c r="EK50" s="69">
        <v>1.697212E-4</v>
      </c>
      <c r="EL50" s="69">
        <v>1.667254E-4</v>
      </c>
      <c r="EM50" s="69">
        <v>1.6378249999999999E-4</v>
      </c>
      <c r="EN50" s="69">
        <v>1.6089150000000001E-4</v>
      </c>
      <c r="EO50" s="69">
        <v>1.580516E-4</v>
      </c>
      <c r="EP50" s="69">
        <v>1.5526170000000001E-4</v>
      </c>
      <c r="EQ50" s="69">
        <v>1.5252110000000001E-4</v>
      </c>
      <c r="ER50" s="69">
        <v>1.498289E-4</v>
      </c>
      <c r="ES50" s="69">
        <v>1.4718420000000001E-4</v>
      </c>
      <c r="ET50" s="69">
        <v>1.445862E-4</v>
      </c>
      <c r="EU50" s="69">
        <v>1.4203410000000001E-4</v>
      </c>
      <c r="EV50" s="69">
        <v>1.3952689999999999E-4</v>
      </c>
      <c r="EW50" s="69">
        <v>1.3706410000000001E-4</v>
      </c>
      <c r="EX50" s="69">
        <v>1.346447E-4</v>
      </c>
      <c r="EY50" s="69">
        <v>1.32268E-4</v>
      </c>
      <c r="EZ50" s="69">
        <v>1.299332E-4</v>
      </c>
      <c r="FA50" s="69">
        <v>1.276397E-4</v>
      </c>
      <c r="FB50" s="69">
        <v>1.253866E-4</v>
      </c>
      <c r="FC50" s="69">
        <v>1.231734E-4</v>
      </c>
      <c r="FD50" s="69">
        <v>1.2099910000000001E-4</v>
      </c>
      <c r="FE50" s="69">
        <v>1.188633E-4</v>
      </c>
      <c r="FF50" s="69">
        <v>1.167651E-4</v>
      </c>
      <c r="FG50" s="69">
        <v>1.14704E-4</v>
      </c>
      <c r="FH50" s="69">
        <v>1.126793E-4</v>
      </c>
      <c r="FI50" s="69">
        <v>1.1069030000000001E-4</v>
      </c>
      <c r="FJ50" s="69">
        <v>1.087364E-4</v>
      </c>
      <c r="FK50" s="69">
        <v>1.06817E-4</v>
      </c>
      <c r="FL50" s="69">
        <v>1.049315E-4</v>
      </c>
      <c r="FM50" s="69">
        <v>1.0307919999999999E-4</v>
      </c>
      <c r="FN50" s="69">
        <v>1.012597E-4</v>
      </c>
      <c r="FO50" s="69">
        <v>9.9472300000000006E-5</v>
      </c>
      <c r="FP50" s="69">
        <v>9.7716399999999998E-5</v>
      </c>
      <c r="FQ50" s="69">
        <v>9.5991500000000004E-5</v>
      </c>
    </row>
    <row r="51" spans="1:173" x14ac:dyDescent="0.25">
      <c r="A51" s="71">
        <v>49</v>
      </c>
      <c r="B51" s="69">
        <v>2.1408731000000002E-3</v>
      </c>
      <c r="C51" s="69">
        <v>2.1099206000000001E-3</v>
      </c>
      <c r="D51" s="69">
        <v>2.0789786000000002E-3</v>
      </c>
      <c r="E51" s="69">
        <v>2.0480879E-3</v>
      </c>
      <c r="F51" s="69">
        <v>2.0172857E-3</v>
      </c>
      <c r="G51" s="69">
        <v>1.9866057E-3</v>
      </c>
      <c r="H51" s="69">
        <v>1.9560783000000001E-3</v>
      </c>
      <c r="I51" s="69">
        <v>1.925731E-3</v>
      </c>
      <c r="J51" s="69">
        <v>1.8955888E-3</v>
      </c>
      <c r="K51" s="69">
        <v>1.8656737E-3</v>
      </c>
      <c r="L51" s="69">
        <v>1.8360057E-3</v>
      </c>
      <c r="M51" s="69">
        <v>1.8066025E-3</v>
      </c>
      <c r="N51" s="69">
        <v>1.7774798000000001E-3</v>
      </c>
      <c r="O51" s="69">
        <v>1.7486514999999999E-3</v>
      </c>
      <c r="P51" s="69">
        <v>1.7201298E-3</v>
      </c>
      <c r="Q51" s="69">
        <v>1.6919252E-3</v>
      </c>
      <c r="R51" s="69">
        <v>1.6640470000000001E-3</v>
      </c>
      <c r="S51" s="69">
        <v>1.6365030000000001E-3</v>
      </c>
      <c r="T51" s="69">
        <v>1.6092998000000001E-3</v>
      </c>
      <c r="U51" s="69">
        <v>1.5824432000000001E-3</v>
      </c>
      <c r="V51" s="69">
        <v>1.5559374E-3</v>
      </c>
      <c r="W51" s="69">
        <v>1.5297863999999999E-3</v>
      </c>
      <c r="X51" s="69">
        <v>1.5039927E-3</v>
      </c>
      <c r="Y51" s="69">
        <v>1.4785584E-3</v>
      </c>
      <c r="Z51" s="69">
        <v>1.4534849E-3</v>
      </c>
      <c r="AA51" s="69">
        <v>1.4287728000000001E-3</v>
      </c>
      <c r="AB51" s="69">
        <v>1.4044223000000001E-3</v>
      </c>
      <c r="AC51" s="69">
        <v>1.3804329000000001E-3</v>
      </c>
      <c r="AD51" s="69">
        <v>1.3568038E-3</v>
      </c>
      <c r="AE51" s="69">
        <v>1.3335337E-3</v>
      </c>
      <c r="AF51" s="69">
        <v>1.3106210000000001E-3</v>
      </c>
      <c r="AG51" s="69">
        <v>1.2880635000000001E-3</v>
      </c>
      <c r="AH51" s="69">
        <v>1.2658589E-3</v>
      </c>
      <c r="AI51" s="69">
        <v>1.2440048E-3</v>
      </c>
      <c r="AJ51" s="69">
        <v>1.2224981000000001E-3</v>
      </c>
      <c r="AK51" s="69">
        <v>1.2013359000000001E-3</v>
      </c>
      <c r="AL51" s="69">
        <v>1.1805148E-3</v>
      </c>
      <c r="AM51" s="69">
        <v>1.1600314999999999E-3</v>
      </c>
      <c r="AN51" s="69">
        <v>1.1398824E-3</v>
      </c>
      <c r="AO51" s="69">
        <v>1.1200636999999999E-3</v>
      </c>
      <c r="AP51" s="69">
        <v>1.1005717000000001E-3</v>
      </c>
      <c r="AQ51" s="69">
        <v>1.0814024000000001E-3</v>
      </c>
      <c r="AR51" s="69">
        <v>1.0625518E-3</v>
      </c>
      <c r="AS51" s="69">
        <v>1.0440159E-3</v>
      </c>
      <c r="AT51" s="69">
        <v>1.0257905999999999E-3</v>
      </c>
      <c r="AU51" s="69">
        <v>1.0078717E-3</v>
      </c>
      <c r="AV51" s="69">
        <v>9.90255E-4</v>
      </c>
      <c r="AW51" s="69">
        <v>9.7293629999999998E-4</v>
      </c>
      <c r="AX51" s="69">
        <v>9.5591130000000004E-4</v>
      </c>
      <c r="AY51" s="69">
        <v>9.3917589999999997E-4</v>
      </c>
      <c r="AZ51" s="69">
        <v>9.2272579999999995E-4</v>
      </c>
      <c r="BA51" s="69">
        <v>9.0655670000000001E-4</v>
      </c>
      <c r="BB51" s="69">
        <v>8.9066440000000002E-4</v>
      </c>
      <c r="BC51" s="69">
        <v>8.7504480000000001E-4</v>
      </c>
      <c r="BD51" s="69">
        <v>8.5969360000000001E-4</v>
      </c>
      <c r="BE51" s="69">
        <v>8.4460660000000001E-4</v>
      </c>
      <c r="BF51" s="69">
        <v>8.2977970000000002E-4</v>
      </c>
      <c r="BG51" s="69">
        <v>8.1520889999999997E-4</v>
      </c>
      <c r="BH51" s="69">
        <v>8.0088999999999996E-4</v>
      </c>
      <c r="BI51" s="69">
        <v>7.8681889999999998E-4</v>
      </c>
      <c r="BJ51" s="69">
        <v>7.7299179999999995E-4</v>
      </c>
      <c r="BK51" s="69">
        <v>7.5940459999999997E-4</v>
      </c>
      <c r="BL51" s="69">
        <v>7.4605340000000002E-4</v>
      </c>
      <c r="BM51" s="69">
        <v>7.329344E-4</v>
      </c>
      <c r="BN51" s="69">
        <v>7.2004369999999999E-4</v>
      </c>
      <c r="BO51" s="69">
        <v>7.0737749999999998E-4</v>
      </c>
      <c r="BP51" s="69">
        <v>6.9493210000000003E-4</v>
      </c>
      <c r="BQ51" s="69">
        <v>6.8270379999999995E-4</v>
      </c>
      <c r="BR51" s="69">
        <v>6.7068900000000003E-4</v>
      </c>
      <c r="BS51" s="69">
        <v>6.5888399999999999E-4</v>
      </c>
      <c r="BT51" s="69">
        <v>6.4728539999999997E-4</v>
      </c>
      <c r="BU51" s="69">
        <v>6.3588969999999996E-4</v>
      </c>
      <c r="BV51" s="69">
        <v>6.2469330000000005E-4</v>
      </c>
      <c r="BW51" s="69">
        <v>6.1369300000000001E-4</v>
      </c>
      <c r="BX51" s="69">
        <v>6.0288530000000005E-4</v>
      </c>
      <c r="BY51" s="69">
        <v>5.9226709999999998E-4</v>
      </c>
      <c r="BZ51" s="69">
        <v>5.8183490000000002E-4</v>
      </c>
      <c r="CA51" s="69">
        <v>5.7158570000000002E-4</v>
      </c>
      <c r="CB51" s="69">
        <v>5.6151629999999996E-4</v>
      </c>
      <c r="CC51" s="69">
        <v>5.5162359999999999E-4</v>
      </c>
      <c r="CD51" s="69">
        <v>5.4190450000000002E-4</v>
      </c>
      <c r="CE51" s="69">
        <v>5.3235610000000003E-4</v>
      </c>
      <c r="CF51" s="69">
        <v>5.2297539999999999E-4</v>
      </c>
      <c r="CG51" s="69">
        <v>5.1375949999999998E-4</v>
      </c>
      <c r="CH51" s="69">
        <v>5.0470560000000003E-4</v>
      </c>
      <c r="CI51" s="69">
        <v>4.9581080000000001E-4</v>
      </c>
      <c r="CJ51" s="69">
        <v>4.8707230000000001E-4</v>
      </c>
      <c r="CK51" s="69">
        <v>4.7848759999999998E-4</v>
      </c>
      <c r="CL51" s="69">
        <v>4.7005369999999997E-4</v>
      </c>
      <c r="CM51" s="69">
        <v>4.6176829999999998E-4</v>
      </c>
      <c r="CN51" s="69">
        <v>4.5362860000000002E-4</v>
      </c>
      <c r="CO51" s="69">
        <v>4.4563209999999999E-4</v>
      </c>
      <c r="CP51" s="69">
        <v>4.3777630000000001E-4</v>
      </c>
      <c r="CQ51" s="69">
        <v>4.3005879999999998E-4</v>
      </c>
      <c r="CR51" s="69">
        <v>4.224772E-4</v>
      </c>
      <c r="CS51" s="69">
        <v>4.1502899999999997E-4</v>
      </c>
      <c r="CT51" s="69">
        <v>4.0771189999999998E-4</v>
      </c>
      <c r="CU51" s="69">
        <v>4.0052369999999998E-4</v>
      </c>
      <c r="CV51" s="69">
        <v>3.934621E-4</v>
      </c>
      <c r="CW51" s="69">
        <v>3.8652480000000002E-4</v>
      </c>
      <c r="CX51" s="69">
        <v>3.7970970000000001E-4</v>
      </c>
      <c r="CY51" s="69">
        <v>3.7301469999999998E-4</v>
      </c>
      <c r="CZ51" s="69">
        <v>3.6643759999999999E-4</v>
      </c>
      <c r="DA51" s="69">
        <v>3.5997630000000002E-4</v>
      </c>
      <c r="DB51" s="69">
        <v>3.5362890000000002E-4</v>
      </c>
      <c r="DC51" s="69">
        <v>3.4739329999999998E-4</v>
      </c>
      <c r="DD51" s="69">
        <v>3.4126760000000001E-4</v>
      </c>
      <c r="DE51" s="69">
        <v>3.3524990000000001E-4</v>
      </c>
      <c r="DF51" s="69">
        <v>3.293382E-4</v>
      </c>
      <c r="DG51" s="69">
        <v>3.2353059999999998E-4</v>
      </c>
      <c r="DH51" s="69">
        <v>3.1782540000000001E-4</v>
      </c>
      <c r="DI51" s="69">
        <v>3.1222079999999999E-4</v>
      </c>
      <c r="DJ51" s="69">
        <v>3.0671490000000001E-4</v>
      </c>
      <c r="DK51" s="69">
        <v>3.0130610000000003E-4</v>
      </c>
      <c r="DL51" s="69">
        <v>2.9599260000000001E-4</v>
      </c>
      <c r="DM51" s="69">
        <v>2.9077280000000002E-4</v>
      </c>
      <c r="DN51" s="69">
        <v>2.8564500000000001E-4</v>
      </c>
      <c r="DO51" s="69">
        <v>2.806075E-4</v>
      </c>
      <c r="DP51" s="69">
        <v>2.756589E-4</v>
      </c>
      <c r="DQ51" s="69">
        <v>2.7079749999999998E-4</v>
      </c>
      <c r="DR51" s="69">
        <v>2.660219E-4</v>
      </c>
      <c r="DS51" s="69">
        <v>2.6133040000000002E-4</v>
      </c>
      <c r="DT51" s="69">
        <v>2.567216E-4</v>
      </c>
      <c r="DU51" s="69">
        <v>2.521941E-4</v>
      </c>
      <c r="DV51" s="69">
        <v>2.477464E-4</v>
      </c>
      <c r="DW51" s="69">
        <v>2.433771E-4</v>
      </c>
      <c r="DX51" s="69">
        <v>2.3908480000000001E-4</v>
      </c>
      <c r="DY51" s="69">
        <v>2.348683E-4</v>
      </c>
      <c r="DZ51" s="69">
        <v>2.3072610000000001E-4</v>
      </c>
      <c r="EA51" s="69">
        <v>2.266569E-4</v>
      </c>
      <c r="EB51" s="69">
        <v>2.226594E-4</v>
      </c>
      <c r="EC51" s="69">
        <v>2.187325E-4</v>
      </c>
      <c r="ED51" s="69">
        <v>2.1487479999999999E-4</v>
      </c>
      <c r="EE51" s="69">
        <v>2.110851E-4</v>
      </c>
      <c r="EF51" s="69">
        <v>2.0736229999999999E-4</v>
      </c>
      <c r="EG51" s="69">
        <v>2.0370499999999999E-4</v>
      </c>
      <c r="EH51" s="69">
        <v>2.0011230000000001E-4</v>
      </c>
      <c r="EI51" s="69">
        <v>1.9658300000000001E-4</v>
      </c>
      <c r="EJ51" s="69">
        <v>1.931158E-4</v>
      </c>
      <c r="EK51" s="69">
        <v>1.8970980000000001E-4</v>
      </c>
      <c r="EL51" s="69">
        <v>1.863639E-4</v>
      </c>
      <c r="EM51" s="69">
        <v>1.83077E-4</v>
      </c>
      <c r="EN51" s="69">
        <v>1.79848E-4</v>
      </c>
      <c r="EO51" s="69">
        <v>1.7667599999999999E-4</v>
      </c>
      <c r="EP51" s="69">
        <v>1.7355990000000001E-4</v>
      </c>
      <c r="EQ51" s="69">
        <v>1.7049879999999999E-4</v>
      </c>
      <c r="ER51" s="69">
        <v>1.6749169999999999E-4</v>
      </c>
      <c r="ES51" s="69">
        <v>1.6453759999999999E-4</v>
      </c>
      <c r="ET51" s="69">
        <v>1.6163549999999999E-4</v>
      </c>
      <c r="EU51" s="69">
        <v>1.587847E-4</v>
      </c>
      <c r="EV51" s="69">
        <v>1.559842E-4</v>
      </c>
      <c r="EW51" s="69">
        <v>1.5323299999999999E-4</v>
      </c>
      <c r="EX51" s="69">
        <v>1.505303E-4</v>
      </c>
      <c r="EY51" s="69">
        <v>1.478753E-4</v>
      </c>
      <c r="EZ51" s="69">
        <v>1.4526719999999999E-4</v>
      </c>
      <c r="FA51" s="69">
        <v>1.42705E-4</v>
      </c>
      <c r="FB51" s="69">
        <v>1.4018799999999999E-4</v>
      </c>
      <c r="FC51" s="69">
        <v>1.3771540000000001E-4</v>
      </c>
      <c r="FD51" s="69">
        <v>1.3528640000000001E-4</v>
      </c>
      <c r="FE51" s="69">
        <v>1.329003E-4</v>
      </c>
      <c r="FF51" s="69">
        <v>1.305562E-4</v>
      </c>
      <c r="FG51" s="69">
        <v>1.282535E-4</v>
      </c>
      <c r="FH51" s="69">
        <v>1.2599139999999999E-4</v>
      </c>
      <c r="FI51" s="69">
        <v>1.2376919999999999E-4</v>
      </c>
      <c r="FJ51" s="69">
        <v>1.215862E-4</v>
      </c>
      <c r="FK51" s="69">
        <v>1.194416E-4</v>
      </c>
      <c r="FL51" s="69">
        <v>1.1733489999999999E-4</v>
      </c>
      <c r="FM51" s="69">
        <v>1.152654E-4</v>
      </c>
      <c r="FN51" s="69">
        <v>1.132324E-4</v>
      </c>
      <c r="FO51" s="69">
        <v>1.112352E-4</v>
      </c>
      <c r="FP51" s="69">
        <v>1.092732E-4</v>
      </c>
      <c r="FQ51" s="69">
        <v>1.073458E-4</v>
      </c>
    </row>
    <row r="52" spans="1:173" x14ac:dyDescent="0.25">
      <c r="A52" s="71">
        <v>50</v>
      </c>
      <c r="B52" s="69">
        <v>2.3851303000000002E-3</v>
      </c>
      <c r="C52" s="69">
        <v>2.3482511E-3</v>
      </c>
      <c r="D52" s="69">
        <v>2.3115715999999999E-3</v>
      </c>
      <c r="E52" s="69">
        <v>2.2751242E-3</v>
      </c>
      <c r="F52" s="69">
        <v>2.2389379000000002E-3</v>
      </c>
      <c r="G52" s="69">
        <v>2.2030385999999998E-3</v>
      </c>
      <c r="H52" s="69">
        <v>2.1674496999999999E-3</v>
      </c>
      <c r="I52" s="69">
        <v>2.1321917000000001E-3</v>
      </c>
      <c r="J52" s="69">
        <v>2.0972830000000001E-3</v>
      </c>
      <c r="K52" s="69">
        <v>2.0627394000000002E-3</v>
      </c>
      <c r="L52" s="69">
        <v>2.0285752E-3</v>
      </c>
      <c r="M52" s="69">
        <v>1.9948025000000001E-3</v>
      </c>
      <c r="N52" s="69">
        <v>1.9614317999999999E-3</v>
      </c>
      <c r="O52" s="69">
        <v>1.9284720000000001E-3</v>
      </c>
      <c r="P52" s="69">
        <v>1.8959306999999999E-3</v>
      </c>
      <c r="Q52" s="69">
        <v>1.8638140999999999E-3</v>
      </c>
      <c r="R52" s="69">
        <v>1.8321271000000001E-3</v>
      </c>
      <c r="S52" s="69">
        <v>1.8008738E-3</v>
      </c>
      <c r="T52" s="69">
        <v>1.770057E-3</v>
      </c>
      <c r="U52" s="69">
        <v>1.7396788E-3</v>
      </c>
      <c r="V52" s="69">
        <v>1.7097404000000001E-3</v>
      </c>
      <c r="W52" s="69">
        <v>1.6802423000000001E-3</v>
      </c>
      <c r="X52" s="69">
        <v>1.6511843000000001E-3</v>
      </c>
      <c r="Y52" s="69">
        <v>1.6225655E-3</v>
      </c>
      <c r="Z52" s="69">
        <v>1.5943846999999999E-3</v>
      </c>
      <c r="AA52" s="69">
        <v>1.5666399E-3</v>
      </c>
      <c r="AB52" s="69">
        <v>1.5393288E-3</v>
      </c>
      <c r="AC52" s="69">
        <v>1.5124488000000001E-3</v>
      </c>
      <c r="AD52" s="69">
        <v>1.4859967999999999E-3</v>
      </c>
      <c r="AE52" s="69">
        <v>1.4599693000000001E-3</v>
      </c>
      <c r="AF52" s="69">
        <v>1.4343628000000001E-3</v>
      </c>
      <c r="AG52" s="69">
        <v>1.4091733E-3</v>
      </c>
      <c r="AH52" s="69">
        <v>1.3843966E-3</v>
      </c>
      <c r="AI52" s="69">
        <v>1.3600284E-3</v>
      </c>
      <c r="AJ52" s="69">
        <v>1.3360643E-3</v>
      </c>
      <c r="AK52" s="69">
        <v>1.3124995999999999E-3</v>
      </c>
      <c r="AL52" s="69">
        <v>1.2893294E-3</v>
      </c>
      <c r="AM52" s="69">
        <v>1.2665490000000001E-3</v>
      </c>
      <c r="AN52" s="69">
        <v>1.2441532999999999E-3</v>
      </c>
      <c r="AO52" s="69">
        <v>1.2221373E-3</v>
      </c>
      <c r="AP52" s="69">
        <v>1.2004959000000001E-3</v>
      </c>
      <c r="AQ52" s="69">
        <v>1.179224E-3</v>
      </c>
      <c r="AR52" s="69">
        <v>1.1583163E-3</v>
      </c>
      <c r="AS52" s="69">
        <v>1.1377677000000001E-3</v>
      </c>
      <c r="AT52" s="69">
        <v>1.117573E-3</v>
      </c>
      <c r="AU52" s="69">
        <v>1.0977268999999999E-3</v>
      </c>
      <c r="AV52" s="69">
        <v>1.0782242000000001E-3</v>
      </c>
      <c r="AW52" s="69">
        <v>1.0590597E-3</v>
      </c>
      <c r="AX52" s="69">
        <v>1.0402282000000001E-3</v>
      </c>
      <c r="AY52" s="69">
        <v>1.0217245000000001E-3</v>
      </c>
      <c r="AZ52" s="69">
        <v>1.0035436E-3</v>
      </c>
      <c r="BA52" s="69">
        <v>9.8568019999999991E-4</v>
      </c>
      <c r="BB52" s="69">
        <v>9.681294E-4</v>
      </c>
      <c r="BC52" s="69">
        <v>9.508861E-4</v>
      </c>
      <c r="BD52" s="69">
        <v>9.3394530000000004E-4</v>
      </c>
      <c r="BE52" s="69">
        <v>9.1730209999999997E-4</v>
      </c>
      <c r="BF52" s="69">
        <v>9.0095159999999997E-4</v>
      </c>
      <c r="BG52" s="69">
        <v>8.848889E-4</v>
      </c>
      <c r="BH52" s="69">
        <v>8.6910939999999999E-4</v>
      </c>
      <c r="BI52" s="69">
        <v>8.5360809999999998E-4</v>
      </c>
      <c r="BJ52" s="69">
        <v>8.3838059999999999E-4</v>
      </c>
      <c r="BK52" s="69">
        <v>8.2342220000000005E-4</v>
      </c>
      <c r="BL52" s="69">
        <v>8.0872829999999998E-4</v>
      </c>
      <c r="BM52" s="69">
        <v>7.942944E-4</v>
      </c>
      <c r="BN52" s="69">
        <v>7.8011620000000004E-4</v>
      </c>
      <c r="BO52" s="69">
        <v>7.6618919999999998E-4</v>
      </c>
      <c r="BP52" s="69">
        <v>7.5250909999999998E-4</v>
      </c>
      <c r="BQ52" s="69">
        <v>7.3907179999999995E-4</v>
      </c>
      <c r="BR52" s="69">
        <v>7.258729E-4</v>
      </c>
      <c r="BS52" s="69">
        <v>7.1290850000000001E-4</v>
      </c>
      <c r="BT52" s="69">
        <v>7.0017440000000005E-4</v>
      </c>
      <c r="BU52" s="69">
        <v>6.8766659999999996E-4</v>
      </c>
      <c r="BV52" s="69">
        <v>6.7538120000000003E-4</v>
      </c>
      <c r="BW52" s="69">
        <v>6.6331440000000005E-4</v>
      </c>
      <c r="BX52" s="69">
        <v>6.514623E-4</v>
      </c>
      <c r="BY52" s="69">
        <v>6.3982109999999998E-4</v>
      </c>
      <c r="BZ52" s="69">
        <v>6.2838719999999996E-4</v>
      </c>
      <c r="CA52" s="69">
        <v>6.1715700000000001E-4</v>
      </c>
      <c r="CB52" s="69">
        <v>6.0612679999999996E-4</v>
      </c>
      <c r="CC52" s="69">
        <v>5.9529319999999995E-4</v>
      </c>
      <c r="CD52" s="69">
        <v>5.8465269999999998E-4</v>
      </c>
      <c r="CE52" s="69">
        <v>5.7420189999999997E-4</v>
      </c>
      <c r="CF52" s="69">
        <v>5.6393739999999995E-4</v>
      </c>
      <c r="CG52" s="69">
        <v>5.5385600000000003E-4</v>
      </c>
      <c r="CH52" s="69">
        <v>5.4395449999999998E-4</v>
      </c>
      <c r="CI52" s="69">
        <v>5.3422959999999999E-4</v>
      </c>
      <c r="CJ52" s="69">
        <v>5.2467819999999995E-4</v>
      </c>
      <c r="CK52" s="69">
        <v>5.1529720000000002E-4</v>
      </c>
      <c r="CL52" s="69">
        <v>5.060838E-4</v>
      </c>
      <c r="CM52" s="69">
        <v>4.9703469999999995E-4</v>
      </c>
      <c r="CN52" s="69">
        <v>4.8814730000000002E-4</v>
      </c>
      <c r="CO52" s="69">
        <v>4.7941850000000002E-4</v>
      </c>
      <c r="CP52" s="69">
        <v>4.708456E-4</v>
      </c>
      <c r="CQ52" s="69">
        <v>4.6242579999999998E-4</v>
      </c>
      <c r="CR52" s="69">
        <v>4.5415640000000002E-4</v>
      </c>
      <c r="CS52" s="69">
        <v>4.4603470000000001E-4</v>
      </c>
      <c r="CT52" s="69">
        <v>4.3805809999999999E-4</v>
      </c>
      <c r="CU52" s="69">
        <v>4.3022399999999999E-4</v>
      </c>
      <c r="CV52" s="69">
        <v>4.2252989999999997E-4</v>
      </c>
      <c r="CW52" s="69">
        <v>4.1497320000000003E-4</v>
      </c>
      <c r="CX52" s="69">
        <v>4.0755160000000002E-4</v>
      </c>
      <c r="CY52" s="69">
        <v>4.0026260000000001E-4</v>
      </c>
      <c r="CZ52" s="69">
        <v>3.9310389999999999E-4</v>
      </c>
      <c r="DA52" s="69">
        <v>3.860731E-4</v>
      </c>
      <c r="DB52" s="69">
        <v>3.7916799999999999E-4</v>
      </c>
      <c r="DC52" s="69">
        <v>3.7238629999999999E-4</v>
      </c>
      <c r="DD52" s="69">
        <v>3.6572580000000001E-4</v>
      </c>
      <c r="DE52" s="69">
        <v>3.591844E-4</v>
      </c>
      <c r="DF52" s="69">
        <v>3.527599E-4</v>
      </c>
      <c r="DG52" s="69">
        <v>3.4645029999999999E-4</v>
      </c>
      <c r="DH52" s="69">
        <v>3.4025340000000002E-4</v>
      </c>
      <c r="DI52" s="69">
        <v>3.3416739999999999E-4</v>
      </c>
      <c r="DJ52" s="69">
        <v>3.2819009999999999E-4</v>
      </c>
      <c r="DK52" s="69">
        <v>3.223198E-4</v>
      </c>
      <c r="DL52" s="69">
        <v>3.1655440000000001E-4</v>
      </c>
      <c r="DM52" s="69">
        <v>3.1089209999999998E-4</v>
      </c>
      <c r="DN52" s="69">
        <v>3.0533099999999999E-4</v>
      </c>
      <c r="DO52" s="69">
        <v>2.9986930000000002E-4</v>
      </c>
      <c r="DP52" s="69">
        <v>2.945054E-4</v>
      </c>
      <c r="DQ52" s="69">
        <v>2.8923730000000002E-4</v>
      </c>
      <c r="DR52" s="69">
        <v>2.8406349999999999E-4</v>
      </c>
      <c r="DS52" s="69">
        <v>2.7898210000000003E-4</v>
      </c>
      <c r="DT52" s="69">
        <v>2.7399169999999998E-4</v>
      </c>
      <c r="DU52" s="69">
        <v>2.6909049999999999E-4</v>
      </c>
      <c r="DV52" s="69">
        <v>2.6427690000000001E-4</v>
      </c>
      <c r="DW52" s="69">
        <v>2.5954940000000001E-4</v>
      </c>
      <c r="DX52" s="69">
        <v>2.5490650000000001E-4</v>
      </c>
      <c r="DY52" s="69">
        <v>2.5034660000000002E-4</v>
      </c>
      <c r="DZ52" s="69">
        <v>2.4586829999999999E-4</v>
      </c>
      <c r="EA52" s="69">
        <v>2.4147E-4</v>
      </c>
      <c r="EB52" s="69">
        <v>2.3715039999999999E-4</v>
      </c>
      <c r="EC52" s="69">
        <v>2.3290809999999999E-4</v>
      </c>
      <c r="ED52" s="69">
        <v>2.2874169999999999E-4</v>
      </c>
      <c r="EE52" s="69">
        <v>2.2464969999999999E-4</v>
      </c>
      <c r="EF52" s="69">
        <v>2.20631E-4</v>
      </c>
      <c r="EG52" s="69">
        <v>2.1668410000000001E-4</v>
      </c>
      <c r="EH52" s="69">
        <v>2.128078E-4</v>
      </c>
      <c r="EI52" s="69">
        <v>2.0900089999999999E-4</v>
      </c>
      <c r="EJ52" s="69">
        <v>2.05262E-4</v>
      </c>
      <c r="EK52" s="69">
        <v>2.0159010000000001E-4</v>
      </c>
      <c r="EL52" s="69">
        <v>1.9798379999999999E-4</v>
      </c>
      <c r="EM52" s="69">
        <v>1.9444199999999999E-4</v>
      </c>
      <c r="EN52" s="69">
        <v>1.909635E-4</v>
      </c>
      <c r="EO52" s="69">
        <v>1.8754730000000001E-4</v>
      </c>
      <c r="EP52" s="69">
        <v>1.841922E-4</v>
      </c>
      <c r="EQ52" s="69">
        <v>1.8089709999999999E-4</v>
      </c>
      <c r="ER52" s="69">
        <v>1.7766099999999999E-4</v>
      </c>
      <c r="ES52" s="69">
        <v>1.744827E-4</v>
      </c>
      <c r="ET52" s="69">
        <v>1.713613E-4</v>
      </c>
      <c r="EU52" s="69">
        <v>1.682957E-4</v>
      </c>
      <c r="EV52" s="69">
        <v>1.6528490000000001E-4</v>
      </c>
      <c r="EW52" s="69">
        <v>1.6232799999999999E-4</v>
      </c>
      <c r="EX52" s="69">
        <v>1.59424E-4</v>
      </c>
      <c r="EY52" s="69">
        <v>1.56572E-4</v>
      </c>
      <c r="EZ52" s="69">
        <v>1.537709E-4</v>
      </c>
      <c r="FA52" s="69">
        <v>1.5102E-4</v>
      </c>
      <c r="FB52" s="69">
        <v>1.4831830000000001E-4</v>
      </c>
      <c r="FC52" s="69">
        <v>1.456649E-4</v>
      </c>
      <c r="FD52" s="69">
        <v>1.4305899999999999E-4</v>
      </c>
      <c r="FE52" s="69">
        <v>1.4049970000000001E-4</v>
      </c>
      <c r="FF52" s="69">
        <v>1.379861E-4</v>
      </c>
      <c r="FG52" s="69">
        <v>1.355176E-4</v>
      </c>
      <c r="FH52" s="69">
        <v>1.3309319999999999E-4</v>
      </c>
      <c r="FI52" s="69">
        <v>1.3071210000000001E-4</v>
      </c>
      <c r="FJ52" s="69">
        <v>1.2837370000000001E-4</v>
      </c>
      <c r="FK52" s="69">
        <v>1.260771E-4</v>
      </c>
      <c r="FL52" s="69">
        <v>1.2382149999999999E-4</v>
      </c>
      <c r="FM52" s="69">
        <v>1.216064E-4</v>
      </c>
      <c r="FN52" s="69">
        <v>1.194308E-4</v>
      </c>
      <c r="FO52" s="69">
        <v>1.1729420000000001E-4</v>
      </c>
      <c r="FP52" s="69">
        <v>1.151958E-4</v>
      </c>
      <c r="FQ52" s="69">
        <v>1.131349E-4</v>
      </c>
    </row>
    <row r="53" spans="1:173" x14ac:dyDescent="0.25">
      <c r="A53" s="71">
        <v>51</v>
      </c>
      <c r="B53" s="69">
        <v>2.6772615E-3</v>
      </c>
      <c r="C53" s="69">
        <v>2.6354159000000002E-3</v>
      </c>
      <c r="D53" s="69">
        <v>2.593883E-3</v>
      </c>
      <c r="E53" s="69">
        <v>2.5526906E-3</v>
      </c>
      <c r="F53" s="69">
        <v>2.5118633000000001E-3</v>
      </c>
      <c r="G53" s="69">
        <v>2.4714232E-3</v>
      </c>
      <c r="H53" s="69">
        <v>2.4313897999999998E-3</v>
      </c>
      <c r="I53" s="69">
        <v>2.39178E-3</v>
      </c>
      <c r="J53" s="69">
        <v>2.3526087000000002E-3</v>
      </c>
      <c r="K53" s="69">
        <v>2.3138888999999999E-3</v>
      </c>
      <c r="L53" s="69">
        <v>2.2756316E-3</v>
      </c>
      <c r="M53" s="69">
        <v>2.2378459999999999E-3</v>
      </c>
      <c r="N53" s="69">
        <v>2.2005402E-3</v>
      </c>
      <c r="O53" s="69">
        <v>2.1637204000000002E-3</v>
      </c>
      <c r="P53" s="69">
        <v>2.1273919000000001E-3</v>
      </c>
      <c r="Q53" s="69">
        <v>2.0915585E-3</v>
      </c>
      <c r="R53" s="69">
        <v>2.0562231999999999E-3</v>
      </c>
      <c r="S53" s="69">
        <v>2.0213878999999998E-3</v>
      </c>
      <c r="T53" s="69">
        <v>1.9870536000000001E-3</v>
      </c>
      <c r="U53" s="69">
        <v>1.9532206000000001E-3</v>
      </c>
      <c r="V53" s="69">
        <v>1.9198882999999999E-3</v>
      </c>
      <c r="W53" s="69">
        <v>1.8870556999999999E-3</v>
      </c>
      <c r="X53" s="69">
        <v>1.8547208999999999E-3</v>
      </c>
      <c r="Y53" s="69">
        <v>1.8228818E-3</v>
      </c>
      <c r="Z53" s="69">
        <v>1.7915355000000001E-3</v>
      </c>
      <c r="AA53" s="69">
        <v>1.7606788E-3</v>
      </c>
      <c r="AB53" s="69">
        <v>1.7303082999999999E-3</v>
      </c>
      <c r="AC53" s="69">
        <v>1.7004199E-3</v>
      </c>
      <c r="AD53" s="69">
        <v>1.6710093999999999E-3</v>
      </c>
      <c r="AE53" s="69">
        <v>1.6420724E-3</v>
      </c>
      <c r="AF53" s="69">
        <v>1.6136042000000001E-3</v>
      </c>
      <c r="AG53" s="69">
        <v>1.5855997000000001E-3</v>
      </c>
      <c r="AH53" s="69">
        <v>1.5580539000000001E-3</v>
      </c>
      <c r="AI53" s="69">
        <v>1.5309614999999999E-3</v>
      </c>
      <c r="AJ53" s="69">
        <v>1.5043171000000001E-3</v>
      </c>
      <c r="AK53" s="69">
        <v>1.4781152E-3</v>
      </c>
      <c r="AL53" s="69">
        <v>1.4523501000000001E-3</v>
      </c>
      <c r="AM53" s="69">
        <v>1.4270162E-3</v>
      </c>
      <c r="AN53" s="69">
        <v>1.4021077999999999E-3</v>
      </c>
      <c r="AO53" s="69">
        <v>1.3776189E-3</v>
      </c>
      <c r="AP53" s="69">
        <v>1.3535438000000001E-3</v>
      </c>
      <c r="AQ53" s="69">
        <v>1.3298766E-3</v>
      </c>
      <c r="AR53" s="69">
        <v>1.3066115E-3</v>
      </c>
      <c r="AS53" s="69">
        <v>1.2837426E-3</v>
      </c>
      <c r="AT53" s="69">
        <v>1.2612639E-3</v>
      </c>
      <c r="AU53" s="69">
        <v>1.2391697000000001E-3</v>
      </c>
      <c r="AV53" s="69">
        <v>1.2174542E-3</v>
      </c>
      <c r="AW53" s="69">
        <v>1.1961114000000001E-3</v>
      </c>
      <c r="AX53" s="69">
        <v>1.1751356000000001E-3</v>
      </c>
      <c r="AY53" s="69">
        <v>1.1545212E-3</v>
      </c>
      <c r="AZ53" s="69">
        <v>1.1342622999999999E-3</v>
      </c>
      <c r="BA53" s="69">
        <v>1.1143533999999999E-3</v>
      </c>
      <c r="BB53" s="69">
        <v>1.0947888E-3</v>
      </c>
      <c r="BC53" s="69">
        <v>1.0755630999999999E-3</v>
      </c>
      <c r="BD53" s="69">
        <v>1.0566706E-3</v>
      </c>
      <c r="BE53" s="69">
        <v>1.038106E-3</v>
      </c>
      <c r="BF53" s="69">
        <v>1.0198640000000001E-3</v>
      </c>
      <c r="BG53" s="69">
        <v>1.0019390999999999E-3</v>
      </c>
      <c r="BH53" s="69">
        <v>9.8432620000000006E-4</v>
      </c>
      <c r="BI53" s="69">
        <v>9.6701999999999997E-4</v>
      </c>
      <c r="BJ53" s="69">
        <v>9.5001549999999997E-4</v>
      </c>
      <c r="BK53" s="69">
        <v>9.3330750000000004E-4</v>
      </c>
      <c r="BL53" s="69">
        <v>9.1689120000000004E-4</v>
      </c>
      <c r="BM53" s="69">
        <v>9.0076160000000002E-4</v>
      </c>
      <c r="BN53" s="69">
        <v>8.8491389999999996E-4</v>
      </c>
      <c r="BO53" s="69">
        <v>8.6934320000000003E-4</v>
      </c>
      <c r="BP53" s="69">
        <v>8.5404489999999997E-4</v>
      </c>
      <c r="BQ53" s="69">
        <v>8.3901430000000001E-4</v>
      </c>
      <c r="BR53" s="69">
        <v>8.2424690000000003E-4</v>
      </c>
      <c r="BS53" s="69">
        <v>8.0973820000000002E-4</v>
      </c>
      <c r="BT53" s="69">
        <v>7.9548369999999995E-4</v>
      </c>
      <c r="BU53" s="69">
        <v>7.8147899999999996E-4</v>
      </c>
      <c r="BV53" s="69">
        <v>7.6771990000000002E-4</v>
      </c>
      <c r="BW53" s="69">
        <v>7.542022E-4</v>
      </c>
      <c r="BX53" s="69">
        <v>7.4092159999999995E-4</v>
      </c>
      <c r="BY53" s="69">
        <v>7.2787410000000002E-4</v>
      </c>
      <c r="BZ53" s="69">
        <v>7.1505570000000005E-4</v>
      </c>
      <c r="CA53" s="69">
        <v>7.0246239999999997E-4</v>
      </c>
      <c r="CB53" s="69">
        <v>6.9009020000000004E-4</v>
      </c>
      <c r="CC53" s="69">
        <v>6.7793529999999995E-4</v>
      </c>
      <c r="CD53" s="69">
        <v>6.6599409999999997E-4</v>
      </c>
      <c r="CE53" s="69">
        <v>6.5426269999999999E-4</v>
      </c>
      <c r="CF53" s="69">
        <v>6.4273740000000002E-4</v>
      </c>
      <c r="CG53" s="69">
        <v>6.3141480000000001E-4</v>
      </c>
      <c r="CH53" s="69">
        <v>6.2029130000000002E-4</v>
      </c>
      <c r="CI53" s="69">
        <v>6.0936339999999995E-4</v>
      </c>
      <c r="CJ53" s="69">
        <v>5.9862770000000004E-4</v>
      </c>
      <c r="CK53" s="69">
        <v>5.880808E-4</v>
      </c>
      <c r="CL53" s="69">
        <v>5.7771950000000004E-4</v>
      </c>
      <c r="CM53" s="69">
        <v>5.6754039999999998E-4</v>
      </c>
      <c r="CN53" s="69">
        <v>5.5754049999999999E-4</v>
      </c>
      <c r="CO53" s="69">
        <v>5.4771650000000002E-4</v>
      </c>
      <c r="CP53" s="69">
        <v>5.3806540000000003E-4</v>
      </c>
      <c r="CQ53" s="69">
        <v>5.2858419999999998E-4</v>
      </c>
      <c r="CR53" s="69">
        <v>5.1926990000000003E-4</v>
      </c>
      <c r="CS53" s="69">
        <v>5.1011950000000002E-4</v>
      </c>
      <c r="CT53" s="69">
        <v>5.0113019999999998E-4</v>
      </c>
      <c r="CU53" s="69">
        <v>4.9229920000000004E-4</v>
      </c>
      <c r="CV53" s="69">
        <v>4.836237E-4</v>
      </c>
      <c r="CW53" s="69">
        <v>4.7510089999999998E-4</v>
      </c>
      <c r="CX53" s="69">
        <v>4.6672819999999998E-4</v>
      </c>
      <c r="CY53" s="69">
        <v>4.5850300000000002E-4</v>
      </c>
      <c r="CZ53" s="69">
        <v>4.5042260000000001E-4</v>
      </c>
      <c r="DA53" s="69">
        <v>4.424845E-4</v>
      </c>
      <c r="DB53" s="69">
        <v>4.3468620000000001E-4</v>
      </c>
      <c r="DC53" s="69">
        <v>4.2702529999999998E-4</v>
      </c>
      <c r="DD53" s="69">
        <v>4.1949929999999998E-4</v>
      </c>
      <c r="DE53" s="69">
        <v>4.1210589999999999E-4</v>
      </c>
      <c r="DF53" s="69">
        <v>4.0484270000000001E-4</v>
      </c>
      <c r="DG53" s="69">
        <v>3.9770749999999997E-4</v>
      </c>
      <c r="DH53" s="69">
        <v>3.9069799999999998E-4</v>
      </c>
      <c r="DI53" s="69">
        <v>3.838119E-4</v>
      </c>
      <c r="DJ53" s="69">
        <v>3.770472E-4</v>
      </c>
      <c r="DK53" s="69">
        <v>3.7040160000000001E-4</v>
      </c>
      <c r="DL53" s="69">
        <v>3.638731E-4</v>
      </c>
      <c r="DM53" s="69">
        <v>3.5745969999999999E-4</v>
      </c>
      <c r="DN53" s="69">
        <v>3.5115930000000002E-4</v>
      </c>
      <c r="DO53" s="69">
        <v>3.4496979999999998E-4</v>
      </c>
      <c r="DP53" s="69">
        <v>3.3888940000000002E-4</v>
      </c>
      <c r="DQ53" s="69">
        <v>3.3291620000000001E-4</v>
      </c>
      <c r="DR53" s="69">
        <v>3.2704819999999999E-4</v>
      </c>
      <c r="DS53" s="69">
        <v>3.2128359999999999E-4</v>
      </c>
      <c r="DT53" s="69">
        <v>3.1562060000000001E-4</v>
      </c>
      <c r="DU53" s="69">
        <v>3.100574E-4</v>
      </c>
      <c r="DV53" s="69">
        <v>3.0459219999999997E-4</v>
      </c>
      <c r="DW53" s="69">
        <v>2.9922329999999999E-4</v>
      </c>
      <c r="DX53" s="69">
        <v>2.93949E-4</v>
      </c>
      <c r="DY53" s="69">
        <v>2.8876770000000002E-4</v>
      </c>
      <c r="DZ53" s="69">
        <v>2.836777E-4</v>
      </c>
      <c r="EA53" s="69">
        <v>2.7867739999999999E-4</v>
      </c>
      <c r="EB53" s="69">
        <v>2.7376519999999999E-4</v>
      </c>
      <c r="EC53" s="69">
        <v>2.6893959999999998E-4</v>
      </c>
      <c r="ED53" s="69">
        <v>2.6419900000000001E-4</v>
      </c>
      <c r="EE53" s="69">
        <v>2.5954199999999998E-4</v>
      </c>
      <c r="EF53" s="69">
        <v>2.5496699999999999E-4</v>
      </c>
      <c r="EG53" s="69">
        <v>2.5047269999999998E-4</v>
      </c>
      <c r="EH53" s="69">
        <v>2.460575E-4</v>
      </c>
      <c r="EI53" s="69">
        <v>2.417202E-4</v>
      </c>
      <c r="EJ53" s="69">
        <v>2.3745940000000001E-4</v>
      </c>
      <c r="EK53" s="69">
        <v>2.332736E-4</v>
      </c>
      <c r="EL53" s="69">
        <v>2.2916160000000001E-4</v>
      </c>
      <c r="EM53" s="69">
        <v>2.251221E-4</v>
      </c>
      <c r="EN53" s="69">
        <v>2.211537E-4</v>
      </c>
      <c r="EO53" s="69">
        <v>2.1725539999999999E-4</v>
      </c>
      <c r="EP53" s="69">
        <v>2.1342569999999999E-4</v>
      </c>
      <c r="EQ53" s="69">
        <v>2.096635E-4</v>
      </c>
      <c r="ER53" s="69">
        <v>2.059676E-4</v>
      </c>
      <c r="ES53" s="69">
        <v>2.0233689999999999E-4</v>
      </c>
      <c r="ET53" s="69">
        <v>1.9877020000000001E-4</v>
      </c>
      <c r="EU53" s="69">
        <v>1.952663E-4</v>
      </c>
      <c r="EV53" s="69">
        <v>1.9182420000000001E-4</v>
      </c>
      <c r="EW53" s="69">
        <v>1.884427E-4</v>
      </c>
      <c r="EX53" s="69">
        <v>1.851209E-4</v>
      </c>
      <c r="EY53" s="69">
        <v>1.8185759999999999E-4</v>
      </c>
      <c r="EZ53" s="69">
        <v>1.786519E-4</v>
      </c>
      <c r="FA53" s="69">
        <v>1.755026E-4</v>
      </c>
      <c r="FB53" s="69">
        <v>1.7240880000000001E-4</v>
      </c>
      <c r="FC53" s="69">
        <v>1.6936960000000001E-4</v>
      </c>
      <c r="FD53" s="69">
        <v>1.66384E-4</v>
      </c>
      <c r="FE53" s="69">
        <v>1.634509E-4</v>
      </c>
      <c r="FF53" s="69">
        <v>1.6056959999999999E-4</v>
      </c>
      <c r="FG53" s="69">
        <v>1.5773910000000001E-4</v>
      </c>
      <c r="FH53" s="69">
        <v>1.5495839999999999E-4</v>
      </c>
      <c r="FI53" s="69">
        <v>1.5222679999999999E-4</v>
      </c>
      <c r="FJ53" s="69">
        <v>1.495433E-4</v>
      </c>
      <c r="FK53" s="69">
        <v>1.469071E-4</v>
      </c>
      <c r="FL53" s="69">
        <v>1.4431740000000001E-4</v>
      </c>
      <c r="FM53" s="69">
        <v>1.4177330000000001E-4</v>
      </c>
      <c r="FN53" s="69">
        <v>1.392741E-4</v>
      </c>
      <c r="FO53" s="69">
        <v>1.3681890000000001E-4</v>
      </c>
      <c r="FP53" s="69">
        <v>1.344071E-4</v>
      </c>
      <c r="FQ53" s="69">
        <v>1.3203769999999999E-4</v>
      </c>
    </row>
    <row r="54" spans="1:173" x14ac:dyDescent="0.25">
      <c r="A54" s="71">
        <v>52</v>
      </c>
      <c r="B54" s="69">
        <v>2.9810831999999999E-3</v>
      </c>
      <c r="C54" s="69">
        <v>2.9336949E-3</v>
      </c>
      <c r="D54" s="69">
        <v>2.8867298E-3</v>
      </c>
      <c r="E54" s="69">
        <v>2.8402128999999998E-3</v>
      </c>
      <c r="F54" s="69">
        <v>2.7941662999999999E-3</v>
      </c>
      <c r="G54" s="69">
        <v>2.7486094000000001E-3</v>
      </c>
      <c r="H54" s="69">
        <v>2.7035590999999999E-3</v>
      </c>
      <c r="I54" s="69">
        <v>2.6590300000000002E-3</v>
      </c>
      <c r="J54" s="69">
        <v>2.6150345999999998E-3</v>
      </c>
      <c r="K54" s="69">
        <v>2.5715834999999999E-3</v>
      </c>
      <c r="L54" s="69">
        <v>2.5286855999999999E-3</v>
      </c>
      <c r="M54" s="69">
        <v>2.4863480000000002E-3</v>
      </c>
      <c r="N54" s="69">
        <v>2.4445767000000002E-3</v>
      </c>
      <c r="O54" s="69">
        <v>2.403376E-3</v>
      </c>
      <c r="P54" s="69">
        <v>2.3627491E-3</v>
      </c>
      <c r="Q54" s="69">
        <v>2.3226980999999998E-3</v>
      </c>
      <c r="R54" s="69">
        <v>2.2832242E-3</v>
      </c>
      <c r="S54" s="69">
        <v>2.2443275000000001E-3</v>
      </c>
      <c r="T54" s="69">
        <v>2.2060074E-3</v>
      </c>
      <c r="U54" s="69">
        <v>2.1682623999999999E-3</v>
      </c>
      <c r="V54" s="69">
        <v>2.1310906000000002E-3</v>
      </c>
      <c r="W54" s="69">
        <v>2.0944891999999998E-3</v>
      </c>
      <c r="X54" s="69">
        <v>2.0584549999999998E-3</v>
      </c>
      <c r="Y54" s="69">
        <v>2.0229842999999999E-3</v>
      </c>
      <c r="Z54" s="69">
        <v>1.9880728999999999E-3</v>
      </c>
      <c r="AA54" s="69">
        <v>1.9537163E-3</v>
      </c>
      <c r="AB54" s="69">
        <v>1.9199096E-3</v>
      </c>
      <c r="AC54" s="69">
        <v>1.8866476E-3</v>
      </c>
      <c r="AD54" s="69">
        <v>1.8539248999999999E-3</v>
      </c>
      <c r="AE54" s="69">
        <v>1.8217356000000001E-3</v>
      </c>
      <c r="AF54" s="69">
        <v>1.7900739E-3</v>
      </c>
      <c r="AG54" s="69">
        <v>1.7589337999999999E-3</v>
      </c>
      <c r="AH54" s="69">
        <v>1.7283089000000001E-3</v>
      </c>
      <c r="AI54" s="69">
        <v>1.698193E-3</v>
      </c>
      <c r="AJ54" s="69">
        <v>1.6685794E-3</v>
      </c>
      <c r="AK54" s="69">
        <v>1.6394618000000001E-3</v>
      </c>
      <c r="AL54" s="69">
        <v>1.6108334E-3</v>
      </c>
      <c r="AM54" s="69">
        <v>1.5826874999999999E-3</v>
      </c>
      <c r="AN54" s="69">
        <v>1.5550174E-3</v>
      </c>
      <c r="AO54" s="69">
        <v>1.5278164999999999E-3</v>
      </c>
      <c r="AP54" s="69">
        <v>1.5010778E-3</v>
      </c>
      <c r="AQ54" s="69">
        <v>1.4747947E-3</v>
      </c>
      <c r="AR54" s="69">
        <v>1.4489603999999999E-3</v>
      </c>
      <c r="AS54" s="69">
        <v>1.4235681000000001E-3</v>
      </c>
      <c r="AT54" s="69">
        <v>1.3986110999999999E-3</v>
      </c>
      <c r="AU54" s="69">
        <v>1.3740828000000001E-3</v>
      </c>
      <c r="AV54" s="69">
        <v>1.3499765000000001E-3</v>
      </c>
      <c r="AW54" s="69">
        <v>1.3262856E-3</v>
      </c>
      <c r="AX54" s="69">
        <v>1.3030035E-3</v>
      </c>
      <c r="AY54" s="69">
        <v>1.2801238E-3</v>
      </c>
      <c r="AZ54" s="69">
        <v>1.25764E-3</v>
      </c>
      <c r="BA54" s="69">
        <v>1.2355456E-3</v>
      </c>
      <c r="BB54" s="69">
        <v>1.2138345E-3</v>
      </c>
      <c r="BC54" s="69">
        <v>1.1925003000000001E-3</v>
      </c>
      <c r="BD54" s="69">
        <v>1.1715369E-3</v>
      </c>
      <c r="BE54" s="69">
        <v>1.1509381E-3</v>
      </c>
      <c r="BF54" s="69">
        <v>1.1306980000000001E-3</v>
      </c>
      <c r="BG54" s="69">
        <v>1.1108105E-3</v>
      </c>
      <c r="BH54" s="69">
        <v>1.0912698E-3</v>
      </c>
      <c r="BI54" s="69">
        <v>1.0720700000000001E-3</v>
      </c>
      <c r="BJ54" s="69">
        <v>1.0532054999999999E-3</v>
      </c>
      <c r="BK54" s="69">
        <v>1.0346705000000001E-3</v>
      </c>
      <c r="BL54" s="69">
        <v>1.0164595999999999E-3</v>
      </c>
      <c r="BM54" s="69">
        <v>9.9856719999999997E-4</v>
      </c>
      <c r="BN54" s="69">
        <v>9.8098790000000009E-4</v>
      </c>
      <c r="BO54" s="69">
        <v>9.6371629999999998E-4</v>
      </c>
      <c r="BP54" s="69">
        <v>9.4674729999999995E-4</v>
      </c>
      <c r="BQ54" s="69">
        <v>9.3007560000000003E-4</v>
      </c>
      <c r="BR54" s="69">
        <v>9.1369610000000001E-4</v>
      </c>
      <c r="BS54" s="69">
        <v>8.9760389999999995E-4</v>
      </c>
      <c r="BT54" s="69">
        <v>8.8179389999999995E-4</v>
      </c>
      <c r="BU54" s="69">
        <v>8.6626140000000003E-4</v>
      </c>
      <c r="BV54" s="69">
        <v>8.5100140000000002E-4</v>
      </c>
      <c r="BW54" s="69">
        <v>8.360094E-4</v>
      </c>
      <c r="BX54" s="69">
        <v>8.2128069999999999E-4</v>
      </c>
      <c r="BY54" s="69">
        <v>8.0681069999999995E-4</v>
      </c>
      <c r="BZ54" s="69">
        <v>7.9259489999999996E-4</v>
      </c>
      <c r="CA54" s="69">
        <v>7.7862899999999997E-4</v>
      </c>
      <c r="CB54" s="69">
        <v>7.6490849999999997E-4</v>
      </c>
      <c r="CC54" s="69">
        <v>7.5142929999999996E-4</v>
      </c>
      <c r="CD54" s="69">
        <v>7.3818699999999996E-4</v>
      </c>
      <c r="CE54" s="69">
        <v>7.2517760000000001E-4</v>
      </c>
      <c r="CF54" s="69">
        <v>7.1239709999999996E-4</v>
      </c>
      <c r="CG54" s="69">
        <v>6.9984140000000001E-4</v>
      </c>
      <c r="CH54" s="69">
        <v>6.8750660000000004E-4</v>
      </c>
      <c r="CI54" s="69">
        <v>6.7538880000000002E-4</v>
      </c>
      <c r="CJ54" s="69">
        <v>6.6348429999999999E-4</v>
      </c>
      <c r="CK54" s="69">
        <v>6.5178930000000005E-4</v>
      </c>
      <c r="CL54" s="69">
        <v>6.4030019999999997E-4</v>
      </c>
      <c r="CM54" s="69">
        <v>6.2901329999999998E-4</v>
      </c>
      <c r="CN54" s="69">
        <v>6.179251E-4</v>
      </c>
      <c r="CO54" s="69">
        <v>6.0703220000000004E-4</v>
      </c>
      <c r="CP54" s="69">
        <v>5.963311E-4</v>
      </c>
      <c r="CQ54" s="69">
        <v>5.8581840000000002E-4</v>
      </c>
      <c r="CR54" s="69">
        <v>5.7549089999999999E-4</v>
      </c>
      <c r="CS54" s="69">
        <v>5.6534520000000004E-4</v>
      </c>
      <c r="CT54" s="69">
        <v>5.5537830000000003E-4</v>
      </c>
      <c r="CU54" s="69">
        <v>5.4558690000000001E-4</v>
      </c>
      <c r="CV54" s="69">
        <v>5.3596809999999998E-4</v>
      </c>
      <c r="CW54" s="69">
        <v>5.265186E-4</v>
      </c>
      <c r="CX54" s="69">
        <v>5.1723570000000003E-4</v>
      </c>
      <c r="CY54" s="69">
        <v>5.0811629999999997E-4</v>
      </c>
      <c r="CZ54" s="69">
        <v>4.9915750000000003E-4</v>
      </c>
      <c r="DA54" s="69">
        <v>4.9035669999999997E-4</v>
      </c>
      <c r="DB54" s="69">
        <v>4.8171089999999998E-4</v>
      </c>
      <c r="DC54" s="69">
        <v>4.7321750000000001E-4</v>
      </c>
      <c r="DD54" s="69">
        <v>4.648737E-4</v>
      </c>
      <c r="DE54" s="69">
        <v>4.5667700000000001E-4</v>
      </c>
      <c r="DF54" s="69">
        <v>4.4862469999999997E-4</v>
      </c>
      <c r="DG54" s="69">
        <v>4.4071429999999998E-4</v>
      </c>
      <c r="DH54" s="69">
        <v>4.3294340000000001E-4</v>
      </c>
      <c r="DI54" s="69">
        <v>4.2530939999999999E-4</v>
      </c>
      <c r="DJ54" s="69">
        <v>4.1781000000000001E-4</v>
      </c>
      <c r="DK54" s="69">
        <v>4.1044269999999998E-4</v>
      </c>
      <c r="DL54" s="69">
        <v>4.0320530000000001E-4</v>
      </c>
      <c r="DM54" s="69">
        <v>3.9609550000000002E-4</v>
      </c>
      <c r="DN54" s="69">
        <v>3.8911099999999998E-4</v>
      </c>
      <c r="DO54" s="69">
        <v>3.8224960000000002E-4</v>
      </c>
      <c r="DP54" s="69">
        <v>3.7550920000000001E-4</v>
      </c>
      <c r="DQ54" s="69">
        <v>3.6888760000000002E-4</v>
      </c>
      <c r="DR54" s="69">
        <v>3.6238269999999998E-4</v>
      </c>
      <c r="DS54" s="69">
        <v>3.5599250000000002E-4</v>
      </c>
      <c r="DT54" s="69">
        <v>3.4971500000000001E-4</v>
      </c>
      <c r="DU54" s="69">
        <v>3.4354809999999998E-4</v>
      </c>
      <c r="DV54" s="69">
        <v>3.3748989999999999E-4</v>
      </c>
      <c r="DW54" s="69">
        <v>3.3153860000000002E-4</v>
      </c>
      <c r="DX54" s="69">
        <v>3.2569210000000002E-4</v>
      </c>
      <c r="DY54" s="69">
        <v>3.1994869999999999E-4</v>
      </c>
      <c r="DZ54" s="69">
        <v>3.1430660000000002E-4</v>
      </c>
      <c r="EA54" s="69">
        <v>3.08764E-4</v>
      </c>
      <c r="EB54" s="69">
        <v>3.0331910000000001E-4</v>
      </c>
      <c r="EC54" s="69">
        <v>2.9797020000000001E-4</v>
      </c>
      <c r="ED54" s="69">
        <v>2.9271560000000002E-4</v>
      </c>
      <c r="EE54" s="69">
        <v>2.875536E-4</v>
      </c>
      <c r="EF54" s="69">
        <v>2.8248260000000001E-4</v>
      </c>
      <c r="EG54" s="69">
        <v>2.7750110000000002E-4</v>
      </c>
      <c r="EH54" s="69">
        <v>2.7260739999999999E-4</v>
      </c>
      <c r="EI54" s="69">
        <v>2.678E-4</v>
      </c>
      <c r="EJ54" s="69">
        <v>2.6307730000000001E-4</v>
      </c>
      <c r="EK54" s="69">
        <v>2.5843790000000001E-4</v>
      </c>
      <c r="EL54" s="69">
        <v>2.538803E-4</v>
      </c>
      <c r="EM54" s="69">
        <v>2.4940310000000002E-4</v>
      </c>
      <c r="EN54" s="69">
        <v>2.450048E-4</v>
      </c>
      <c r="EO54" s="69">
        <v>2.406841E-4</v>
      </c>
      <c r="EP54" s="69">
        <v>2.364395E-4</v>
      </c>
      <c r="EQ54" s="69">
        <v>2.3226980000000001E-4</v>
      </c>
      <c r="ER54" s="69">
        <v>2.2817369999999999E-4</v>
      </c>
      <c r="ES54" s="69">
        <v>2.2414970000000001E-4</v>
      </c>
      <c r="ET54" s="69">
        <v>2.201967E-4</v>
      </c>
      <c r="EU54" s="69">
        <v>2.1631339999999999E-4</v>
      </c>
      <c r="EV54" s="69">
        <v>2.124986E-4</v>
      </c>
      <c r="EW54" s="69">
        <v>2.087511E-4</v>
      </c>
      <c r="EX54" s="69">
        <v>2.0506960000000001E-4</v>
      </c>
      <c r="EY54" s="69">
        <v>2.0145309999999999E-4</v>
      </c>
      <c r="EZ54" s="69">
        <v>1.9790030000000001E-4</v>
      </c>
      <c r="FA54" s="69">
        <v>1.9441019999999999E-4</v>
      </c>
      <c r="FB54" s="69">
        <v>1.9098159999999999E-4</v>
      </c>
      <c r="FC54" s="69">
        <v>1.876135E-4</v>
      </c>
      <c r="FD54" s="69">
        <v>1.8430479999999999E-4</v>
      </c>
      <c r="FE54" s="69">
        <v>1.8105439999999999E-4</v>
      </c>
      <c r="FF54" s="69">
        <v>1.778614E-4</v>
      </c>
      <c r="FG54" s="69">
        <v>1.747246E-4</v>
      </c>
      <c r="FH54" s="69">
        <v>1.7164320000000001E-4</v>
      </c>
      <c r="FI54" s="69">
        <v>1.6861609999999999E-4</v>
      </c>
      <c r="FJ54" s="69">
        <v>1.6564229999999999E-4</v>
      </c>
      <c r="FK54" s="69">
        <v>1.6272110000000001E-4</v>
      </c>
      <c r="FL54" s="69">
        <v>1.5985129999999999E-4</v>
      </c>
      <c r="FM54" s="69">
        <v>1.570322E-4</v>
      </c>
      <c r="FN54" s="69">
        <v>1.542627E-4</v>
      </c>
      <c r="FO54" s="69">
        <v>1.5154209999999999E-4</v>
      </c>
      <c r="FP54" s="69">
        <v>1.4886949999999999E-4</v>
      </c>
      <c r="FQ54" s="69">
        <v>1.4624399999999999E-4</v>
      </c>
    </row>
    <row r="55" spans="1:173" x14ac:dyDescent="0.25">
      <c r="A55" s="71">
        <v>53</v>
      </c>
      <c r="B55" s="69">
        <v>3.4113720999999998E-3</v>
      </c>
      <c r="C55" s="69">
        <v>3.3471468999999999E-3</v>
      </c>
      <c r="D55" s="69">
        <v>3.2844165999999998E-3</v>
      </c>
      <c r="E55" s="69">
        <v>3.2231241E-3</v>
      </c>
      <c r="F55" s="69">
        <v>3.1632157999999999E-3</v>
      </c>
      <c r="G55" s="69">
        <v>3.1046413000000001E-3</v>
      </c>
      <c r="H55" s="69">
        <v>3.0473536999999998E-3</v>
      </c>
      <c r="I55" s="69">
        <v>2.9913086E-3</v>
      </c>
      <c r="J55" s="69">
        <v>2.9364642999999998E-3</v>
      </c>
      <c r="K55" s="69">
        <v>2.8827815999999998E-3</v>
      </c>
      <c r="L55" s="69">
        <v>2.8302232999999999E-3</v>
      </c>
      <c r="M55" s="69">
        <v>2.7787545000000002E-3</v>
      </c>
      <c r="N55" s="69">
        <v>2.7283422E-3</v>
      </c>
      <c r="O55" s="69">
        <v>2.6789548000000002E-3</v>
      </c>
      <c r="P55" s="69">
        <v>2.6305628000000002E-3</v>
      </c>
      <c r="Q55" s="69">
        <v>2.5831379E-3</v>
      </c>
      <c r="R55" s="69">
        <v>2.5366531999999999E-3</v>
      </c>
      <c r="S55" s="69">
        <v>2.4910832999999999E-3</v>
      </c>
      <c r="T55" s="69">
        <v>2.4464037E-3</v>
      </c>
      <c r="U55" s="69">
        <v>2.4025914000000001E-3</v>
      </c>
      <c r="V55" s="69">
        <v>2.3596240999999999E-3</v>
      </c>
      <c r="W55" s="69">
        <v>2.3174806E-3</v>
      </c>
      <c r="X55" s="69">
        <v>2.2761406000000001E-3</v>
      </c>
      <c r="Y55" s="69">
        <v>2.2355845999999999E-3</v>
      </c>
      <c r="Z55" s="69">
        <v>2.195794E-3</v>
      </c>
      <c r="AA55" s="69">
        <v>2.1567509000000001E-3</v>
      </c>
      <c r="AB55" s="69">
        <v>2.1184379999999998E-3</v>
      </c>
      <c r="AC55" s="69">
        <v>2.0808386E-3</v>
      </c>
      <c r="AD55" s="69">
        <v>2.0439369E-3</v>
      </c>
      <c r="AE55" s="69">
        <v>2.0077173000000001E-3</v>
      </c>
      <c r="AF55" s="69">
        <v>1.9721650000000001E-3</v>
      </c>
      <c r="AG55" s="69">
        <v>1.9372655E-3</v>
      </c>
      <c r="AH55" s="69">
        <v>1.9030051E-3</v>
      </c>
      <c r="AI55" s="69">
        <v>1.8693702E-3</v>
      </c>
      <c r="AJ55" s="69">
        <v>1.8363476999999999E-3</v>
      </c>
      <c r="AK55" s="69">
        <v>1.8039251000000001E-3</v>
      </c>
      <c r="AL55" s="69">
        <v>1.7720901000000001E-3</v>
      </c>
      <c r="AM55" s="69">
        <v>1.7408307000000001E-3</v>
      </c>
      <c r="AN55" s="69">
        <v>1.7101355E-3</v>
      </c>
      <c r="AO55" s="69">
        <v>1.6799931000000001E-3</v>
      </c>
      <c r="AP55" s="69">
        <v>1.6503926999999999E-3</v>
      </c>
      <c r="AQ55" s="69">
        <v>1.6213236E-3</v>
      </c>
      <c r="AR55" s="69">
        <v>1.5927754E-3</v>
      </c>
      <c r="AS55" s="69">
        <v>1.5647382E-3</v>
      </c>
      <c r="AT55" s="69">
        <v>1.5372019000000001E-3</v>
      </c>
      <c r="AU55" s="69">
        <v>1.5101572000000001E-3</v>
      </c>
      <c r="AV55" s="69">
        <v>1.4835946E-3</v>
      </c>
      <c r="AW55" s="69">
        <v>1.4575049E-3</v>
      </c>
      <c r="AX55" s="69">
        <v>1.4318794E-3</v>
      </c>
      <c r="AY55" s="69">
        <v>1.4067092E-3</v>
      </c>
      <c r="AZ55" s="69">
        <v>1.3819858999999999E-3</v>
      </c>
      <c r="BA55" s="69">
        <v>1.3577012000000001E-3</v>
      </c>
      <c r="BB55" s="69">
        <v>1.333847E-3</v>
      </c>
      <c r="BC55" s="69">
        <v>1.3104152E-3</v>
      </c>
      <c r="BD55" s="69">
        <v>1.2873981E-3</v>
      </c>
      <c r="BE55" s="69">
        <v>1.2647882E-3</v>
      </c>
      <c r="BF55" s="69">
        <v>1.242578E-3</v>
      </c>
      <c r="BG55" s="69">
        <v>1.2207601E-3</v>
      </c>
      <c r="BH55" s="69">
        <v>1.1993275E-3</v>
      </c>
      <c r="BI55" s="69">
        <v>1.1782731999999999E-3</v>
      </c>
      <c r="BJ55" s="69">
        <v>1.1575902999999999E-3</v>
      </c>
      <c r="BK55" s="69">
        <v>1.1372721E-3</v>
      </c>
      <c r="BL55" s="69">
        <v>1.1173120000000001E-3</v>
      </c>
      <c r="BM55" s="69">
        <v>1.0977036E-3</v>
      </c>
      <c r="BN55" s="69">
        <v>1.0784404999999999E-3</v>
      </c>
      <c r="BO55" s="69">
        <v>1.0595167E-3</v>
      </c>
      <c r="BP55" s="69">
        <v>1.0409258999999999E-3</v>
      </c>
      <c r="BQ55" s="69">
        <v>1.0226623E-3</v>
      </c>
      <c r="BR55" s="69">
        <v>1.00472E-3</v>
      </c>
      <c r="BS55" s="69">
        <v>9.8709329999999997E-4</v>
      </c>
      <c r="BT55" s="69">
        <v>9.6977649999999995E-4</v>
      </c>
      <c r="BU55" s="69">
        <v>9.527642E-4</v>
      </c>
      <c r="BV55" s="69">
        <v>9.3605089999999999E-4</v>
      </c>
      <c r="BW55" s="69">
        <v>9.1963129999999996E-4</v>
      </c>
      <c r="BX55" s="69">
        <v>9.0350019999999997E-4</v>
      </c>
      <c r="BY55" s="69">
        <v>8.8765250000000001E-4</v>
      </c>
      <c r="BZ55" s="69">
        <v>8.7208320000000002E-4</v>
      </c>
      <c r="CA55" s="69">
        <v>8.5678730000000002E-4</v>
      </c>
      <c r="CB55" s="69">
        <v>8.4175999999999999E-4</v>
      </c>
      <c r="CC55" s="69">
        <v>8.2699650000000004E-4</v>
      </c>
      <c r="CD55" s="69">
        <v>8.1249230000000005E-4</v>
      </c>
      <c r="CE55" s="69">
        <v>7.9824270000000003E-4</v>
      </c>
      <c r="CF55" s="69">
        <v>7.8424319999999997E-4</v>
      </c>
      <c r="CG55" s="69">
        <v>7.7048939999999999E-4</v>
      </c>
      <c r="CH55" s="69">
        <v>7.5697700000000004E-4</v>
      </c>
      <c r="CI55" s="69">
        <v>7.4370169999999995E-4</v>
      </c>
      <c r="CJ55" s="69">
        <v>7.3065930000000003E-4</v>
      </c>
      <c r="CK55" s="69">
        <v>7.1784590000000003E-4</v>
      </c>
      <c r="CL55" s="69">
        <v>7.052572E-4</v>
      </c>
      <c r="CM55" s="69">
        <v>6.9288939999999995E-4</v>
      </c>
      <c r="CN55" s="69">
        <v>6.8073850000000002E-4</v>
      </c>
      <c r="CO55" s="69">
        <v>6.6880080000000005E-4</v>
      </c>
      <c r="CP55" s="69">
        <v>6.5707250000000004E-4</v>
      </c>
      <c r="CQ55" s="69">
        <v>6.4555000000000005E-4</v>
      </c>
      <c r="CR55" s="69">
        <v>6.342295E-4</v>
      </c>
      <c r="CS55" s="69">
        <v>6.2310760000000001E-4</v>
      </c>
      <c r="CT55" s="69">
        <v>6.1218079999999999E-4</v>
      </c>
      <c r="CU55" s="69">
        <v>6.0144560000000003E-4</v>
      </c>
      <c r="CV55" s="69">
        <v>5.9089869999999999E-4</v>
      </c>
      <c r="CW55" s="69">
        <v>5.8053680000000004E-4</v>
      </c>
      <c r="CX55" s="69">
        <v>5.7035650000000001E-4</v>
      </c>
      <c r="CY55" s="69">
        <v>5.6035480000000005E-4</v>
      </c>
      <c r="CZ55" s="69">
        <v>5.5052849999999995E-4</v>
      </c>
      <c r="DA55" s="69">
        <v>5.4087459999999999E-4</v>
      </c>
      <c r="DB55" s="69">
        <v>5.3138990000000004E-4</v>
      </c>
      <c r="DC55" s="69">
        <v>5.2207149999999999E-4</v>
      </c>
      <c r="DD55" s="69">
        <v>5.1291659999999997E-4</v>
      </c>
      <c r="DE55" s="69">
        <v>5.039221E-4</v>
      </c>
      <c r="DF55" s="69">
        <v>4.9508539999999995E-4</v>
      </c>
      <c r="DG55" s="69">
        <v>4.8640370000000002E-4</v>
      </c>
      <c r="DH55" s="69">
        <v>4.778742E-4</v>
      </c>
      <c r="DI55" s="69">
        <v>4.694942E-4</v>
      </c>
      <c r="DJ55" s="69">
        <v>4.6126119999999999E-4</v>
      </c>
      <c r="DK55" s="69">
        <v>4.5317259999999999E-4</v>
      </c>
      <c r="DL55" s="69">
        <v>4.4522570000000002E-4</v>
      </c>
      <c r="DM55" s="69">
        <v>4.3741830000000001E-4</v>
      </c>
      <c r="DN55" s="69">
        <v>4.2974769999999999E-4</v>
      </c>
      <c r="DO55" s="69">
        <v>4.2221160000000002E-4</v>
      </c>
      <c r="DP55" s="69">
        <v>4.1480770000000002E-4</v>
      </c>
      <c r="DQ55" s="69">
        <v>4.075336E-4</v>
      </c>
      <c r="DR55" s="69">
        <v>4.0038699999999999E-4</v>
      </c>
      <c r="DS55" s="69">
        <v>3.9336569999999998E-4</v>
      </c>
      <c r="DT55" s="69">
        <v>3.8646760000000003E-4</v>
      </c>
      <c r="DU55" s="69">
        <v>3.7969039999999999E-4</v>
      </c>
      <c r="DV55" s="69">
        <v>3.7303199999999998E-4</v>
      </c>
      <c r="DW55" s="69">
        <v>3.664904E-4</v>
      </c>
      <c r="DX55" s="69">
        <v>3.6006349999999999E-4</v>
      </c>
      <c r="DY55" s="69">
        <v>3.5374929999999998E-4</v>
      </c>
      <c r="DZ55" s="69">
        <v>3.475458E-4</v>
      </c>
      <c r="EA55" s="69">
        <v>3.4145109999999997E-4</v>
      </c>
      <c r="EB55" s="69">
        <v>3.354632E-4</v>
      </c>
      <c r="EC55" s="69">
        <v>3.2958029999999999E-4</v>
      </c>
      <c r="ED55" s="69">
        <v>3.238006E-4</v>
      </c>
      <c r="EE55" s="69">
        <v>3.181223E-4</v>
      </c>
      <c r="EF55" s="69">
        <v>3.1254349999999999E-4</v>
      </c>
      <c r="EG55" s="69">
        <v>3.0706249999999999E-4</v>
      </c>
      <c r="EH55" s="69">
        <v>3.0167760000000002E-4</v>
      </c>
      <c r="EI55" s="69">
        <v>2.9638720000000002E-4</v>
      </c>
      <c r="EJ55" s="69">
        <v>2.9118949999999997E-4</v>
      </c>
      <c r="EK55" s="69">
        <v>2.8608289999999998E-4</v>
      </c>
      <c r="EL55" s="69">
        <v>2.8106589999999997E-4</v>
      </c>
      <c r="EM55" s="69">
        <v>2.761369E-4</v>
      </c>
      <c r="EN55" s="69">
        <v>2.7129429999999999E-4</v>
      </c>
      <c r="EO55" s="69">
        <v>2.6653659999999999E-4</v>
      </c>
      <c r="EP55" s="69">
        <v>2.618624E-4</v>
      </c>
      <c r="EQ55" s="69">
        <v>2.5727010000000002E-4</v>
      </c>
      <c r="ER55" s="69">
        <v>2.527583E-4</v>
      </c>
      <c r="ES55" s="69">
        <v>2.4832560000000002E-4</v>
      </c>
      <c r="ET55" s="69">
        <v>2.4397070000000001E-4</v>
      </c>
      <c r="EU55" s="69">
        <v>2.396922E-4</v>
      </c>
      <c r="EV55" s="69">
        <v>2.3548859999999999E-4</v>
      </c>
      <c r="EW55" s="69">
        <v>2.313588E-4</v>
      </c>
      <c r="EX55" s="69">
        <v>2.2730140000000001E-4</v>
      </c>
      <c r="EY55" s="69">
        <v>2.2331510000000001E-4</v>
      </c>
      <c r="EZ55" s="69">
        <v>2.1939879999999999E-4</v>
      </c>
      <c r="FA55" s="69">
        <v>2.155511E-4</v>
      </c>
      <c r="FB55" s="69">
        <v>2.117709E-4</v>
      </c>
      <c r="FC55" s="69">
        <v>2.0805699999999999E-4</v>
      </c>
      <c r="FD55" s="69">
        <v>2.0440820000000001E-4</v>
      </c>
      <c r="FE55" s="69">
        <v>2.0082340000000001E-4</v>
      </c>
      <c r="FF55" s="69">
        <v>1.9730139999999999E-4</v>
      </c>
      <c r="FG55" s="69">
        <v>1.938412E-4</v>
      </c>
      <c r="FH55" s="69">
        <v>1.9044170000000001E-4</v>
      </c>
      <c r="FI55" s="69">
        <v>1.8710180000000001E-4</v>
      </c>
      <c r="FJ55" s="69">
        <v>1.8382049999999999E-4</v>
      </c>
      <c r="FK55" s="69">
        <v>1.8059670000000001E-4</v>
      </c>
      <c r="FL55" s="69">
        <v>1.7742950000000001E-4</v>
      </c>
      <c r="FM55" s="69">
        <v>1.7431780000000001E-4</v>
      </c>
      <c r="FN55" s="69">
        <v>1.712606E-4</v>
      </c>
      <c r="FO55" s="69">
        <v>1.6825710000000001E-4</v>
      </c>
      <c r="FP55" s="69">
        <v>1.6530620000000001E-4</v>
      </c>
      <c r="FQ55" s="69">
        <v>1.624071E-4</v>
      </c>
    </row>
    <row r="56" spans="1:173" x14ac:dyDescent="0.25">
      <c r="A56" s="71">
        <v>54</v>
      </c>
      <c r="B56" s="69">
        <v>3.7570786999999999E-3</v>
      </c>
      <c r="C56" s="69">
        <v>3.6854930000000002E-3</v>
      </c>
      <c r="D56" s="69">
        <v>3.6156306000000001E-3</v>
      </c>
      <c r="E56" s="69">
        <v>3.5474220000000002E-3</v>
      </c>
      <c r="F56" s="69">
        <v>3.4808023E-3</v>
      </c>
      <c r="G56" s="69">
        <v>3.4157108E-3</v>
      </c>
      <c r="H56" s="69">
        <v>3.3520905E-3</v>
      </c>
      <c r="I56" s="69">
        <v>3.2898881E-3</v>
      </c>
      <c r="J56" s="69">
        <v>3.2290536000000002E-3</v>
      </c>
      <c r="K56" s="69">
        <v>3.1695400000000002E-3</v>
      </c>
      <c r="L56" s="69">
        <v>3.1113030000000002E-3</v>
      </c>
      <c r="M56" s="69">
        <v>3.0543009000000001E-3</v>
      </c>
      <c r="N56" s="69">
        <v>2.9984943000000001E-3</v>
      </c>
      <c r="O56" s="69">
        <v>2.943846E-3</v>
      </c>
      <c r="P56" s="69">
        <v>2.8903209999999999E-3</v>
      </c>
      <c r="Q56" s="69">
        <v>2.8378857999999999E-3</v>
      </c>
      <c r="R56" s="69">
        <v>2.7865088999999999E-3</v>
      </c>
      <c r="S56" s="69">
        <v>2.7361603000000002E-3</v>
      </c>
      <c r="T56" s="69">
        <v>2.6868115000000001E-3</v>
      </c>
      <c r="U56" s="69">
        <v>2.6384352999999998E-3</v>
      </c>
      <c r="V56" s="69">
        <v>2.5910058999999998E-3</v>
      </c>
      <c r="W56" s="69">
        <v>2.5444986999999999E-3</v>
      </c>
      <c r="X56" s="69">
        <v>2.4988900000000001E-3</v>
      </c>
      <c r="Y56" s="69">
        <v>2.4541571999999998E-3</v>
      </c>
      <c r="Z56" s="69">
        <v>2.4102788999999999E-3</v>
      </c>
      <c r="AA56" s="69">
        <v>2.3672342999999998E-3</v>
      </c>
      <c r="AB56" s="69">
        <v>2.3250035000000001E-3</v>
      </c>
      <c r="AC56" s="69">
        <v>2.2835675E-3</v>
      </c>
      <c r="AD56" s="69">
        <v>2.2429079E-3</v>
      </c>
      <c r="AE56" s="69">
        <v>2.2030070999999999E-3</v>
      </c>
      <c r="AF56" s="69">
        <v>2.1638480999999999E-3</v>
      </c>
      <c r="AG56" s="69">
        <v>2.1254143000000001E-3</v>
      </c>
      <c r="AH56" s="69">
        <v>2.0876901000000002E-3</v>
      </c>
      <c r="AI56" s="69">
        <v>2.0506600000000002E-3</v>
      </c>
      <c r="AJ56" s="69">
        <v>2.0143093999999999E-3</v>
      </c>
      <c r="AK56" s="69">
        <v>1.9786236999999999E-3</v>
      </c>
      <c r="AL56" s="69">
        <v>1.9435893E-3</v>
      </c>
      <c r="AM56" s="69">
        <v>1.9091925E-3</v>
      </c>
      <c r="AN56" s="69">
        <v>1.8754205E-3</v>
      </c>
      <c r="AO56" s="69">
        <v>1.8422604E-3</v>
      </c>
      <c r="AP56" s="69">
        <v>1.8097001000000001E-3</v>
      </c>
      <c r="AQ56" s="69">
        <v>1.7777273999999999E-3</v>
      </c>
      <c r="AR56" s="69">
        <v>1.7463309E-3</v>
      </c>
      <c r="AS56" s="69">
        <v>1.7154992E-3</v>
      </c>
      <c r="AT56" s="69">
        <v>1.6852213000000001E-3</v>
      </c>
      <c r="AU56" s="69">
        <v>1.6554864E-3</v>
      </c>
      <c r="AV56" s="69">
        <v>1.626284E-3</v>
      </c>
      <c r="AW56" s="69">
        <v>1.5976040000000001E-3</v>
      </c>
      <c r="AX56" s="69">
        <v>1.5694365E-3</v>
      </c>
      <c r="AY56" s="69">
        <v>1.5417715999999999E-3</v>
      </c>
      <c r="AZ56" s="69">
        <v>1.5145999E-3</v>
      </c>
      <c r="BA56" s="69">
        <v>1.4879121999999999E-3</v>
      </c>
      <c r="BB56" s="69">
        <v>1.4616994E-3</v>
      </c>
      <c r="BC56" s="69">
        <v>1.4359526999999999E-3</v>
      </c>
      <c r="BD56" s="69">
        <v>1.4106633E-3</v>
      </c>
      <c r="BE56" s="69">
        <v>1.3858229E-3</v>
      </c>
      <c r="BF56" s="69">
        <v>1.3614231999999999E-3</v>
      </c>
      <c r="BG56" s="69">
        <v>1.3374560000000001E-3</v>
      </c>
      <c r="BH56" s="69">
        <v>1.3139135000000001E-3</v>
      </c>
      <c r="BI56" s="69">
        <v>1.2907877999999999E-3</v>
      </c>
      <c r="BJ56" s="69">
        <v>1.2680714999999999E-3</v>
      </c>
      <c r="BK56" s="69">
        <v>1.2457569999999999E-3</v>
      </c>
      <c r="BL56" s="69">
        <v>1.2238371E-3</v>
      </c>
      <c r="BM56" s="69">
        <v>1.2023045999999999E-3</v>
      </c>
      <c r="BN56" s="69">
        <v>1.1811524999999999E-3</v>
      </c>
      <c r="BO56" s="69">
        <v>1.160374E-3</v>
      </c>
      <c r="BP56" s="69">
        <v>1.1399622999999999E-3</v>
      </c>
      <c r="BQ56" s="69">
        <v>1.1199108000000001E-3</v>
      </c>
      <c r="BR56" s="69">
        <v>1.1002131999999999E-3</v>
      </c>
      <c r="BS56" s="69">
        <v>1.0808629E-3</v>
      </c>
      <c r="BT56" s="69">
        <v>1.0618539000000001E-3</v>
      </c>
      <c r="BU56" s="69">
        <v>1.0431800000000001E-3</v>
      </c>
      <c r="BV56" s="69">
        <v>1.0248353000000001E-3</v>
      </c>
      <c r="BW56" s="69">
        <v>1.0068137999999999E-3</v>
      </c>
      <c r="BX56" s="69">
        <v>9.8910980000000001E-4</v>
      </c>
      <c r="BY56" s="69">
        <v>9.717177E-4</v>
      </c>
      <c r="BZ56" s="69">
        <v>9.5463199999999996E-4</v>
      </c>
      <c r="CA56" s="69">
        <v>9.3784700000000001E-4</v>
      </c>
      <c r="CB56" s="69">
        <v>9.2135769999999995E-4</v>
      </c>
      <c r="CC56" s="69">
        <v>9.0515859999999997E-4</v>
      </c>
      <c r="CD56" s="69">
        <v>8.8924459999999996E-4</v>
      </c>
      <c r="CE56" s="69">
        <v>8.7361069999999995E-4</v>
      </c>
      <c r="CF56" s="69">
        <v>8.5825199999999999E-4</v>
      </c>
      <c r="CG56" s="69">
        <v>8.4316350000000003E-4</v>
      </c>
      <c r="CH56" s="69">
        <v>8.2834049999999995E-4</v>
      </c>
      <c r="CI56" s="69">
        <v>8.1377830000000002E-4</v>
      </c>
      <c r="CJ56" s="69">
        <v>7.9947220000000003E-4</v>
      </c>
      <c r="CK56" s="69">
        <v>7.8541790000000004E-4</v>
      </c>
      <c r="CL56" s="69">
        <v>7.7161069999999996E-4</v>
      </c>
      <c r="CM56" s="69">
        <v>7.5804629999999995E-4</v>
      </c>
      <c r="CN56" s="69">
        <v>7.4472049999999999E-4</v>
      </c>
      <c r="CO56" s="69">
        <v>7.3162909999999995E-4</v>
      </c>
      <c r="CP56" s="69">
        <v>7.1876790000000002E-4</v>
      </c>
      <c r="CQ56" s="69">
        <v>7.061328E-4</v>
      </c>
      <c r="CR56" s="69">
        <v>6.9371989999999996E-4</v>
      </c>
      <c r="CS56" s="69">
        <v>6.8152529999999998E-4</v>
      </c>
      <c r="CT56" s="69">
        <v>6.6954510000000005E-4</v>
      </c>
      <c r="CU56" s="69">
        <v>6.5777550000000005E-4</v>
      </c>
      <c r="CV56" s="69">
        <v>6.4621280000000001E-4</v>
      </c>
      <c r="CW56" s="69">
        <v>6.3485340000000003E-4</v>
      </c>
      <c r="CX56" s="69">
        <v>6.2369379999999998E-4</v>
      </c>
      <c r="CY56" s="69">
        <v>6.1273030000000002E-4</v>
      </c>
      <c r="CZ56" s="69">
        <v>6.0195949999999995E-4</v>
      </c>
      <c r="DA56" s="69">
        <v>5.9137809999999997E-4</v>
      </c>
      <c r="DB56" s="69">
        <v>5.8098259999999995E-4</v>
      </c>
      <c r="DC56" s="69">
        <v>5.7076999999999996E-4</v>
      </c>
      <c r="DD56" s="69">
        <v>5.6073679999999999E-4</v>
      </c>
      <c r="DE56" s="69">
        <v>5.5088000000000001E-4</v>
      </c>
      <c r="DF56" s="69">
        <v>5.4119650000000004E-4</v>
      </c>
      <c r="DG56" s="69">
        <v>5.3168309999999995E-4</v>
      </c>
      <c r="DH56" s="69">
        <v>5.22337E-4</v>
      </c>
      <c r="DI56" s="69">
        <v>5.1315520000000002E-4</v>
      </c>
      <c r="DJ56" s="69">
        <v>5.041348E-4</v>
      </c>
      <c r="DK56" s="69">
        <v>4.9527290000000003E-4</v>
      </c>
      <c r="DL56" s="69">
        <v>4.8656680000000002E-4</v>
      </c>
      <c r="DM56" s="69">
        <v>4.7801369999999997E-4</v>
      </c>
      <c r="DN56" s="69">
        <v>4.6961090000000001E-4</v>
      </c>
      <c r="DO56" s="69">
        <v>4.6135590000000003E-4</v>
      </c>
      <c r="DP56" s="69">
        <v>4.532459E-4</v>
      </c>
      <c r="DQ56" s="69">
        <v>4.4527850000000002E-4</v>
      </c>
      <c r="DR56" s="69">
        <v>4.3745109999999998E-4</v>
      </c>
      <c r="DS56" s="69">
        <v>4.2976130000000001E-4</v>
      </c>
      <c r="DT56" s="69">
        <v>4.2220670000000002E-4</v>
      </c>
      <c r="DU56" s="69">
        <v>4.1478480000000002E-4</v>
      </c>
      <c r="DV56" s="69">
        <v>4.0749340000000001E-4</v>
      </c>
      <c r="DW56" s="69">
        <v>4.0033020000000002E-4</v>
      </c>
      <c r="DX56" s="69">
        <v>3.932928E-4</v>
      </c>
      <c r="DY56" s="69">
        <v>3.8637920000000002E-4</v>
      </c>
      <c r="DZ56" s="69">
        <v>3.795871E-4</v>
      </c>
      <c r="EA56" s="69">
        <v>3.7291430000000001E-4</v>
      </c>
      <c r="EB56" s="69">
        <v>3.6635880000000001E-4</v>
      </c>
      <c r="EC56" s="69">
        <v>3.5991860000000002E-4</v>
      </c>
      <c r="ED56" s="69">
        <v>3.5359159999999998E-4</v>
      </c>
      <c r="EE56" s="69">
        <v>3.473757E-4</v>
      </c>
      <c r="EF56" s="69">
        <v>3.4126920000000002E-4</v>
      </c>
      <c r="EG56" s="69">
        <v>3.352699E-4</v>
      </c>
      <c r="EH56" s="69">
        <v>3.2937610000000002E-4</v>
      </c>
      <c r="EI56" s="69">
        <v>3.2358590000000002E-4</v>
      </c>
      <c r="EJ56" s="69">
        <v>3.1789749999999999E-4</v>
      </c>
      <c r="EK56" s="69">
        <v>3.1230910000000001E-4</v>
      </c>
      <c r="EL56" s="69">
        <v>3.0681890000000002E-4</v>
      </c>
      <c r="EM56" s="69">
        <v>3.0142519999999998E-4</v>
      </c>
      <c r="EN56" s="69">
        <v>2.9612630000000001E-4</v>
      </c>
      <c r="EO56" s="69">
        <v>2.9092050000000002E-4</v>
      </c>
      <c r="EP56" s="69">
        <v>2.8580629999999999E-4</v>
      </c>
      <c r="EQ56" s="69">
        <v>2.807819E-4</v>
      </c>
      <c r="ER56" s="69">
        <v>2.7584590000000002E-4</v>
      </c>
      <c r="ES56" s="69">
        <v>2.7099660000000001E-4</v>
      </c>
      <c r="ET56" s="69">
        <v>2.6623249999999999E-4</v>
      </c>
      <c r="EU56" s="69">
        <v>2.6155219999999998E-4</v>
      </c>
      <c r="EV56" s="69">
        <v>2.5695420000000001E-4</v>
      </c>
      <c r="EW56" s="69">
        <v>2.52437E-4</v>
      </c>
      <c r="EX56" s="69">
        <v>2.4799920000000001E-4</v>
      </c>
      <c r="EY56" s="69">
        <v>2.436394E-4</v>
      </c>
      <c r="EZ56" s="69">
        <v>2.393563E-4</v>
      </c>
      <c r="FA56" s="69">
        <v>2.3514839999999999E-4</v>
      </c>
      <c r="FB56" s="69">
        <v>2.3101449999999999E-4</v>
      </c>
      <c r="FC56" s="69">
        <v>2.2695319999999999E-4</v>
      </c>
      <c r="FD56" s="69">
        <v>2.2296339999999999E-4</v>
      </c>
      <c r="FE56" s="69">
        <v>2.190437E-4</v>
      </c>
      <c r="FF56" s="69">
        <v>2.1519289999999999E-4</v>
      </c>
      <c r="FG56" s="69">
        <v>2.1140969999999999E-4</v>
      </c>
      <c r="FH56" s="69">
        <v>2.0769310000000001E-4</v>
      </c>
      <c r="FI56" s="69">
        <v>2.040418E-4</v>
      </c>
      <c r="FJ56" s="69">
        <v>2.004547E-4</v>
      </c>
      <c r="FK56" s="69">
        <v>1.9693069999999999E-4</v>
      </c>
      <c r="FL56" s="69">
        <v>1.9346860000000001E-4</v>
      </c>
      <c r="FM56" s="69">
        <v>1.900673E-4</v>
      </c>
      <c r="FN56" s="69">
        <v>1.8672590000000001E-4</v>
      </c>
      <c r="FO56" s="69">
        <v>1.834432E-4</v>
      </c>
      <c r="FP56" s="69">
        <v>1.8021819999999999E-4</v>
      </c>
      <c r="FQ56" s="69">
        <v>1.7704989999999999E-4</v>
      </c>
    </row>
    <row r="57" spans="1:173" x14ac:dyDescent="0.25">
      <c r="A57" s="71">
        <v>55</v>
      </c>
      <c r="B57" s="69">
        <v>4.196455E-3</v>
      </c>
      <c r="C57" s="69">
        <v>4.1194459000000001E-3</v>
      </c>
      <c r="D57" s="69">
        <v>4.0440522999999999E-3</v>
      </c>
      <c r="E57" s="69">
        <v>3.9702241000000001E-3</v>
      </c>
      <c r="F57" s="69">
        <v>3.8979139000000001E-3</v>
      </c>
      <c r="G57" s="69">
        <v>3.8270768999999999E-3</v>
      </c>
      <c r="H57" s="69">
        <v>3.7576702999999999E-3</v>
      </c>
      <c r="I57" s="69">
        <v>3.6896537E-3</v>
      </c>
      <c r="J57" s="69">
        <v>3.6229885999999999E-3</v>
      </c>
      <c r="K57" s="69">
        <v>3.5576383999999998E-3</v>
      </c>
      <c r="L57" s="69">
        <v>3.4935682999999999E-3</v>
      </c>
      <c r="M57" s="69">
        <v>3.4307448000000002E-3</v>
      </c>
      <c r="N57" s="69">
        <v>3.3691362000000001E-3</v>
      </c>
      <c r="O57" s="69">
        <v>3.3087120000000001E-3</v>
      </c>
      <c r="P57" s="69">
        <v>3.2494430999999999E-3</v>
      </c>
      <c r="Q57" s="69">
        <v>3.1913014999999999E-3</v>
      </c>
      <c r="R57" s="69">
        <v>3.1342602999999999E-3</v>
      </c>
      <c r="S57" s="69">
        <v>3.0782939E-3</v>
      </c>
      <c r="T57" s="69">
        <v>3.0233775E-3</v>
      </c>
      <c r="U57" s="69">
        <v>2.9694869999999998E-3</v>
      </c>
      <c r="V57" s="69">
        <v>2.9165997E-3</v>
      </c>
      <c r="W57" s="69">
        <v>2.8646931999999998E-3</v>
      </c>
      <c r="X57" s="69">
        <v>2.8137461999999999E-3</v>
      </c>
      <c r="Y57" s="69">
        <v>2.763738E-3</v>
      </c>
      <c r="Z57" s="69">
        <v>2.7146485999999998E-3</v>
      </c>
      <c r="AA57" s="69">
        <v>2.6664585000000002E-3</v>
      </c>
      <c r="AB57" s="69">
        <v>2.6191490999999999E-3</v>
      </c>
      <c r="AC57" s="69">
        <v>2.5727021000000001E-3</v>
      </c>
      <c r="AD57" s="69">
        <v>2.5270999E-3</v>
      </c>
      <c r="AE57" s="69">
        <v>2.4823254000000002E-3</v>
      </c>
      <c r="AF57" s="69">
        <v>2.4383618999999999E-3</v>
      </c>
      <c r="AG57" s="69">
        <v>2.3951932E-3</v>
      </c>
      <c r="AH57" s="69">
        <v>2.3528035999999999E-3</v>
      </c>
      <c r="AI57" s="69">
        <v>2.3111778E-3</v>
      </c>
      <c r="AJ57" s="69">
        <v>2.2703009000000001E-3</v>
      </c>
      <c r="AK57" s="69">
        <v>2.2301584E-3</v>
      </c>
      <c r="AL57" s="69">
        <v>2.190736E-3</v>
      </c>
      <c r="AM57" s="69">
        <v>2.1520201000000002E-3</v>
      </c>
      <c r="AN57" s="69">
        <v>2.1139969999999998E-3</v>
      </c>
      <c r="AO57" s="69">
        <v>2.0766538000000002E-3</v>
      </c>
      <c r="AP57" s="69">
        <v>2.0399774999999998E-3</v>
      </c>
      <c r="AQ57" s="69">
        <v>2.0039555000000001E-3</v>
      </c>
      <c r="AR57" s="69">
        <v>1.9685758E-3</v>
      </c>
      <c r="AS57" s="69">
        <v>1.9338262000000001E-3</v>
      </c>
      <c r="AT57" s="69">
        <v>1.8996951000000001E-3</v>
      </c>
      <c r="AU57" s="69">
        <v>1.866171E-3</v>
      </c>
      <c r="AV57" s="69">
        <v>1.8332426999999999E-3</v>
      </c>
      <c r="AW57" s="69">
        <v>1.8008993E-3</v>
      </c>
      <c r="AX57" s="69">
        <v>1.7691301000000001E-3</v>
      </c>
      <c r="AY57" s="69">
        <v>1.7379245E-3</v>
      </c>
      <c r="AZ57" s="69">
        <v>1.7072722E-3</v>
      </c>
      <c r="BA57" s="69">
        <v>1.6771632E-3</v>
      </c>
      <c r="BB57" s="69">
        <v>1.6475877000000001E-3</v>
      </c>
      <c r="BC57" s="69">
        <v>1.6185358E-3</v>
      </c>
      <c r="BD57" s="69">
        <v>1.5899982999999999E-3</v>
      </c>
      <c r="BE57" s="69">
        <v>1.5619657E-3</v>
      </c>
      <c r="BF57" s="69">
        <v>1.5344289999999999E-3</v>
      </c>
      <c r="BG57" s="69">
        <v>1.5073793E-3</v>
      </c>
      <c r="BH57" s="69">
        <v>1.4808077E-3</v>
      </c>
      <c r="BI57" s="69">
        <v>1.4547058E-3</v>
      </c>
      <c r="BJ57" s="69">
        <v>1.4290651E-3</v>
      </c>
      <c r="BK57" s="69">
        <v>1.4038773999999999E-3</v>
      </c>
      <c r="BL57" s="69">
        <v>1.3791344999999999E-3</v>
      </c>
      <c r="BM57" s="69">
        <v>1.3548284999999999E-3</v>
      </c>
      <c r="BN57" s="69">
        <v>1.3309515999999999E-3</v>
      </c>
      <c r="BO57" s="69">
        <v>1.3074962000000001E-3</v>
      </c>
      <c r="BP57" s="69">
        <v>1.2844547E-3</v>
      </c>
      <c r="BQ57" s="69">
        <v>1.2618199000000001E-3</v>
      </c>
      <c r="BR57" s="69">
        <v>1.2395844000000001E-3</v>
      </c>
      <c r="BS57" s="69">
        <v>1.2177411000000001E-3</v>
      </c>
      <c r="BT57" s="69">
        <v>1.1962831000000001E-3</v>
      </c>
      <c r="BU57" s="69">
        <v>1.1752036000000001E-3</v>
      </c>
      <c r="BV57" s="69">
        <v>1.1544959E-3</v>
      </c>
      <c r="BW57" s="69">
        <v>1.1341533E-3</v>
      </c>
      <c r="BX57" s="69">
        <v>1.1141693E-3</v>
      </c>
      <c r="BY57" s="69">
        <v>1.0945377E-3</v>
      </c>
      <c r="BZ57" s="69">
        <v>1.0752521999999999E-3</v>
      </c>
      <c r="CA57" s="69">
        <v>1.0563066999999999E-3</v>
      </c>
      <c r="CB57" s="69">
        <v>1.0376951E-3</v>
      </c>
      <c r="CC57" s="69">
        <v>1.0194115E-3</v>
      </c>
      <c r="CD57" s="69">
        <v>1.0014501999999999E-3</v>
      </c>
      <c r="CE57" s="69">
        <v>9.8380550000000009E-4</v>
      </c>
      <c r="CF57" s="69">
        <v>9.6647170000000002E-4</v>
      </c>
      <c r="CG57" s="69">
        <v>9.494433E-4</v>
      </c>
      <c r="CH57" s="69">
        <v>9.3271510000000001E-4</v>
      </c>
      <c r="CI57" s="69">
        <v>9.1628160000000001E-4</v>
      </c>
      <c r="CJ57" s="69">
        <v>9.0013759999999995E-4</v>
      </c>
      <c r="CK57" s="69">
        <v>8.8427820000000002E-4</v>
      </c>
      <c r="CL57" s="69">
        <v>8.6869810000000003E-4</v>
      </c>
      <c r="CM57" s="69">
        <v>8.5339260000000001E-4</v>
      </c>
      <c r="CN57" s="69">
        <v>8.3835680000000001E-4</v>
      </c>
      <c r="CO57" s="69">
        <v>8.235858E-4</v>
      </c>
      <c r="CP57" s="69">
        <v>8.0907509999999995E-4</v>
      </c>
      <c r="CQ57" s="69">
        <v>7.9482000000000001E-4</v>
      </c>
      <c r="CR57" s="69">
        <v>7.8081609999999997E-4</v>
      </c>
      <c r="CS57" s="69">
        <v>7.6705890000000002E-4</v>
      </c>
      <c r="CT57" s="69">
        <v>7.5354410000000001E-4</v>
      </c>
      <c r="CU57" s="69">
        <v>7.4026729999999996E-4</v>
      </c>
      <c r="CV57" s="69">
        <v>7.2722439999999998E-4</v>
      </c>
      <c r="CW57" s="69">
        <v>7.144114E-4</v>
      </c>
      <c r="CX57" s="69">
        <v>7.0182399999999998E-4</v>
      </c>
      <c r="CY57" s="69">
        <v>6.8945840000000003E-4</v>
      </c>
      <c r="CZ57" s="69">
        <v>6.7731059999999997E-4</v>
      </c>
      <c r="DA57" s="69">
        <v>6.6537680000000002E-4</v>
      </c>
      <c r="DB57" s="69">
        <v>6.5365330000000002E-4</v>
      </c>
      <c r="DC57" s="69">
        <v>6.4213629999999996E-4</v>
      </c>
      <c r="DD57" s="69">
        <v>6.3082209999999999E-4</v>
      </c>
      <c r="DE57" s="69">
        <v>6.1970730000000004E-4</v>
      </c>
      <c r="DF57" s="69">
        <v>6.0878829999999997E-4</v>
      </c>
      <c r="DG57" s="69">
        <v>5.9806170000000001E-4</v>
      </c>
      <c r="DH57" s="69">
        <v>5.8752399999999997E-4</v>
      </c>
      <c r="DI57" s="69">
        <v>5.771719E-4</v>
      </c>
      <c r="DJ57" s="69">
        <v>5.670022E-4</v>
      </c>
      <c r="DK57" s="69">
        <v>5.5701169999999996E-4</v>
      </c>
      <c r="DL57" s="69">
        <v>5.4719709999999995E-4</v>
      </c>
      <c r="DM57" s="69">
        <v>5.3755549999999995E-4</v>
      </c>
      <c r="DN57" s="69">
        <v>5.2808369999999996E-4</v>
      </c>
      <c r="DO57" s="69">
        <v>5.1877879999999996E-4</v>
      </c>
      <c r="DP57" s="69">
        <v>5.0963780000000001E-4</v>
      </c>
      <c r="DQ57" s="69">
        <v>5.006578E-4</v>
      </c>
      <c r="DR57" s="69">
        <v>4.9183609999999998E-4</v>
      </c>
      <c r="DS57" s="69">
        <v>4.831697E-4</v>
      </c>
      <c r="DT57" s="69">
        <v>4.74656E-4</v>
      </c>
      <c r="DU57" s="69">
        <v>4.6629229999999998E-4</v>
      </c>
      <c r="DV57" s="69">
        <v>4.5807600000000002E-4</v>
      </c>
      <c r="DW57" s="69">
        <v>4.5000440000000002E-4</v>
      </c>
      <c r="DX57" s="69">
        <v>4.42075E-4</v>
      </c>
      <c r="DY57" s="69">
        <v>4.3428530000000001E-4</v>
      </c>
      <c r="DZ57" s="69">
        <v>4.2663279999999998E-4</v>
      </c>
      <c r="EA57" s="69">
        <v>4.1911519999999997E-4</v>
      </c>
      <c r="EB57" s="69">
        <v>4.1173000000000002E-4</v>
      </c>
      <c r="EC57" s="69">
        <v>4.0447490000000003E-4</v>
      </c>
      <c r="ED57" s="69">
        <v>3.9734759999999998E-4</v>
      </c>
      <c r="EE57" s="69">
        <v>3.9034589999999999E-4</v>
      </c>
      <c r="EF57" s="69">
        <v>3.8346760000000001E-4</v>
      </c>
      <c r="EG57" s="69">
        <v>3.7671040000000002E-4</v>
      </c>
      <c r="EH57" s="69">
        <v>3.7007229999999998E-4</v>
      </c>
      <c r="EI57" s="69">
        <v>3.6355110000000002E-4</v>
      </c>
      <c r="EJ57" s="69">
        <v>3.5714489999999998E-4</v>
      </c>
      <c r="EK57" s="69">
        <v>3.5085150000000001E-4</v>
      </c>
      <c r="EL57" s="69">
        <v>3.4466899999999998E-4</v>
      </c>
      <c r="EM57" s="69">
        <v>3.3859539999999999E-4</v>
      </c>
      <c r="EN57" s="69">
        <v>3.3262880000000002E-4</v>
      </c>
      <c r="EO57" s="69">
        <v>3.2676729999999999E-4</v>
      </c>
      <c r="EP57" s="69">
        <v>3.2100910000000001E-4</v>
      </c>
      <c r="EQ57" s="69">
        <v>3.153524E-4</v>
      </c>
      <c r="ER57" s="69">
        <v>3.097954E-4</v>
      </c>
      <c r="ES57" s="69">
        <v>3.0433620000000001E-4</v>
      </c>
      <c r="ET57" s="69">
        <v>2.9897320000000003E-4</v>
      </c>
      <c r="EU57" s="69">
        <v>2.9370479999999999E-4</v>
      </c>
      <c r="EV57" s="69">
        <v>2.8852910000000002E-4</v>
      </c>
      <c r="EW57" s="69">
        <v>2.8344470000000001E-4</v>
      </c>
      <c r="EX57" s="69">
        <v>2.7844980000000001E-4</v>
      </c>
      <c r="EY57" s="69">
        <v>2.7354290000000003E-4</v>
      </c>
      <c r="EZ57" s="69">
        <v>2.687225E-4</v>
      </c>
      <c r="FA57" s="69">
        <v>2.6398710000000001E-4</v>
      </c>
      <c r="FB57" s="69">
        <v>2.593351E-4</v>
      </c>
      <c r="FC57" s="69">
        <v>2.54765E-4</v>
      </c>
      <c r="FD57" s="69">
        <v>2.5027550000000001E-4</v>
      </c>
      <c r="FE57" s="69">
        <v>2.45865E-4</v>
      </c>
      <c r="FF57" s="69">
        <v>2.415323E-4</v>
      </c>
      <c r="FG57" s="69">
        <v>2.37276E-4</v>
      </c>
      <c r="FH57" s="69">
        <v>2.330946E-4</v>
      </c>
      <c r="FI57" s="69">
        <v>2.2898689999999999E-4</v>
      </c>
      <c r="FJ57" s="69">
        <v>2.249516E-4</v>
      </c>
      <c r="FK57" s="69">
        <v>2.2098739999999999E-4</v>
      </c>
      <c r="FL57" s="69">
        <v>2.1709299999999999E-4</v>
      </c>
      <c r="FM57" s="69">
        <v>2.132673E-4</v>
      </c>
      <c r="FN57" s="69">
        <v>2.095089E-4</v>
      </c>
      <c r="FO57" s="69">
        <v>2.058168E-4</v>
      </c>
      <c r="FP57" s="69">
        <v>2.021898E-4</v>
      </c>
      <c r="FQ57" s="69">
        <v>1.986267E-4</v>
      </c>
    </row>
    <row r="58" spans="1:173" x14ac:dyDescent="0.25">
      <c r="A58" s="71">
        <v>56</v>
      </c>
      <c r="B58" s="69">
        <v>4.6205799000000004E-3</v>
      </c>
      <c r="C58" s="69">
        <v>4.5351977000000002E-3</v>
      </c>
      <c r="D58" s="69">
        <v>4.4516553000000002E-3</v>
      </c>
      <c r="E58" s="69">
        <v>4.3698920999999998E-3</v>
      </c>
      <c r="F58" s="69">
        <v>4.2898509999999999E-3</v>
      </c>
      <c r="G58" s="69">
        <v>4.2114780999999999E-3</v>
      </c>
      <c r="H58" s="69">
        <v>4.1347221999999996E-3</v>
      </c>
      <c r="I58" s="69">
        <v>4.0595351999999996E-3</v>
      </c>
      <c r="J58" s="69">
        <v>3.9858712999999999E-3</v>
      </c>
      <c r="K58" s="69">
        <v>3.9136869000000003E-3</v>
      </c>
      <c r="L58" s="69">
        <v>3.8429408999999999E-3</v>
      </c>
      <c r="M58" s="69">
        <v>3.7735938999999999E-3</v>
      </c>
      <c r="N58" s="69">
        <v>3.7056085000000002E-3</v>
      </c>
      <c r="O58" s="69">
        <v>3.6389489999999998E-3</v>
      </c>
      <c r="P58" s="69">
        <v>3.5735811999999998E-3</v>
      </c>
      <c r="Q58" s="69">
        <v>3.5094726999999998E-3</v>
      </c>
      <c r="R58" s="69">
        <v>3.4465921000000001E-3</v>
      </c>
      <c r="S58" s="69">
        <v>3.3849096E-3</v>
      </c>
      <c r="T58" s="69">
        <v>3.3243965E-3</v>
      </c>
      <c r="U58" s="69">
        <v>3.2650253000000001E-3</v>
      </c>
      <c r="V58" s="69">
        <v>3.2067694000000001E-3</v>
      </c>
      <c r="W58" s="69">
        <v>3.1496033000000001E-3</v>
      </c>
      <c r="X58" s="69">
        <v>3.0935025999999999E-3</v>
      </c>
      <c r="Y58" s="69">
        <v>3.0384435999999998E-3</v>
      </c>
      <c r="Z58" s="69">
        <v>2.9844033000000002E-3</v>
      </c>
      <c r="AA58" s="69">
        <v>2.9313598E-3</v>
      </c>
      <c r="AB58" s="69">
        <v>2.8792916000000002E-3</v>
      </c>
      <c r="AC58" s="69">
        <v>2.8281781999999998E-3</v>
      </c>
      <c r="AD58" s="69">
        <v>2.7779994999999999E-3</v>
      </c>
      <c r="AE58" s="69">
        <v>2.7287361999999999E-3</v>
      </c>
      <c r="AF58" s="69">
        <v>2.6803694999999999E-3</v>
      </c>
      <c r="AG58" s="69">
        <v>2.6328810000000001E-3</v>
      </c>
      <c r="AH58" s="69">
        <v>2.5862531999999998E-3</v>
      </c>
      <c r="AI58" s="69">
        <v>2.5404688E-3</v>
      </c>
      <c r="AJ58" s="69">
        <v>2.4955111000000002E-3</v>
      </c>
      <c r="AK58" s="69">
        <v>2.4513637E-3</v>
      </c>
      <c r="AL58" s="69">
        <v>2.4080108999999998E-3</v>
      </c>
      <c r="AM58" s="69">
        <v>2.3654371000000002E-3</v>
      </c>
      <c r="AN58" s="69">
        <v>2.3236274000000001E-3</v>
      </c>
      <c r="AO58" s="69">
        <v>2.2825670000000001E-3</v>
      </c>
      <c r="AP58" s="69">
        <v>2.2422416000000001E-3</v>
      </c>
      <c r="AQ58" s="69">
        <v>2.2026373E-3</v>
      </c>
      <c r="AR58" s="69">
        <v>2.1637404000000001E-3</v>
      </c>
      <c r="AS58" s="69">
        <v>2.1255377000000001E-3</v>
      </c>
      <c r="AT58" s="69">
        <v>2.0880159999999998E-3</v>
      </c>
      <c r="AU58" s="69">
        <v>2.0511626999999998E-3</v>
      </c>
      <c r="AV58" s="69">
        <v>2.0149654000000002E-3</v>
      </c>
      <c r="AW58" s="69">
        <v>1.9794118999999998E-3</v>
      </c>
      <c r="AX58" s="69">
        <v>1.9444903E-3</v>
      </c>
      <c r="AY58" s="69">
        <v>1.9101890000000001E-3</v>
      </c>
      <c r="AZ58" s="69">
        <v>1.8764966000000001E-3</v>
      </c>
      <c r="BA58" s="69">
        <v>1.8434019E-3</v>
      </c>
      <c r="BB58" s="69">
        <v>1.8108941E-3</v>
      </c>
      <c r="BC58" s="69">
        <v>1.7789624E-3</v>
      </c>
      <c r="BD58" s="69">
        <v>1.7475963E-3</v>
      </c>
      <c r="BE58" s="69">
        <v>1.7167857E-3</v>
      </c>
      <c r="BF58" s="69">
        <v>1.6865204999999999E-3</v>
      </c>
      <c r="BG58" s="69">
        <v>1.6567908000000001E-3</v>
      </c>
      <c r="BH58" s="69">
        <v>1.6275869E-3</v>
      </c>
      <c r="BI58" s="69">
        <v>1.5988993999999999E-3</v>
      </c>
      <c r="BJ58" s="69">
        <v>1.5707189999999999E-3</v>
      </c>
      <c r="BK58" s="69">
        <v>1.5430367E-3</v>
      </c>
      <c r="BL58" s="69">
        <v>1.5158433999999999E-3</v>
      </c>
      <c r="BM58" s="69">
        <v>1.4891304000000001E-3</v>
      </c>
      <c r="BN58" s="69">
        <v>1.4628891E-3</v>
      </c>
      <c r="BO58" s="69">
        <v>1.4371112000000001E-3</v>
      </c>
      <c r="BP58" s="69">
        <v>1.4117883000000001E-3</v>
      </c>
      <c r="BQ58" s="69">
        <v>1.3869123E-3</v>
      </c>
      <c r="BR58" s="69">
        <v>1.3624753E-3</v>
      </c>
      <c r="BS58" s="69">
        <v>1.3384694E-3</v>
      </c>
      <c r="BT58" s="69">
        <v>1.314887E-3</v>
      </c>
      <c r="BU58" s="69">
        <v>1.2917206000000001E-3</v>
      </c>
      <c r="BV58" s="69">
        <v>1.2689627E-3</v>
      </c>
      <c r="BW58" s="69">
        <v>1.2466062E-3</v>
      </c>
      <c r="BX58" s="69">
        <v>1.2246439E-3</v>
      </c>
      <c r="BY58" s="69">
        <v>1.2030687000000001E-3</v>
      </c>
      <c r="BZ58" s="69">
        <v>1.1818739E-3</v>
      </c>
      <c r="CA58" s="69">
        <v>1.1610527999999999E-3</v>
      </c>
      <c r="CB58" s="69">
        <v>1.1405986E-3</v>
      </c>
      <c r="CC58" s="69">
        <v>1.1205049999999999E-3</v>
      </c>
      <c r="CD58" s="69">
        <v>1.1007654E-3</v>
      </c>
      <c r="CE58" s="69">
        <v>1.0813737999999999E-3</v>
      </c>
      <c r="CF58" s="69">
        <v>1.0623238000000001E-3</v>
      </c>
      <c r="CG58" s="69">
        <v>1.0436096E-3</v>
      </c>
      <c r="CH58" s="69">
        <v>1.0252250000000001E-3</v>
      </c>
      <c r="CI58" s="69">
        <v>1.0071644E-3</v>
      </c>
      <c r="CJ58" s="69">
        <v>9.8942210000000004E-4</v>
      </c>
      <c r="CK58" s="69">
        <v>9.7199229999999997E-4</v>
      </c>
      <c r="CL58" s="69">
        <v>9.5486949999999996E-4</v>
      </c>
      <c r="CM58" s="69">
        <v>9.3804839999999995E-4</v>
      </c>
      <c r="CN58" s="69">
        <v>9.2152369999999996E-4</v>
      </c>
      <c r="CO58" s="69">
        <v>9.0529E-4</v>
      </c>
      <c r="CP58" s="69">
        <v>8.8934240000000003E-4</v>
      </c>
      <c r="CQ58" s="69">
        <v>8.7367559999999996E-4</v>
      </c>
      <c r="CR58" s="69">
        <v>8.5828480000000001E-4</v>
      </c>
      <c r="CS58" s="69">
        <v>8.4316510000000003E-4</v>
      </c>
      <c r="CT58" s="69">
        <v>8.2831180000000003E-4</v>
      </c>
      <c r="CU58" s="69">
        <v>8.1372010000000002E-4</v>
      </c>
      <c r="CV58" s="69">
        <v>7.9938540000000003E-4</v>
      </c>
      <c r="CW58" s="69">
        <v>7.8530319999999996E-4</v>
      </c>
      <c r="CX58" s="69">
        <v>7.71469E-4</v>
      </c>
      <c r="CY58" s="69">
        <v>7.5787849999999998E-4</v>
      </c>
      <c r="CZ58" s="69">
        <v>7.4452739999999996E-4</v>
      </c>
      <c r="DA58" s="69">
        <v>7.3141139999999998E-4</v>
      </c>
      <c r="DB58" s="69">
        <v>7.1852649999999999E-4</v>
      </c>
      <c r="DC58" s="69">
        <v>7.0586849999999997E-4</v>
      </c>
      <c r="DD58" s="69">
        <v>6.9343349999999998E-4</v>
      </c>
      <c r="DE58" s="69">
        <v>6.8121749999999997E-4</v>
      </c>
      <c r="DF58" s="69">
        <v>6.6921660000000003E-4</v>
      </c>
      <c r="DG58" s="69">
        <v>6.5742709999999996E-4</v>
      </c>
      <c r="DH58" s="69">
        <v>6.4584530000000003E-4</v>
      </c>
      <c r="DI58" s="69">
        <v>6.3446749999999995E-4</v>
      </c>
      <c r="DJ58" s="69">
        <v>6.2328999999999998E-4</v>
      </c>
      <c r="DK58" s="69">
        <v>6.1230949999999996E-4</v>
      </c>
      <c r="DL58" s="69">
        <v>6.0152230000000005E-4</v>
      </c>
      <c r="DM58" s="69">
        <v>5.9092520000000003E-4</v>
      </c>
      <c r="DN58" s="69">
        <v>5.8051469999999999E-4</v>
      </c>
      <c r="DO58" s="69">
        <v>5.7028760000000004E-4</v>
      </c>
      <c r="DP58" s="69">
        <v>5.6024060000000003E-4</v>
      </c>
      <c r="DQ58" s="69">
        <v>5.5037059999999999E-4</v>
      </c>
      <c r="DR58" s="69">
        <v>5.4067440000000002E-4</v>
      </c>
      <c r="DS58" s="69">
        <v>5.3114899999999997E-4</v>
      </c>
      <c r="DT58" s="69">
        <v>5.2179139999999999E-4</v>
      </c>
      <c r="DU58" s="69">
        <v>5.1259859999999995E-4</v>
      </c>
      <c r="DV58" s="69">
        <v>5.0356770000000003E-4</v>
      </c>
      <c r="DW58" s="69">
        <v>4.9469589999999995E-4</v>
      </c>
      <c r="DX58" s="69">
        <v>4.8598039999999998E-4</v>
      </c>
      <c r="DY58" s="69">
        <v>4.7741839999999999E-4</v>
      </c>
      <c r="DZ58" s="69">
        <v>4.6900719999999998E-4</v>
      </c>
      <c r="EA58" s="69">
        <v>4.6074419999999998E-4</v>
      </c>
      <c r="EB58" s="69">
        <v>4.5262679999999997E-4</v>
      </c>
      <c r="EC58" s="69">
        <v>4.4465230000000002E-4</v>
      </c>
      <c r="ED58" s="69">
        <v>4.368183E-4</v>
      </c>
      <c r="EE58" s="69">
        <v>4.291222E-4</v>
      </c>
      <c r="EF58" s="69">
        <v>4.2156179999999999E-4</v>
      </c>
      <c r="EG58" s="69">
        <v>4.1413449999999998E-4</v>
      </c>
      <c r="EH58" s="69">
        <v>4.068381E-4</v>
      </c>
      <c r="EI58" s="69">
        <v>3.9967019999999999E-4</v>
      </c>
      <c r="EJ58" s="69">
        <v>3.9262850000000002E-4</v>
      </c>
      <c r="EK58" s="69">
        <v>3.8571089999999997E-4</v>
      </c>
      <c r="EL58" s="69">
        <v>3.7891519999999997E-4</v>
      </c>
      <c r="EM58" s="69">
        <v>3.7223909999999999E-4</v>
      </c>
      <c r="EN58" s="69">
        <v>3.6568069999999998E-4</v>
      </c>
      <c r="EO58" s="69">
        <v>3.5923779999999999E-4</v>
      </c>
      <c r="EP58" s="69">
        <v>3.529084E-4</v>
      </c>
      <c r="EQ58" s="69">
        <v>3.4669049999999998E-4</v>
      </c>
      <c r="ER58" s="69">
        <v>3.4058210000000001E-4</v>
      </c>
      <c r="ES58" s="69">
        <v>3.345814E-4</v>
      </c>
      <c r="ET58" s="69">
        <v>3.2868630000000001E-4</v>
      </c>
      <c r="EU58" s="69">
        <v>3.228951E-4</v>
      </c>
      <c r="EV58" s="69">
        <v>3.17206E-4</v>
      </c>
      <c r="EW58" s="69">
        <v>3.1161699999999998E-4</v>
      </c>
      <c r="EX58" s="69">
        <v>3.061265E-4</v>
      </c>
      <c r="EY58" s="69">
        <v>3.0073280000000001E-4</v>
      </c>
      <c r="EZ58" s="69">
        <v>2.9543400000000002E-4</v>
      </c>
      <c r="FA58" s="69">
        <v>2.902286E-4</v>
      </c>
      <c r="FB58" s="69">
        <v>2.8511489999999998E-4</v>
      </c>
      <c r="FC58" s="69">
        <v>2.8009129999999999E-4</v>
      </c>
      <c r="FD58" s="69">
        <v>2.7515619999999999E-4</v>
      </c>
      <c r="FE58" s="69">
        <v>2.7030810000000001E-4</v>
      </c>
      <c r="FF58" s="69">
        <v>2.655453E-4</v>
      </c>
      <c r="FG58" s="69">
        <v>2.6086650000000001E-4</v>
      </c>
      <c r="FH58" s="69">
        <v>2.5627009999999999E-4</v>
      </c>
      <c r="FI58" s="69">
        <v>2.5175460000000002E-4</v>
      </c>
      <c r="FJ58" s="69">
        <v>2.4731880000000001E-4</v>
      </c>
      <c r="FK58" s="69">
        <v>2.4296100000000001E-4</v>
      </c>
      <c r="FL58" s="69">
        <v>2.3868009999999999E-4</v>
      </c>
      <c r="FM58" s="69">
        <v>2.3447450000000001E-4</v>
      </c>
      <c r="FN58" s="69">
        <v>2.3034309999999999E-4</v>
      </c>
      <c r="FO58" s="69">
        <v>2.262845E-4</v>
      </c>
      <c r="FP58" s="69">
        <v>2.2229730000000001E-4</v>
      </c>
      <c r="FQ58" s="69">
        <v>2.1838040000000001E-4</v>
      </c>
    </row>
    <row r="59" spans="1:173" x14ac:dyDescent="0.25">
      <c r="A59" s="71">
        <v>57</v>
      </c>
      <c r="B59" s="69">
        <v>5.2250274000000003E-3</v>
      </c>
      <c r="C59" s="69">
        <v>5.1210541000000004E-3</v>
      </c>
      <c r="D59" s="69">
        <v>5.0198459000000001E-3</v>
      </c>
      <c r="E59" s="69">
        <v>4.9212754999999999E-3</v>
      </c>
      <c r="F59" s="69">
        <v>4.8252249999999998E-3</v>
      </c>
      <c r="G59" s="69">
        <v>4.7315845000000002E-3</v>
      </c>
      <c r="H59" s="69">
        <v>4.6402518999999996E-3</v>
      </c>
      <c r="I59" s="69">
        <v>4.5511318999999998E-3</v>
      </c>
      <c r="J59" s="69">
        <v>4.4641356000000004E-3</v>
      </c>
      <c r="K59" s="69">
        <v>4.3791801000000003E-3</v>
      </c>
      <c r="L59" s="69">
        <v>4.2961874999999997E-3</v>
      </c>
      <c r="M59" s="69">
        <v>4.2150852000000004E-3</v>
      </c>
      <c r="N59" s="69">
        <v>4.1358050000000002E-3</v>
      </c>
      <c r="O59" s="69">
        <v>4.0582826000000001E-3</v>
      </c>
      <c r="P59" s="69">
        <v>3.9824578999999999E-3</v>
      </c>
      <c r="Q59" s="69">
        <v>3.9082741999999998E-3</v>
      </c>
      <c r="R59" s="69">
        <v>3.8356778999999999E-3</v>
      </c>
      <c r="S59" s="69">
        <v>3.7646185000000001E-3</v>
      </c>
      <c r="T59" s="69">
        <v>3.6950485E-3</v>
      </c>
      <c r="U59" s="69">
        <v>3.6269225E-3</v>
      </c>
      <c r="V59" s="69">
        <v>3.5601979000000001E-3</v>
      </c>
      <c r="W59" s="69">
        <v>3.4948341000000001E-3</v>
      </c>
      <c r="X59" s="69">
        <v>3.4307925E-3</v>
      </c>
      <c r="Y59" s="69">
        <v>3.3680364000000002E-3</v>
      </c>
      <c r="Z59" s="69">
        <v>3.3065309000000001E-3</v>
      </c>
      <c r="AA59" s="69">
        <v>3.2462428000000002E-3</v>
      </c>
      <c r="AB59" s="69">
        <v>3.1871402999999999E-3</v>
      </c>
      <c r="AC59" s="69">
        <v>3.1291929000000001E-3</v>
      </c>
      <c r="AD59" s="69">
        <v>3.0723717000000002E-3</v>
      </c>
      <c r="AE59" s="69">
        <v>3.0166488000000001E-3</v>
      </c>
      <c r="AF59" s="69">
        <v>2.9619974999999998E-3</v>
      </c>
      <c r="AG59" s="69">
        <v>2.9083921000000001E-3</v>
      </c>
      <c r="AH59" s="69">
        <v>2.8558082000000001E-3</v>
      </c>
      <c r="AI59" s="69">
        <v>2.8042219999999999E-3</v>
      </c>
      <c r="AJ59" s="69">
        <v>2.7536105999999999E-3</v>
      </c>
      <c r="AK59" s="69">
        <v>2.7039522E-3</v>
      </c>
      <c r="AL59" s="69">
        <v>2.6552253999999999E-3</v>
      </c>
      <c r="AM59" s="69">
        <v>2.6074099000000001E-3</v>
      </c>
      <c r="AN59" s="69">
        <v>2.5604858000000002E-3</v>
      </c>
      <c r="AO59" s="69">
        <v>2.5144339999999999E-3</v>
      </c>
      <c r="AP59" s="69">
        <v>2.4692359000000001E-3</v>
      </c>
      <c r="AQ59" s="69">
        <v>2.4248736999999999E-3</v>
      </c>
      <c r="AR59" s="69">
        <v>2.3813298E-3</v>
      </c>
      <c r="AS59" s="69">
        <v>2.3385875000000002E-3</v>
      </c>
      <c r="AT59" s="69">
        <v>2.2966303000000001E-3</v>
      </c>
      <c r="AU59" s="69">
        <v>2.2554421999999999E-3</v>
      </c>
      <c r="AV59" s="69">
        <v>2.2150079E-3</v>
      </c>
      <c r="AW59" s="69">
        <v>2.1753123000000001E-3</v>
      </c>
      <c r="AX59" s="69">
        <v>2.1363405999999998E-3</v>
      </c>
      <c r="AY59" s="69">
        <v>2.0980787E-3</v>
      </c>
      <c r="AZ59" s="69">
        <v>2.0605125000000002E-3</v>
      </c>
      <c r="BA59" s="69">
        <v>2.0236287000000002E-3</v>
      </c>
      <c r="BB59" s="69">
        <v>1.9874138999999998E-3</v>
      </c>
      <c r="BC59" s="69">
        <v>1.9518553000000001E-3</v>
      </c>
      <c r="BD59" s="69">
        <v>1.9169402999999999E-3</v>
      </c>
      <c r="BE59" s="69">
        <v>1.8826565999999999E-3</v>
      </c>
      <c r="BF59" s="69">
        <v>1.8489922999999999E-3</v>
      </c>
      <c r="BG59" s="69">
        <v>1.8159355E-3</v>
      </c>
      <c r="BH59" s="69">
        <v>1.7834749E-3</v>
      </c>
      <c r="BI59" s="69">
        <v>1.7515992E-3</v>
      </c>
      <c r="BJ59" s="69">
        <v>1.7202974999999999E-3</v>
      </c>
      <c r="BK59" s="69">
        <v>1.6895592000000001E-3</v>
      </c>
      <c r="BL59" s="69">
        <v>1.6593736E-3</v>
      </c>
      <c r="BM59" s="69">
        <v>1.6297306E-3</v>
      </c>
      <c r="BN59" s="69">
        <v>1.6006200999999999E-3</v>
      </c>
      <c r="BO59" s="69">
        <v>1.5720323E-3</v>
      </c>
      <c r="BP59" s="69">
        <v>1.5439575000000001E-3</v>
      </c>
      <c r="BQ59" s="69">
        <v>1.5163863999999999E-3</v>
      </c>
      <c r="BR59" s="69">
        <v>1.4893097000000001E-3</v>
      </c>
      <c r="BS59" s="69">
        <v>1.4627183000000001E-3</v>
      </c>
      <c r="BT59" s="69">
        <v>1.4366034E-3</v>
      </c>
      <c r="BU59" s="69">
        <v>1.4109563E-3</v>
      </c>
      <c r="BV59" s="69">
        <v>1.3857685000000001E-3</v>
      </c>
      <c r="BW59" s="69">
        <v>1.3610314999999999E-3</v>
      </c>
      <c r="BX59" s="69">
        <v>1.3367373000000001E-3</v>
      </c>
      <c r="BY59" s="69">
        <v>1.3128777999999999E-3</v>
      </c>
      <c r="BZ59" s="69">
        <v>1.2894451E-3</v>
      </c>
      <c r="CA59" s="69">
        <v>1.2664314000000001E-3</v>
      </c>
      <c r="CB59" s="69">
        <v>1.2438293E-3</v>
      </c>
      <c r="CC59" s="69">
        <v>1.2216313E-3</v>
      </c>
      <c r="CD59" s="69">
        <v>1.19983E-3</v>
      </c>
      <c r="CE59" s="69">
        <v>1.1784184E-3</v>
      </c>
      <c r="CF59" s="69">
        <v>1.1573893999999999E-3</v>
      </c>
      <c r="CG59" s="69">
        <v>1.1367361E-3</v>
      </c>
      <c r="CH59" s="69">
        <v>1.1164517000000001E-3</v>
      </c>
      <c r="CI59" s="69">
        <v>1.0965297E-3</v>
      </c>
      <c r="CJ59" s="69">
        <v>1.0769635E-3</v>
      </c>
      <c r="CK59" s="69">
        <v>1.0577467000000001E-3</v>
      </c>
      <c r="CL59" s="69">
        <v>1.0388731000000001E-3</v>
      </c>
      <c r="CM59" s="69">
        <v>1.0203364999999999E-3</v>
      </c>
      <c r="CN59" s="69">
        <v>1.0021308E-3</v>
      </c>
      <c r="CO59" s="69">
        <v>9.8425019999999995E-4</v>
      </c>
      <c r="CP59" s="69">
        <v>9.6668869999999997E-4</v>
      </c>
      <c r="CQ59" s="69">
        <v>9.4944069999999998E-4</v>
      </c>
      <c r="CR59" s="69">
        <v>9.3250060000000005E-4</v>
      </c>
      <c r="CS59" s="69">
        <v>9.1586279999999998E-4</v>
      </c>
      <c r="CT59" s="69">
        <v>8.9952200000000004E-4</v>
      </c>
      <c r="CU59" s="69">
        <v>8.8347269999999997E-4</v>
      </c>
      <c r="CV59" s="69">
        <v>8.6770990000000002E-4</v>
      </c>
      <c r="CW59" s="69">
        <v>8.5222840000000004E-4</v>
      </c>
      <c r="CX59" s="69">
        <v>8.3702319999999996E-4</v>
      </c>
      <c r="CY59" s="69">
        <v>8.2208919999999998E-4</v>
      </c>
      <c r="CZ59" s="69">
        <v>8.0742179999999995E-4</v>
      </c>
      <c r="DA59" s="69">
        <v>7.9301600000000001E-4</v>
      </c>
      <c r="DB59" s="69">
        <v>7.7886730000000003E-4</v>
      </c>
      <c r="DC59" s="69">
        <v>7.6497100000000003E-4</v>
      </c>
      <c r="DD59" s="69">
        <v>7.5132270000000004E-4</v>
      </c>
      <c r="DE59" s="69">
        <v>7.3791779999999999E-4</v>
      </c>
      <c r="DF59" s="69">
        <v>7.2475220000000002E-4</v>
      </c>
      <c r="DG59" s="69">
        <v>7.1182139999999999E-4</v>
      </c>
      <c r="DH59" s="69">
        <v>6.9912130000000002E-4</v>
      </c>
      <c r="DI59" s="69">
        <v>6.866477E-4</v>
      </c>
      <c r="DJ59" s="69">
        <v>6.7439669999999998E-4</v>
      </c>
      <c r="DK59" s="69">
        <v>6.6236430000000002E-4</v>
      </c>
      <c r="DL59" s="69">
        <v>6.5054649999999996E-4</v>
      </c>
      <c r="DM59" s="69">
        <v>6.389395E-4</v>
      </c>
      <c r="DN59" s="69">
        <v>6.2753959999999997E-4</v>
      </c>
      <c r="DO59" s="69">
        <v>6.1634310000000002E-4</v>
      </c>
      <c r="DP59" s="69">
        <v>6.0534629999999998E-4</v>
      </c>
      <c r="DQ59" s="69">
        <v>5.9454569999999995E-4</v>
      </c>
      <c r="DR59" s="69">
        <v>5.8393780000000003E-4</v>
      </c>
      <c r="DS59" s="69">
        <v>5.7351910000000002E-4</v>
      </c>
      <c r="DT59" s="69">
        <v>5.6328629999999997E-4</v>
      </c>
      <c r="DU59" s="69">
        <v>5.5323600000000003E-4</v>
      </c>
      <c r="DV59" s="69">
        <v>5.4336499999999997E-4</v>
      </c>
      <c r="DW59" s="69">
        <v>5.3367010000000001E-4</v>
      </c>
      <c r="DX59" s="69">
        <v>5.2414819999999996E-4</v>
      </c>
      <c r="DY59" s="69">
        <v>5.1479610000000002E-4</v>
      </c>
      <c r="DZ59" s="69">
        <v>5.0561080000000003E-4</v>
      </c>
      <c r="EA59" s="69">
        <v>4.9658950000000003E-4</v>
      </c>
      <c r="EB59" s="69">
        <v>4.8772900000000001E-4</v>
      </c>
      <c r="EC59" s="69">
        <v>4.7902660000000001E-4</v>
      </c>
      <c r="ED59" s="69">
        <v>4.704795E-4</v>
      </c>
      <c r="EE59" s="69">
        <v>4.6208479999999998E-4</v>
      </c>
      <c r="EF59" s="69">
        <v>4.5383990000000003E-4</v>
      </c>
      <c r="EG59" s="69">
        <v>4.4574209999999998E-4</v>
      </c>
      <c r="EH59" s="69">
        <v>4.3778879999999999E-4</v>
      </c>
      <c r="EI59" s="69">
        <v>4.299773E-4</v>
      </c>
      <c r="EJ59" s="69">
        <v>4.223052E-4</v>
      </c>
      <c r="EK59" s="69">
        <v>4.1477000000000001E-4</v>
      </c>
      <c r="EL59" s="69">
        <v>4.073692E-4</v>
      </c>
      <c r="EM59" s="69">
        <v>4.001004E-4</v>
      </c>
      <c r="EN59" s="69">
        <v>3.9296129999999999E-4</v>
      </c>
      <c r="EO59" s="69">
        <v>3.859496E-4</v>
      </c>
      <c r="EP59" s="69">
        <v>3.7906300000000001E-4</v>
      </c>
      <c r="EQ59" s="69">
        <v>3.7229919999999999E-4</v>
      </c>
      <c r="ER59" s="69">
        <v>3.6565609999999999E-4</v>
      </c>
      <c r="ES59" s="69">
        <v>3.5913150000000001E-4</v>
      </c>
      <c r="ET59" s="69">
        <v>3.5272329999999998E-4</v>
      </c>
      <c r="EU59" s="69">
        <v>3.4642940000000001E-4</v>
      </c>
      <c r="EV59" s="69">
        <v>3.4024789999999999E-4</v>
      </c>
      <c r="EW59" s="69">
        <v>3.3417659999999998E-4</v>
      </c>
      <c r="EX59" s="69">
        <v>3.2821359999999998E-4</v>
      </c>
      <c r="EY59" s="69">
        <v>3.22357E-4</v>
      </c>
      <c r="EZ59" s="69">
        <v>3.1660500000000002E-4</v>
      </c>
      <c r="FA59" s="69">
        <v>3.1095549999999997E-4</v>
      </c>
      <c r="FB59" s="69">
        <v>3.0540679999999998E-4</v>
      </c>
      <c r="FC59" s="69">
        <v>2.9995709999999998E-4</v>
      </c>
      <c r="FD59" s="69">
        <v>2.9460469999999998E-4</v>
      </c>
      <c r="FE59" s="69">
        <v>2.8934780000000002E-4</v>
      </c>
      <c r="FF59" s="69">
        <v>2.8418459999999998E-4</v>
      </c>
      <c r="FG59" s="69">
        <v>2.7911359999999998E-4</v>
      </c>
      <c r="FH59" s="69">
        <v>2.7413300000000003E-4</v>
      </c>
      <c r="FI59" s="69">
        <v>2.6924129999999997E-4</v>
      </c>
      <c r="FJ59" s="69">
        <v>2.6443689999999998E-4</v>
      </c>
      <c r="FK59" s="69">
        <v>2.597182E-4</v>
      </c>
      <c r="FL59" s="69">
        <v>2.5508369999999999E-4</v>
      </c>
      <c r="FM59" s="69">
        <v>2.505319E-4</v>
      </c>
      <c r="FN59" s="69">
        <v>2.4606129999999999E-4</v>
      </c>
      <c r="FO59" s="69">
        <v>2.4167040000000001E-4</v>
      </c>
      <c r="FP59" s="69">
        <v>2.3735790000000001E-4</v>
      </c>
      <c r="FQ59" s="69">
        <v>2.331224E-4</v>
      </c>
    </row>
    <row r="60" spans="1:173" x14ac:dyDescent="0.25">
      <c r="A60" s="71">
        <v>58</v>
      </c>
      <c r="B60" s="69">
        <v>5.7383564999999997E-3</v>
      </c>
      <c r="C60" s="69">
        <v>5.6279485000000004E-3</v>
      </c>
      <c r="D60" s="69">
        <v>5.5201497999999996E-3</v>
      </c>
      <c r="E60" s="69">
        <v>5.4148603999999998E-3</v>
      </c>
      <c r="F60" s="69">
        <v>5.3119865999999996E-3</v>
      </c>
      <c r="G60" s="69">
        <v>5.2114407000000001E-3</v>
      </c>
      <c r="H60" s="69">
        <v>5.1131401E-3</v>
      </c>
      <c r="I60" s="69">
        <v>5.0170073999999997E-3</v>
      </c>
      <c r="J60" s="69">
        <v>4.9229696999999999E-3</v>
      </c>
      <c r="K60" s="69">
        <v>4.8309581000000002E-3</v>
      </c>
      <c r="L60" s="69">
        <v>4.7409078000000002E-3</v>
      </c>
      <c r="M60" s="69">
        <v>4.6527575999999998E-3</v>
      </c>
      <c r="N60" s="69">
        <v>4.5664492999999999E-3</v>
      </c>
      <c r="O60" s="69">
        <v>4.4819281999999997E-3</v>
      </c>
      <c r="P60" s="69">
        <v>4.3991420999999996E-3</v>
      </c>
      <c r="Q60" s="69">
        <v>4.3180414E-3</v>
      </c>
      <c r="R60" s="69">
        <v>4.2385792000000002E-3</v>
      </c>
      <c r="S60" s="69">
        <v>4.1607106E-3</v>
      </c>
      <c r="T60" s="69">
        <v>4.0843930000000004E-3</v>
      </c>
      <c r="U60" s="69">
        <v>4.0095855999999997E-3</v>
      </c>
      <c r="V60" s="69">
        <v>3.9362494999999999E-3</v>
      </c>
      <c r="W60" s="69">
        <v>3.8643473999999999E-3</v>
      </c>
      <c r="X60" s="69">
        <v>3.7938437000000001E-3</v>
      </c>
      <c r="Y60" s="69">
        <v>3.7247041000000002E-3</v>
      </c>
      <c r="Z60" s="69">
        <v>3.6568958000000001E-3</v>
      </c>
      <c r="AA60" s="69">
        <v>3.5903874000000001E-3</v>
      </c>
      <c r="AB60" s="69">
        <v>3.5251483999999998E-3</v>
      </c>
      <c r="AC60" s="69">
        <v>3.4611497E-3</v>
      </c>
      <c r="AD60" s="69">
        <v>3.3983631999999998E-3</v>
      </c>
      <c r="AE60" s="69">
        <v>3.3367617E-3</v>
      </c>
      <c r="AF60" s="69">
        <v>3.2763190000000002E-3</v>
      </c>
      <c r="AG60" s="69">
        <v>3.2170097000000001E-3</v>
      </c>
      <c r="AH60" s="69">
        <v>3.1588095E-3</v>
      </c>
      <c r="AI60" s="69">
        <v>3.1016945000000001E-3</v>
      </c>
      <c r="AJ60" s="69">
        <v>3.0456419999999999E-3</v>
      </c>
      <c r="AK60" s="69">
        <v>2.9906295E-3</v>
      </c>
      <c r="AL60" s="69">
        <v>2.9366355000000001E-3</v>
      </c>
      <c r="AM60" s="69">
        <v>2.8836389999999999E-3</v>
      </c>
      <c r="AN60" s="69">
        <v>2.8316197999999999E-3</v>
      </c>
      <c r="AO60" s="69">
        <v>2.7805579999999998E-3</v>
      </c>
      <c r="AP60" s="69">
        <v>2.7304344E-3</v>
      </c>
      <c r="AQ60" s="69">
        <v>2.6812302999999998E-3</v>
      </c>
      <c r="AR60" s="69">
        <v>2.6329273999999999E-3</v>
      </c>
      <c r="AS60" s="69">
        <v>2.5855079999999998E-3</v>
      </c>
      <c r="AT60" s="69">
        <v>2.5389547000000002E-3</v>
      </c>
      <c r="AU60" s="69">
        <v>2.4932509000000001E-3</v>
      </c>
      <c r="AV60" s="69">
        <v>2.4483797999999999E-3</v>
      </c>
      <c r="AW60" s="69">
        <v>2.4043255999999999E-3</v>
      </c>
      <c r="AX60" s="69">
        <v>2.3610725999999999E-3</v>
      </c>
      <c r="AY60" s="69">
        <v>2.3186053000000002E-3</v>
      </c>
      <c r="AZ60" s="69">
        <v>2.2769090000000001E-3</v>
      </c>
      <c r="BA60" s="69">
        <v>2.2359688999999999E-3</v>
      </c>
      <c r="BB60" s="69">
        <v>2.1957707999999999E-3</v>
      </c>
      <c r="BC60" s="69">
        <v>2.1563007000000001E-3</v>
      </c>
      <c r="BD60" s="69">
        <v>2.1175450000000002E-3</v>
      </c>
      <c r="BE60" s="69">
        <v>2.0794902999999999E-3</v>
      </c>
      <c r="BF60" s="69">
        <v>2.0421236000000001E-3</v>
      </c>
      <c r="BG60" s="69">
        <v>2.0054319000000001E-3</v>
      </c>
      <c r="BH60" s="69">
        <v>1.9694029000000002E-3</v>
      </c>
      <c r="BI60" s="69">
        <v>1.9340240999999999E-3</v>
      </c>
      <c r="BJ60" s="69">
        <v>1.8992836999999999E-3</v>
      </c>
      <c r="BK60" s="69">
        <v>1.8651697999999999E-3</v>
      </c>
      <c r="BL60" s="69">
        <v>1.831671E-3</v>
      </c>
      <c r="BM60" s="69">
        <v>1.7987757999999999E-3</v>
      </c>
      <c r="BN60" s="69">
        <v>1.7664733000000001E-3</v>
      </c>
      <c r="BO60" s="69">
        <v>1.7347524999999999E-3</v>
      </c>
      <c r="BP60" s="69">
        <v>1.7036028999999999E-3</v>
      </c>
      <c r="BQ60" s="69">
        <v>1.673014E-3</v>
      </c>
      <c r="BR60" s="69">
        <v>1.6429755E-3</v>
      </c>
      <c r="BS60" s="69">
        <v>1.6134776000000001E-3</v>
      </c>
      <c r="BT60" s="69">
        <v>1.5845102E-3</v>
      </c>
      <c r="BU60" s="69">
        <v>1.5560637999999999E-3</v>
      </c>
      <c r="BV60" s="69">
        <v>1.5281289E-3</v>
      </c>
      <c r="BW60" s="69">
        <v>1.5006962E-3</v>
      </c>
      <c r="BX60" s="69">
        <v>1.4737566999999999E-3</v>
      </c>
      <c r="BY60" s="69">
        <v>1.4473012999999999E-3</v>
      </c>
      <c r="BZ60" s="69">
        <v>1.4213213E-3</v>
      </c>
      <c r="CA60" s="69">
        <v>1.3958082E-3</v>
      </c>
      <c r="CB60" s="69">
        <v>1.3707534000000001E-3</v>
      </c>
      <c r="CC60" s="69">
        <v>1.3461486999999999E-3</v>
      </c>
      <c r="CD60" s="69">
        <v>1.321986E-3</v>
      </c>
      <c r="CE60" s="69">
        <v>1.2982573E-3</v>
      </c>
      <c r="CF60" s="69">
        <v>1.2749547E-3</v>
      </c>
      <c r="CG60" s="69">
        <v>1.2520706000000001E-3</v>
      </c>
      <c r="CH60" s="69">
        <v>1.2295973999999999E-3</v>
      </c>
      <c r="CI60" s="69">
        <v>1.2075276999999999E-3</v>
      </c>
      <c r="CJ60" s="69">
        <v>1.1858543E-3</v>
      </c>
      <c r="CK60" s="69">
        <v>1.16457E-3</v>
      </c>
      <c r="CL60" s="69">
        <v>1.1436678E-3</v>
      </c>
      <c r="CM60" s="69">
        <v>1.1231409E-3</v>
      </c>
      <c r="CN60" s="69">
        <v>1.1029824000000001E-3</v>
      </c>
      <c r="CO60" s="69">
        <v>1.0831857E-3</v>
      </c>
      <c r="CP60" s="69">
        <v>1.0637444000000001E-3</v>
      </c>
      <c r="CQ60" s="69">
        <v>1.0446520999999999E-3</v>
      </c>
      <c r="CR60" s="69">
        <v>1.0259023999999999E-3</v>
      </c>
      <c r="CS60" s="69">
        <v>1.0074893E-3</v>
      </c>
      <c r="CT60" s="69">
        <v>9.8940659999999995E-4</v>
      </c>
      <c r="CU60" s="69">
        <v>9.7164850000000004E-4</v>
      </c>
      <c r="CV60" s="69">
        <v>9.5420909999999995E-4</v>
      </c>
      <c r="CW60" s="69">
        <v>9.3708259999999999E-4</v>
      </c>
      <c r="CX60" s="69">
        <v>9.2026360000000004E-4</v>
      </c>
      <c r="CY60" s="69">
        <v>9.0374629999999997E-4</v>
      </c>
      <c r="CZ60" s="69">
        <v>8.8752549999999996E-4</v>
      </c>
      <c r="DA60" s="69">
        <v>8.7159569999999999E-4</v>
      </c>
      <c r="DB60" s="69">
        <v>8.5595189999999996E-4</v>
      </c>
      <c r="DC60" s="69">
        <v>8.4058880000000002E-4</v>
      </c>
      <c r="DD60" s="69">
        <v>8.2550129999999996E-4</v>
      </c>
      <c r="DE60" s="69">
        <v>8.1068470000000001E-4</v>
      </c>
      <c r="DF60" s="69">
        <v>7.9613389999999996E-4</v>
      </c>
      <c r="DG60" s="69">
        <v>7.8184420000000003E-4</v>
      </c>
      <c r="DH60" s="69">
        <v>7.6781099999999997E-4</v>
      </c>
      <c r="DI60" s="69">
        <v>7.5402949999999998E-4</v>
      </c>
      <c r="DJ60" s="69">
        <v>7.4049540000000001E-4</v>
      </c>
      <c r="DK60" s="69">
        <v>7.2720420000000003E-4</v>
      </c>
      <c r="DL60" s="69">
        <v>7.1415149999999995E-4</v>
      </c>
      <c r="DM60" s="69">
        <v>7.0133299999999995E-4</v>
      </c>
      <c r="DN60" s="69">
        <v>6.8874460000000002E-4</v>
      </c>
      <c r="DO60" s="69">
        <v>6.76382E-4</v>
      </c>
      <c r="DP60" s="69">
        <v>6.6424129999999998E-4</v>
      </c>
      <c r="DQ60" s="69">
        <v>6.5231849999999999E-4</v>
      </c>
      <c r="DR60" s="69">
        <v>6.4060959999999998E-4</v>
      </c>
      <c r="DS60" s="69">
        <v>6.2911089999999998E-4</v>
      </c>
      <c r="DT60" s="69">
        <v>6.1781849999999997E-4</v>
      </c>
      <c r="DU60" s="69">
        <v>6.0672869999999998E-4</v>
      </c>
      <c r="DV60" s="69">
        <v>5.9583800000000001E-4</v>
      </c>
      <c r="DW60" s="69">
        <v>5.851427E-4</v>
      </c>
      <c r="DX60" s="69">
        <v>5.7463930000000005E-4</v>
      </c>
      <c r="DY60" s="69">
        <v>5.6432450000000001E-4</v>
      </c>
      <c r="DZ60" s="69">
        <v>5.5419469999999995E-4</v>
      </c>
      <c r="EA60" s="69">
        <v>5.4424680000000002E-4</v>
      </c>
      <c r="EB60" s="69">
        <v>5.3447729999999999E-4</v>
      </c>
      <c r="EC60" s="69">
        <v>5.2488320000000004E-4</v>
      </c>
      <c r="ED60" s="69">
        <v>5.1546130000000004E-4</v>
      </c>
      <c r="EE60" s="69">
        <v>5.0620850000000002E-4</v>
      </c>
      <c r="EF60" s="69">
        <v>4.9712170000000002E-4</v>
      </c>
      <c r="EG60" s="69">
        <v>4.8819800000000002E-4</v>
      </c>
      <c r="EH60" s="69">
        <v>4.794345E-4</v>
      </c>
      <c r="EI60" s="69">
        <v>4.7082820000000003E-4</v>
      </c>
      <c r="EJ60" s="69">
        <v>4.6237639999999999E-4</v>
      </c>
      <c r="EK60" s="69">
        <v>4.5407629999999997E-4</v>
      </c>
      <c r="EL60" s="69">
        <v>4.4592520000000002E-4</v>
      </c>
      <c r="EM60" s="69">
        <v>4.379203E-4</v>
      </c>
      <c r="EN60" s="69">
        <v>4.3005909999999998E-4</v>
      </c>
      <c r="EO60" s="69">
        <v>4.2233899999999998E-4</v>
      </c>
      <c r="EP60" s="69">
        <v>4.1475749999999998E-4</v>
      </c>
      <c r="EQ60" s="69">
        <v>4.0731200000000001E-4</v>
      </c>
      <c r="ER60" s="69">
        <v>4.0000019999999998E-4</v>
      </c>
      <c r="ES60" s="69">
        <v>3.9281960000000002E-4</v>
      </c>
      <c r="ET60" s="69">
        <v>3.857679E-4</v>
      </c>
      <c r="EU60" s="69">
        <v>3.7884270000000002E-4</v>
      </c>
      <c r="EV60" s="69">
        <v>3.7204190000000002E-4</v>
      </c>
      <c r="EW60" s="69">
        <v>3.6536309999999998E-4</v>
      </c>
      <c r="EX60" s="69">
        <v>3.5880420000000002E-4</v>
      </c>
      <c r="EY60" s="69">
        <v>3.5236300000000001E-4</v>
      </c>
      <c r="EZ60" s="69">
        <v>3.4603740000000002E-4</v>
      </c>
      <c r="FA60" s="69">
        <v>3.3982540000000001E-4</v>
      </c>
      <c r="FB60" s="69">
        <v>3.3372479999999998E-4</v>
      </c>
      <c r="FC60" s="69">
        <v>3.2773379999999998E-4</v>
      </c>
      <c r="FD60" s="69">
        <v>3.2185029999999998E-4</v>
      </c>
      <c r="FE60" s="69">
        <v>3.1607240000000001E-4</v>
      </c>
      <c r="FF60" s="69">
        <v>3.1039819999999999E-4</v>
      </c>
      <c r="FG60" s="69">
        <v>3.0482589999999998E-4</v>
      </c>
      <c r="FH60" s="69">
        <v>2.9935349999999999E-4</v>
      </c>
      <c r="FI60" s="69">
        <v>2.9397940000000001E-4</v>
      </c>
      <c r="FJ60" s="69">
        <v>2.8870179999999999E-4</v>
      </c>
      <c r="FK60" s="69">
        <v>2.835189E-4</v>
      </c>
      <c r="FL60" s="69">
        <v>2.7842909999999999E-4</v>
      </c>
      <c r="FM60" s="69">
        <v>2.734306E-4</v>
      </c>
      <c r="FN60" s="69">
        <v>2.6852179999999997E-4</v>
      </c>
      <c r="FO60" s="69">
        <v>2.6370110000000001E-4</v>
      </c>
      <c r="FP60" s="69">
        <v>2.5896699999999998E-4</v>
      </c>
      <c r="FQ60" s="69">
        <v>2.543178E-4</v>
      </c>
    </row>
    <row r="61" spans="1:173" x14ac:dyDescent="0.25">
      <c r="A61" s="71">
        <v>59</v>
      </c>
      <c r="B61" s="69">
        <v>6.2935420000000001E-3</v>
      </c>
      <c r="C61" s="69">
        <v>6.1680516000000001E-3</v>
      </c>
      <c r="D61" s="69">
        <v>6.0458342E-3</v>
      </c>
      <c r="E61" s="69">
        <v>5.9267445999999996E-3</v>
      </c>
      <c r="F61" s="69">
        <v>5.8106475000000001E-3</v>
      </c>
      <c r="G61" s="69">
        <v>5.6974171999999998E-3</v>
      </c>
      <c r="H61" s="69">
        <v>5.5869363999999999E-3</v>
      </c>
      <c r="I61" s="69">
        <v>5.4790953000000003E-3</v>
      </c>
      <c r="J61" s="69">
        <v>5.3737917E-3</v>
      </c>
      <c r="K61" s="69">
        <v>5.2709297000000004E-3</v>
      </c>
      <c r="L61" s="69">
        <v>5.1704194999999996E-3</v>
      </c>
      <c r="M61" s="69">
        <v>5.0721767000000001E-3</v>
      </c>
      <c r="N61" s="69">
        <v>4.9761221E-3</v>
      </c>
      <c r="O61" s="69">
        <v>4.8821812999999999E-3</v>
      </c>
      <c r="P61" s="69">
        <v>4.7902839999999997E-3</v>
      </c>
      <c r="Q61" s="69">
        <v>4.7003640000000003E-3</v>
      </c>
      <c r="R61" s="69">
        <v>4.6123589000000003E-3</v>
      </c>
      <c r="S61" s="69">
        <v>4.5262093999999999E-3</v>
      </c>
      <c r="T61" s="69">
        <v>4.4418597000000001E-3</v>
      </c>
      <c r="U61" s="69">
        <v>4.3592565999999999E-3</v>
      </c>
      <c r="V61" s="69">
        <v>4.2783496999999997E-3</v>
      </c>
      <c r="W61" s="69">
        <v>4.1990913E-3</v>
      </c>
      <c r="X61" s="69">
        <v>4.1214355999999999E-3</v>
      </c>
      <c r="Y61" s="69">
        <v>4.0453392999999999E-3</v>
      </c>
      <c r="Z61" s="69">
        <v>3.9707609999999997E-3</v>
      </c>
      <c r="AA61" s="69">
        <v>3.8976611999999998E-3</v>
      </c>
      <c r="AB61" s="69">
        <v>3.8260019000000002E-3</v>
      </c>
      <c r="AC61" s="69">
        <v>3.7557470999999999E-3</v>
      </c>
      <c r="AD61" s="69">
        <v>3.686862E-3</v>
      </c>
      <c r="AE61" s="69">
        <v>3.6193134E-3</v>
      </c>
      <c r="AF61" s="69">
        <v>3.5530691999999999E-3</v>
      </c>
      <c r="AG61" s="69">
        <v>3.4880987E-3</v>
      </c>
      <c r="AH61" s="69">
        <v>3.4243724999999999E-3</v>
      </c>
      <c r="AI61" s="69">
        <v>3.3618619000000001E-3</v>
      </c>
      <c r="AJ61" s="69">
        <v>3.3005395000000001E-3</v>
      </c>
      <c r="AK61" s="69">
        <v>3.2403788000000002E-3</v>
      </c>
      <c r="AL61" s="69">
        <v>3.1813542E-3</v>
      </c>
      <c r="AM61" s="69">
        <v>3.1234409000000002E-3</v>
      </c>
      <c r="AN61" s="69">
        <v>3.066615E-3</v>
      </c>
      <c r="AO61" s="69">
        <v>3.0108532E-3</v>
      </c>
      <c r="AP61" s="69">
        <v>2.9561332000000002E-3</v>
      </c>
      <c r="AQ61" s="69">
        <v>2.9024330999999999E-3</v>
      </c>
      <c r="AR61" s="69">
        <v>2.8497317000000001E-3</v>
      </c>
      <c r="AS61" s="69">
        <v>2.7980085E-3</v>
      </c>
      <c r="AT61" s="69">
        <v>2.7472436000000001E-3</v>
      </c>
      <c r="AU61" s="69">
        <v>2.6974174999999999E-3</v>
      </c>
      <c r="AV61" s="69">
        <v>2.6485113999999998E-3</v>
      </c>
      <c r="AW61" s="69">
        <v>2.6005068000000001E-3</v>
      </c>
      <c r="AX61" s="69">
        <v>2.5533859999999999E-3</v>
      </c>
      <c r="AY61" s="69">
        <v>2.5071313999999998E-3</v>
      </c>
      <c r="AZ61" s="69">
        <v>2.4617261000000001E-3</v>
      </c>
      <c r="BA61" s="69">
        <v>2.4171535000000002E-3</v>
      </c>
      <c r="BB61" s="69">
        <v>2.3733974999999999E-3</v>
      </c>
      <c r="BC61" s="69">
        <v>2.3304420999999999E-3</v>
      </c>
      <c r="BD61" s="69">
        <v>2.2882722000000001E-3</v>
      </c>
      <c r="BE61" s="69">
        <v>2.2468725000000002E-3</v>
      </c>
      <c r="BF61" s="69">
        <v>2.2062283999999999E-3</v>
      </c>
      <c r="BG61" s="69">
        <v>2.1663254999999999E-3</v>
      </c>
      <c r="BH61" s="69">
        <v>2.1271497999999999E-3</v>
      </c>
      <c r="BI61" s="69">
        <v>2.0886874999999998E-3</v>
      </c>
      <c r="BJ61" s="69">
        <v>2.0509253E-3</v>
      </c>
      <c r="BK61" s="69">
        <v>2.0138499000000002E-3</v>
      </c>
      <c r="BL61" s="69">
        <v>1.9774484999999999E-3</v>
      </c>
      <c r="BM61" s="69">
        <v>1.9417085000000001E-3</v>
      </c>
      <c r="BN61" s="69">
        <v>1.9066174999999999E-3</v>
      </c>
      <c r="BO61" s="69">
        <v>1.8721636E-3</v>
      </c>
      <c r="BP61" s="69">
        <v>1.8383348999999999E-3</v>
      </c>
      <c r="BQ61" s="69">
        <v>1.8051197E-3</v>
      </c>
      <c r="BR61" s="69">
        <v>1.7725067999999999E-3</v>
      </c>
      <c r="BS61" s="69">
        <v>1.7404849999999999E-3</v>
      </c>
      <c r="BT61" s="69">
        <v>1.7090435000000001E-3</v>
      </c>
      <c r="BU61" s="69">
        <v>1.6781715E-3</v>
      </c>
      <c r="BV61" s="69">
        <v>1.6478586000000001E-3</v>
      </c>
      <c r="BW61" s="69">
        <v>1.6180945E-3</v>
      </c>
      <c r="BX61" s="69">
        <v>1.5888692E-3</v>
      </c>
      <c r="BY61" s="69">
        <v>1.5601727999999999E-3</v>
      </c>
      <c r="BZ61" s="69">
        <v>1.5319956E-3</v>
      </c>
      <c r="CA61" s="69">
        <v>1.5043280999999999E-3</v>
      </c>
      <c r="CB61" s="69">
        <v>1.4771610000000001E-3</v>
      </c>
      <c r="CC61" s="69">
        <v>1.4504852999999999E-3</v>
      </c>
      <c r="CD61" s="69">
        <v>1.4242917999999999E-3</v>
      </c>
      <c r="CE61" s="69">
        <v>1.3985720000000001E-3</v>
      </c>
      <c r="CF61" s="69">
        <v>1.373317E-3</v>
      </c>
      <c r="CG61" s="69">
        <v>1.3485184999999999E-3</v>
      </c>
      <c r="CH61" s="69">
        <v>1.3241682E-3</v>
      </c>
      <c r="CI61" s="69">
        <v>1.3002579000000001E-3</v>
      </c>
      <c r="CJ61" s="69">
        <v>1.2767797E-3</v>
      </c>
      <c r="CK61" s="69">
        <v>1.2537256E-3</v>
      </c>
      <c r="CL61" s="69">
        <v>1.231088E-3</v>
      </c>
      <c r="CM61" s="69">
        <v>1.2088594E-3</v>
      </c>
      <c r="CN61" s="69">
        <v>1.1870323000000001E-3</v>
      </c>
      <c r="CO61" s="69">
        <v>1.1655995E-3</v>
      </c>
      <c r="CP61" s="69">
        <v>1.1445537E-3</v>
      </c>
      <c r="CQ61" s="69">
        <v>1.123888E-3</v>
      </c>
      <c r="CR61" s="69">
        <v>1.1035956E-3</v>
      </c>
      <c r="CS61" s="69">
        <v>1.0836696E-3</v>
      </c>
      <c r="CT61" s="69">
        <v>1.0641034E-3</v>
      </c>
      <c r="CU61" s="69">
        <v>1.0448905999999999E-3</v>
      </c>
      <c r="CV61" s="69">
        <v>1.0260245999999999E-3</v>
      </c>
      <c r="CW61" s="69">
        <v>1.0074992999999999E-3</v>
      </c>
      <c r="CX61" s="69">
        <v>9.8930849999999989E-4</v>
      </c>
      <c r="CY61" s="69">
        <v>9.7144620000000001E-4</v>
      </c>
      <c r="CZ61" s="69">
        <v>9.5390630000000002E-4</v>
      </c>
      <c r="DA61" s="69">
        <v>9.3668310000000004E-4</v>
      </c>
      <c r="DB61" s="69">
        <v>9.1977080000000004E-4</v>
      </c>
      <c r="DC61" s="69">
        <v>9.0316389999999999E-4</v>
      </c>
      <c r="DD61" s="69">
        <v>8.8685680000000005E-4</v>
      </c>
      <c r="DE61" s="69">
        <v>8.7084409999999999E-4</v>
      </c>
      <c r="DF61" s="69">
        <v>8.5512049999999997E-4</v>
      </c>
      <c r="DG61" s="69">
        <v>8.3968080000000004E-4</v>
      </c>
      <c r="DH61" s="69">
        <v>8.2451970000000003E-4</v>
      </c>
      <c r="DI61" s="69">
        <v>8.0963240000000004E-4</v>
      </c>
      <c r="DJ61" s="69">
        <v>7.9501379999999996E-4</v>
      </c>
      <c r="DK61" s="69">
        <v>7.8065909999999999E-4</v>
      </c>
      <c r="DL61" s="69">
        <v>7.6656360000000004E-4</v>
      </c>
      <c r="DM61" s="69">
        <v>7.527225E-4</v>
      </c>
      <c r="DN61" s="69">
        <v>7.3913129999999996E-4</v>
      </c>
      <c r="DO61" s="69">
        <v>7.2578550000000001E-4</v>
      </c>
      <c r="DP61" s="69">
        <v>7.1268049999999999E-4</v>
      </c>
      <c r="DQ61" s="69">
        <v>6.9981220000000003E-4</v>
      </c>
      <c r="DR61" s="69">
        <v>6.8717609999999999E-4</v>
      </c>
      <c r="DS61" s="69">
        <v>6.7476820000000003E-4</v>
      </c>
      <c r="DT61" s="69">
        <v>6.6258430000000002E-4</v>
      </c>
      <c r="DU61" s="69">
        <v>6.5062029999999997E-4</v>
      </c>
      <c r="DV61" s="69">
        <v>6.3887229999999996E-4</v>
      </c>
      <c r="DW61" s="69">
        <v>6.2733630000000003E-4</v>
      </c>
      <c r="DX61" s="69">
        <v>6.1600870000000005E-4</v>
      </c>
      <c r="DY61" s="69">
        <v>6.0488549999999995E-4</v>
      </c>
      <c r="DZ61" s="69">
        <v>5.9396310000000001E-4</v>
      </c>
      <c r="EA61" s="69">
        <v>5.8323789999999999E-4</v>
      </c>
      <c r="EB61" s="69">
        <v>5.727064E-4</v>
      </c>
      <c r="EC61" s="69">
        <v>5.6236489999999997E-4</v>
      </c>
      <c r="ED61" s="69">
        <v>5.5221019999999999E-4</v>
      </c>
      <c r="EE61" s="69">
        <v>5.4223870000000003E-4</v>
      </c>
      <c r="EF61" s="69">
        <v>5.3244730000000001E-4</v>
      </c>
      <c r="EG61" s="69">
        <v>5.2283270000000001E-4</v>
      </c>
      <c r="EH61" s="69">
        <v>5.133917E-4</v>
      </c>
      <c r="EI61" s="69">
        <v>5.0412109999999999E-4</v>
      </c>
      <c r="EJ61" s="69">
        <v>4.950178E-4</v>
      </c>
      <c r="EK61" s="69">
        <v>4.8607890000000001E-4</v>
      </c>
      <c r="EL61" s="69">
        <v>4.7730139999999999E-4</v>
      </c>
      <c r="EM61" s="69">
        <v>4.6868240000000002E-4</v>
      </c>
      <c r="EN61" s="69">
        <v>4.6021899999999999E-4</v>
      </c>
      <c r="EO61" s="69">
        <v>4.5190840000000003E-4</v>
      </c>
      <c r="EP61" s="69">
        <v>4.4374779999999998E-4</v>
      </c>
      <c r="EQ61" s="69">
        <v>4.3573450000000002E-4</v>
      </c>
      <c r="ER61" s="69">
        <v>4.27866E-4</v>
      </c>
      <c r="ES61" s="69">
        <v>4.2013949999999999E-4</v>
      </c>
      <c r="ET61" s="69">
        <v>4.1255250000000001E-4</v>
      </c>
      <c r="EU61" s="69">
        <v>4.0510239999999999E-4</v>
      </c>
      <c r="EV61" s="69">
        <v>3.977869E-4</v>
      </c>
      <c r="EW61" s="69">
        <v>3.9060350000000001E-4</v>
      </c>
      <c r="EX61" s="69">
        <v>3.8354980000000001E-4</v>
      </c>
      <c r="EY61" s="69">
        <v>3.766234E-4</v>
      </c>
      <c r="EZ61" s="69">
        <v>3.6982209999999999E-4</v>
      </c>
      <c r="FA61" s="69">
        <v>3.631436E-4</v>
      </c>
      <c r="FB61" s="69">
        <v>3.565857E-4</v>
      </c>
      <c r="FC61" s="69">
        <v>3.5014619999999998E-4</v>
      </c>
      <c r="FD61" s="69">
        <v>3.4382290000000001E-4</v>
      </c>
      <c r="FE61" s="69">
        <v>3.3761380000000001E-4</v>
      </c>
      <c r="FF61" s="69">
        <v>3.315169E-4</v>
      </c>
      <c r="FG61" s="69">
        <v>3.2552999999999998E-4</v>
      </c>
      <c r="FH61" s="69">
        <v>3.1965120000000002E-4</v>
      </c>
      <c r="FI61" s="69">
        <v>3.1387860000000001E-4</v>
      </c>
      <c r="FJ61" s="69">
        <v>3.0821020000000002E-4</v>
      </c>
      <c r="FK61" s="69">
        <v>3.0264419999999998E-4</v>
      </c>
      <c r="FL61" s="69">
        <v>2.9717870000000001E-4</v>
      </c>
      <c r="FM61" s="69">
        <v>2.918118E-4</v>
      </c>
      <c r="FN61" s="69">
        <v>2.865419E-4</v>
      </c>
      <c r="FO61" s="69">
        <v>2.8136710000000001E-4</v>
      </c>
      <c r="FP61" s="69">
        <v>2.7628579999999998E-4</v>
      </c>
      <c r="FQ61" s="69">
        <v>2.7129619999999999E-4</v>
      </c>
    </row>
    <row r="62" spans="1:173" x14ac:dyDescent="0.25">
      <c r="A62" s="71">
        <v>60</v>
      </c>
      <c r="B62" s="69">
        <v>6.9973863999999997E-3</v>
      </c>
      <c r="C62" s="69">
        <v>6.8594774999999998E-3</v>
      </c>
      <c r="D62" s="69">
        <v>6.7248929000000004E-3</v>
      </c>
      <c r="E62" s="69">
        <v>6.5935042000000001E-3</v>
      </c>
      <c r="F62" s="69">
        <v>6.4651912000000004E-3</v>
      </c>
      <c r="G62" s="69">
        <v>6.3398411999999998E-3</v>
      </c>
      <c r="H62" s="69">
        <v>6.2173484000000003E-3</v>
      </c>
      <c r="I62" s="69">
        <v>6.0976132000000001E-3</v>
      </c>
      <c r="J62" s="69">
        <v>5.9805420999999998E-3</v>
      </c>
      <c r="K62" s="69">
        <v>5.8660467000000004E-3</v>
      </c>
      <c r="L62" s="69">
        <v>5.7540439999999998E-3</v>
      </c>
      <c r="M62" s="69">
        <v>5.6444551000000001E-3</v>
      </c>
      <c r="N62" s="69">
        <v>5.5372056000000001E-3</v>
      </c>
      <c r="O62" s="69">
        <v>5.4322249999999997E-3</v>
      </c>
      <c r="P62" s="69">
        <v>5.3294464999999996E-3</v>
      </c>
      <c r="Q62" s="69">
        <v>5.2288064E-3</v>
      </c>
      <c r="R62" s="69">
        <v>5.1302444000000001E-3</v>
      </c>
      <c r="S62" s="69">
        <v>5.0337029999999996E-3</v>
      </c>
      <c r="T62" s="69">
        <v>4.9391273000000003E-3</v>
      </c>
      <c r="U62" s="69">
        <v>4.8464650000000003E-3</v>
      </c>
      <c r="V62" s="69">
        <v>4.7556661E-3</v>
      </c>
      <c r="W62" s="69">
        <v>4.6666828000000004E-3</v>
      </c>
      <c r="X62" s="69">
        <v>4.5794692999999997E-3</v>
      </c>
      <c r="Y62" s="69">
        <v>4.4939817E-3</v>
      </c>
      <c r="Z62" s="69">
        <v>4.4101779000000002E-3</v>
      </c>
      <c r="AA62" s="69">
        <v>4.3280172E-3</v>
      </c>
      <c r="AB62" s="69">
        <v>4.2474608999999997E-3</v>
      </c>
      <c r="AC62" s="69">
        <v>4.1684714000000001E-3</v>
      </c>
      <c r="AD62" s="69">
        <v>4.0910125000000004E-3</v>
      </c>
      <c r="AE62" s="69">
        <v>4.0150495000000003E-3</v>
      </c>
      <c r="AF62" s="69">
        <v>3.9405487000000001E-3</v>
      </c>
      <c r="AG62" s="69">
        <v>3.8674776E-3</v>
      </c>
      <c r="AH62" s="69">
        <v>3.7958047000000001E-3</v>
      </c>
      <c r="AI62" s="69">
        <v>3.7254995999999999E-3</v>
      </c>
      <c r="AJ62" s="69">
        <v>3.6565329E-3</v>
      </c>
      <c r="AK62" s="69">
        <v>3.5888761E-3</v>
      </c>
      <c r="AL62" s="69">
        <v>3.5225013E-3</v>
      </c>
      <c r="AM62" s="69">
        <v>3.4573818000000001E-3</v>
      </c>
      <c r="AN62" s="69">
        <v>3.3934913999999999E-3</v>
      </c>
      <c r="AO62" s="69">
        <v>3.3308048E-3</v>
      </c>
      <c r="AP62" s="69">
        <v>3.2692973000000001E-3</v>
      </c>
      <c r="AQ62" s="69">
        <v>3.2089447999999999E-3</v>
      </c>
      <c r="AR62" s="69">
        <v>3.1497241E-3</v>
      </c>
      <c r="AS62" s="69">
        <v>3.0916123999999998E-3</v>
      </c>
      <c r="AT62" s="69">
        <v>3.0345874999999998E-3</v>
      </c>
      <c r="AU62" s="69">
        <v>2.9786278E-3</v>
      </c>
      <c r="AV62" s="69">
        <v>2.9237122999999999E-3</v>
      </c>
      <c r="AW62" s="69">
        <v>2.8698203E-3</v>
      </c>
      <c r="AX62" s="69">
        <v>2.8169318999999998E-3</v>
      </c>
      <c r="AY62" s="69">
        <v>2.7650273999999999E-3</v>
      </c>
      <c r="AZ62" s="69">
        <v>2.7140876999999998E-3</v>
      </c>
      <c r="BA62" s="69">
        <v>2.6640941000000001E-3</v>
      </c>
      <c r="BB62" s="69">
        <v>2.6150283999999998E-3</v>
      </c>
      <c r="BC62" s="69">
        <v>2.5668726999999998E-3</v>
      </c>
      <c r="BD62" s="69">
        <v>2.5196095000000001E-3</v>
      </c>
      <c r="BE62" s="69">
        <v>2.4732219000000001E-3</v>
      </c>
      <c r="BF62" s="69">
        <v>2.4276929999999999E-3</v>
      </c>
      <c r="BG62" s="69">
        <v>2.3830065999999998E-3</v>
      </c>
      <c r="BH62" s="69">
        <v>2.3391466000000001E-3</v>
      </c>
      <c r="BI62" s="69">
        <v>2.2960974000000001E-3</v>
      </c>
      <c r="BJ62" s="69">
        <v>2.2538437E-3</v>
      </c>
      <c r="BK62" s="69">
        <v>2.2123705000000001E-3</v>
      </c>
      <c r="BL62" s="69">
        <v>2.1716630999999999E-3</v>
      </c>
      <c r="BM62" s="69">
        <v>2.1317071000000001E-3</v>
      </c>
      <c r="BN62" s="69">
        <v>2.0924883000000001E-3</v>
      </c>
      <c r="BO62" s="69">
        <v>2.0539930000000001E-3</v>
      </c>
      <c r="BP62" s="69">
        <v>2.0162077000000001E-3</v>
      </c>
      <c r="BQ62" s="69">
        <v>1.9791190000000001E-3</v>
      </c>
      <c r="BR62" s="69">
        <v>1.9427139000000001E-3</v>
      </c>
      <c r="BS62" s="69">
        <v>1.9069797999999999E-3</v>
      </c>
      <c r="BT62" s="69">
        <v>1.8719041E-3</v>
      </c>
      <c r="BU62" s="69">
        <v>1.8374744999999999E-3</v>
      </c>
      <c r="BV62" s="69">
        <v>1.8036790999999999E-3</v>
      </c>
      <c r="BW62" s="69">
        <v>1.7705061000000001E-3</v>
      </c>
      <c r="BX62" s="69">
        <v>1.7379438000000001E-3</v>
      </c>
      <c r="BY62" s="69">
        <v>1.7059810999999999E-3</v>
      </c>
      <c r="BZ62" s="69">
        <v>1.6746066999999999E-3</v>
      </c>
      <c r="CA62" s="69">
        <v>1.6438098E-3</v>
      </c>
      <c r="CB62" s="69">
        <v>1.6135797E-3</v>
      </c>
      <c r="CC62" s="69">
        <v>1.5839058999999999E-3</v>
      </c>
      <c r="CD62" s="69">
        <v>1.5547781E-3</v>
      </c>
      <c r="CE62" s="69">
        <v>1.5261862E-3</v>
      </c>
      <c r="CF62" s="69">
        <v>1.4981203E-3</v>
      </c>
      <c r="CG62" s="69">
        <v>1.4705708000000001E-3</v>
      </c>
      <c r="CH62" s="69">
        <v>1.4435279999999999E-3</v>
      </c>
      <c r="CI62" s="69">
        <v>1.4169826E-3</v>
      </c>
      <c r="CJ62" s="69">
        <v>1.3909255000000001E-3</v>
      </c>
      <c r="CK62" s="69">
        <v>1.3653477000000001E-3</v>
      </c>
      <c r="CL62" s="69">
        <v>1.3402402E-3</v>
      </c>
      <c r="CM62" s="69">
        <v>1.3155945E-3</v>
      </c>
      <c r="CN62" s="69">
        <v>1.2914020000000001E-3</v>
      </c>
      <c r="CO62" s="69">
        <v>1.2676543000000001E-3</v>
      </c>
      <c r="CP62" s="69">
        <v>1.2443434000000001E-3</v>
      </c>
      <c r="CQ62" s="69">
        <v>1.2214610999999999E-3</v>
      </c>
      <c r="CR62" s="69">
        <v>1.1989996000000001E-3</v>
      </c>
      <c r="CS62" s="69">
        <v>1.1769510999999999E-3</v>
      </c>
      <c r="CT62" s="69">
        <v>1.1553079E-3</v>
      </c>
      <c r="CU62" s="69">
        <v>1.1340626999999999E-3</v>
      </c>
      <c r="CV62" s="69">
        <v>1.1132081999999999E-3</v>
      </c>
      <c r="CW62" s="69">
        <v>1.0927370000000001E-3</v>
      </c>
      <c r="CX62" s="69">
        <v>1.0726423000000001E-3</v>
      </c>
      <c r="CY62" s="69">
        <v>1.052917E-3</v>
      </c>
      <c r="CZ62" s="69">
        <v>1.0335543E-3</v>
      </c>
      <c r="DA62" s="69">
        <v>1.0145477E-3</v>
      </c>
      <c r="DB62" s="69">
        <v>9.958905000000001E-4</v>
      </c>
      <c r="DC62" s="69">
        <v>9.7757630000000007E-4</v>
      </c>
      <c r="DD62" s="69">
        <v>9.5959880000000004E-4</v>
      </c>
      <c r="DE62" s="69">
        <v>9.4195189999999999E-4</v>
      </c>
      <c r="DF62" s="69">
        <v>9.2462930000000005E-4</v>
      </c>
      <c r="DG62" s="69">
        <v>9.0762530000000001E-4</v>
      </c>
      <c r="DH62" s="69">
        <v>8.9093389999999998E-4</v>
      </c>
      <c r="DI62" s="69">
        <v>8.7454929999999996E-4</v>
      </c>
      <c r="DJ62" s="69">
        <v>8.58466E-4</v>
      </c>
      <c r="DK62" s="69">
        <v>8.4267840000000005E-4</v>
      </c>
      <c r="DL62" s="69">
        <v>8.271811E-4</v>
      </c>
      <c r="DM62" s="69">
        <v>8.1196860000000003E-4</v>
      </c>
      <c r="DN62" s="69">
        <v>7.9703589999999996E-4</v>
      </c>
      <c r="DO62" s="69">
        <v>7.8237770000000003E-4</v>
      </c>
      <c r="DP62" s="69">
        <v>7.6798899999999995E-4</v>
      </c>
      <c r="DQ62" s="69">
        <v>7.5386490000000001E-4</v>
      </c>
      <c r="DR62" s="69">
        <v>7.4000040000000002E-4</v>
      </c>
      <c r="DS62" s="69">
        <v>7.2639090000000003E-4</v>
      </c>
      <c r="DT62" s="69">
        <v>7.1303160000000003E-4</v>
      </c>
      <c r="DU62" s="69">
        <v>6.9991789999999997E-4</v>
      </c>
      <c r="DV62" s="69">
        <v>6.8704530000000005E-4</v>
      </c>
      <c r="DW62" s="69">
        <v>6.7440939999999997E-4</v>
      </c>
      <c r="DX62" s="69">
        <v>6.6200579999999996E-4</v>
      </c>
      <c r="DY62" s="69">
        <v>6.498303E-4</v>
      </c>
      <c r="DZ62" s="69">
        <v>6.3787869999999995E-4</v>
      </c>
      <c r="EA62" s="69">
        <v>6.2614680000000001E-4</v>
      </c>
      <c r="EB62" s="69">
        <v>6.1463070000000004E-4</v>
      </c>
      <c r="EC62" s="69">
        <v>6.0332630000000005E-4</v>
      </c>
      <c r="ED62" s="69">
        <v>5.9222970000000002E-4</v>
      </c>
      <c r="EE62" s="69">
        <v>5.8133719999999998E-4</v>
      </c>
      <c r="EF62" s="69">
        <v>5.7064500000000005E-4</v>
      </c>
      <c r="EG62" s="69">
        <v>5.6014940000000005E-4</v>
      </c>
      <c r="EH62" s="69">
        <v>5.4984680000000005E-4</v>
      </c>
      <c r="EI62" s="69">
        <v>5.3973360000000002E-4</v>
      </c>
      <c r="EJ62" s="69">
        <v>5.2980639999999999E-4</v>
      </c>
      <c r="EK62" s="69">
        <v>5.2006169999999996E-4</v>
      </c>
      <c r="EL62" s="69">
        <v>5.1049630000000003E-4</v>
      </c>
      <c r="EM62" s="69">
        <v>5.0110669999999999E-4</v>
      </c>
      <c r="EN62" s="69">
        <v>4.9188979999999997E-4</v>
      </c>
      <c r="EO62" s="69">
        <v>4.8284240000000001E-4</v>
      </c>
      <c r="EP62" s="69">
        <v>4.7396130000000001E-4</v>
      </c>
      <c r="EQ62" s="69">
        <v>4.6524359999999999E-4</v>
      </c>
      <c r="ER62" s="69">
        <v>4.566862E-4</v>
      </c>
      <c r="ES62" s="69">
        <v>4.4828609999999998E-4</v>
      </c>
      <c r="ET62" s="69">
        <v>4.4004059999999998E-4</v>
      </c>
      <c r="EU62" s="69">
        <v>4.3194659999999999E-4</v>
      </c>
      <c r="EV62" s="69">
        <v>4.2400149999999998E-4</v>
      </c>
      <c r="EW62" s="69">
        <v>4.162026E-4</v>
      </c>
      <c r="EX62" s="69">
        <v>4.0854699999999999E-4</v>
      </c>
      <c r="EY62" s="69">
        <v>4.0103220000000002E-4</v>
      </c>
      <c r="EZ62" s="69">
        <v>3.9365569999999999E-4</v>
      </c>
      <c r="FA62" s="69">
        <v>3.8641469999999999E-4</v>
      </c>
      <c r="FB62" s="69">
        <v>3.7930700000000001E-4</v>
      </c>
      <c r="FC62" s="69">
        <v>3.7232999999999998E-4</v>
      </c>
      <c r="FD62" s="69">
        <v>3.6548130000000001E-4</v>
      </c>
      <c r="FE62" s="69">
        <v>3.5875849999999999E-4</v>
      </c>
      <c r="FF62" s="69">
        <v>3.5215939999999997E-4</v>
      </c>
      <c r="FG62" s="69">
        <v>3.4568160000000001E-4</v>
      </c>
      <c r="FH62" s="69">
        <v>3.3932299999999999E-4</v>
      </c>
      <c r="FI62" s="69">
        <v>3.3308129999999999E-4</v>
      </c>
      <c r="FJ62" s="69">
        <v>3.2695450000000002E-4</v>
      </c>
      <c r="FK62" s="69">
        <v>3.2094030000000002E-4</v>
      </c>
      <c r="FL62" s="69">
        <v>3.1503670000000001E-4</v>
      </c>
      <c r="FM62" s="69">
        <v>3.092417E-4</v>
      </c>
      <c r="FN62" s="69">
        <v>3.0355319999999999E-4</v>
      </c>
      <c r="FO62" s="69">
        <v>2.9796940000000001E-4</v>
      </c>
      <c r="FP62" s="69">
        <v>2.9248829999999998E-4</v>
      </c>
      <c r="FQ62" s="69">
        <v>2.87108E-4</v>
      </c>
    </row>
    <row r="63" spans="1:173" x14ac:dyDescent="0.25">
      <c r="A63" s="71">
        <v>61</v>
      </c>
      <c r="B63" s="69">
        <v>7.6305510999999998E-3</v>
      </c>
      <c r="C63" s="69">
        <v>7.4824773000000001E-3</v>
      </c>
      <c r="D63" s="69">
        <v>7.3377021000000002E-3</v>
      </c>
      <c r="E63" s="69">
        <v>7.1961174000000003E-3</v>
      </c>
      <c r="F63" s="69">
        <v>7.0576210999999996E-3</v>
      </c>
      <c r="G63" s="69">
        <v>6.9221168999999997E-3</v>
      </c>
      <c r="H63" s="69">
        <v>6.7895131999999997E-3</v>
      </c>
      <c r="I63" s="69">
        <v>6.6597234000000003E-3</v>
      </c>
      <c r="J63" s="69">
        <v>6.5326654000000001E-3</v>
      </c>
      <c r="K63" s="69">
        <v>6.4082608999999997E-3</v>
      </c>
      <c r="L63" s="69">
        <v>6.2864356000000001E-3</v>
      </c>
      <c r="M63" s="69">
        <v>6.1671186000000003E-3</v>
      </c>
      <c r="N63" s="69">
        <v>6.0502424000000001E-3</v>
      </c>
      <c r="O63" s="69">
        <v>5.9357422999999996E-3</v>
      </c>
      <c r="P63" s="69">
        <v>5.8235565999999999E-3</v>
      </c>
      <c r="Q63" s="69">
        <v>5.7136263E-3</v>
      </c>
      <c r="R63" s="69">
        <v>5.6058946000000004E-3</v>
      </c>
      <c r="S63" s="69">
        <v>5.5003074000000004E-3</v>
      </c>
      <c r="T63" s="69">
        <v>5.3968122999999996E-3</v>
      </c>
      <c r="U63" s="69">
        <v>5.2953593E-3</v>
      </c>
      <c r="V63" s="69">
        <v>5.1958999999999998E-3</v>
      </c>
      <c r="W63" s="69">
        <v>5.0983881000000002E-3</v>
      </c>
      <c r="X63" s="69">
        <v>5.0027785E-3</v>
      </c>
      <c r="Y63" s="69">
        <v>4.9090282000000002E-3</v>
      </c>
      <c r="Z63" s="69">
        <v>4.8170951999999996E-3</v>
      </c>
      <c r="AA63" s="69">
        <v>4.7269393E-3</v>
      </c>
      <c r="AB63" s="69">
        <v>4.6385211999999997E-3</v>
      </c>
      <c r="AC63" s="69">
        <v>4.5518032999999998E-3</v>
      </c>
      <c r="AD63" s="69">
        <v>4.4667487999999998E-3</v>
      </c>
      <c r="AE63" s="69">
        <v>4.3833222000000003E-3</v>
      </c>
      <c r="AF63" s="69">
        <v>4.3014890000000004E-3</v>
      </c>
      <c r="AG63" s="69">
        <v>4.2212157999999998E-3</v>
      </c>
      <c r="AH63" s="69">
        <v>4.1424699000000001E-3</v>
      </c>
      <c r="AI63" s="69">
        <v>4.0652198000000004E-3</v>
      </c>
      <c r="AJ63" s="69">
        <v>3.9894346999999998E-3</v>
      </c>
      <c r="AK63" s="69">
        <v>3.9150846999999999E-3</v>
      </c>
      <c r="AL63" s="69">
        <v>3.8421407000000002E-3</v>
      </c>
      <c r="AM63" s="69">
        <v>3.7705742000000001E-3</v>
      </c>
      <c r="AN63" s="69">
        <v>3.7003576999999998E-3</v>
      </c>
      <c r="AO63" s="69">
        <v>3.6314641000000001E-3</v>
      </c>
      <c r="AP63" s="69">
        <v>3.5638671000000001E-3</v>
      </c>
      <c r="AQ63" s="69">
        <v>3.4975411999999999E-3</v>
      </c>
      <c r="AR63" s="69">
        <v>3.4324612E-3</v>
      </c>
      <c r="AS63" s="69">
        <v>3.3686025999999998E-3</v>
      </c>
      <c r="AT63" s="69">
        <v>3.3059417E-3</v>
      </c>
      <c r="AU63" s="69">
        <v>3.2444549999999998E-3</v>
      </c>
      <c r="AV63" s="69">
        <v>3.1841197999999999E-3</v>
      </c>
      <c r="AW63" s="69">
        <v>3.1249136999999998E-3</v>
      </c>
      <c r="AX63" s="69">
        <v>3.0668150000000001E-3</v>
      </c>
      <c r="AY63" s="69">
        <v>3.0098022999999999E-3</v>
      </c>
      <c r="AZ63" s="69">
        <v>2.9538548E-3</v>
      </c>
      <c r="BA63" s="69">
        <v>2.8989520999999998E-3</v>
      </c>
      <c r="BB63" s="69">
        <v>2.8450741E-3</v>
      </c>
      <c r="BC63" s="69">
        <v>2.7922013999999999E-3</v>
      </c>
      <c r="BD63" s="69">
        <v>2.7403148E-3</v>
      </c>
      <c r="BE63" s="69">
        <v>2.6893955E-3</v>
      </c>
      <c r="BF63" s="69">
        <v>2.6394252E-3</v>
      </c>
      <c r="BG63" s="69">
        <v>2.5903860000000001E-3</v>
      </c>
      <c r="BH63" s="69">
        <v>2.5422601000000002E-3</v>
      </c>
      <c r="BI63" s="69">
        <v>2.4950304000000002E-3</v>
      </c>
      <c r="BJ63" s="69">
        <v>2.44868E-3</v>
      </c>
      <c r="BK63" s="69">
        <v>2.4031921999999998E-3</v>
      </c>
      <c r="BL63" s="69">
        <v>2.3585508999999999E-3</v>
      </c>
      <c r="BM63" s="69">
        <v>2.3147401000000001E-3</v>
      </c>
      <c r="BN63" s="69">
        <v>2.2717442000000001E-3</v>
      </c>
      <c r="BO63" s="69">
        <v>2.229548E-3</v>
      </c>
      <c r="BP63" s="69">
        <v>2.1881364E-3</v>
      </c>
      <c r="BQ63" s="69">
        <v>2.1474947E-3</v>
      </c>
      <c r="BR63" s="69">
        <v>2.1076085000000001E-3</v>
      </c>
      <c r="BS63" s="69">
        <v>2.0684637999999998E-3</v>
      </c>
      <c r="BT63" s="69">
        <v>2.0300464999999999E-3</v>
      </c>
      <c r="BU63" s="69">
        <v>1.9923431999999998E-3</v>
      </c>
      <c r="BV63" s="69">
        <v>1.9553405E-3</v>
      </c>
      <c r="BW63" s="69">
        <v>1.9190252000000001E-3</v>
      </c>
      <c r="BX63" s="69">
        <v>1.8833846999999999E-3</v>
      </c>
      <c r="BY63" s="69">
        <v>1.8484063E-3</v>
      </c>
      <c r="BZ63" s="69">
        <v>1.8140776000000001E-3</v>
      </c>
      <c r="CA63" s="69">
        <v>1.7803865999999999E-3</v>
      </c>
      <c r="CB63" s="69">
        <v>1.7473213999999999E-3</v>
      </c>
      <c r="CC63" s="69">
        <v>1.7148703E-3</v>
      </c>
      <c r="CD63" s="69">
        <v>1.6830218000000001E-3</v>
      </c>
      <c r="CE63" s="69">
        <v>1.6517649000000001E-3</v>
      </c>
      <c r="CF63" s="69">
        <v>1.6210884E-3</v>
      </c>
      <c r="CG63" s="69">
        <v>1.5909816E-3</v>
      </c>
      <c r="CH63" s="69">
        <v>1.5614337999999999E-3</v>
      </c>
      <c r="CI63" s="69">
        <v>1.5324347000000001E-3</v>
      </c>
      <c r="CJ63" s="69">
        <v>1.5039741E-3</v>
      </c>
      <c r="CK63" s="69">
        <v>1.4760419999999999E-3</v>
      </c>
      <c r="CL63" s="69">
        <v>1.4486284999999999E-3</v>
      </c>
      <c r="CM63" s="69">
        <v>1.4217240000000001E-3</v>
      </c>
      <c r="CN63" s="69">
        <v>1.3953189999999999E-3</v>
      </c>
      <c r="CO63" s="69">
        <v>1.3694044E-3</v>
      </c>
      <c r="CP63" s="69">
        <v>1.3439709E-3</v>
      </c>
      <c r="CQ63" s="69">
        <v>1.3190096000000001E-3</v>
      </c>
      <c r="CR63" s="69">
        <v>1.2945116999999999E-3</v>
      </c>
      <c r="CS63" s="69">
        <v>1.2704687999999999E-3</v>
      </c>
      <c r="CT63" s="69">
        <v>1.2468722000000001E-3</v>
      </c>
      <c r="CU63" s="69">
        <v>1.2237137E-3</v>
      </c>
      <c r="CV63" s="69">
        <v>1.2009852E-3</v>
      </c>
      <c r="CW63" s="69">
        <v>1.1786787000000001E-3</v>
      </c>
      <c r="CX63" s="69">
        <v>1.1567864000000001E-3</v>
      </c>
      <c r="CY63" s="69">
        <v>1.1353005000000001E-3</v>
      </c>
      <c r="CZ63" s="69">
        <v>1.1142136E-3</v>
      </c>
      <c r="DA63" s="69">
        <v>1.0935182E-3</v>
      </c>
      <c r="DB63" s="69">
        <v>1.0732070000000001E-3</v>
      </c>
      <c r="DC63" s="69">
        <v>1.053273E-3</v>
      </c>
      <c r="DD63" s="69">
        <v>1.0337091000000001E-3</v>
      </c>
      <c r="DE63" s="69">
        <v>1.0145084E-3</v>
      </c>
      <c r="DF63" s="69">
        <v>9.9566429999999994E-4</v>
      </c>
      <c r="DG63" s="69">
        <v>9.771700999999999E-4</v>
      </c>
      <c r="DH63" s="69">
        <v>9.5901920000000004E-4</v>
      </c>
      <c r="DI63" s="69">
        <v>9.412054E-4</v>
      </c>
      <c r="DJ63" s="69">
        <v>9.2372229999999997E-4</v>
      </c>
      <c r="DK63" s="69">
        <v>9.0656389999999997E-4</v>
      </c>
      <c r="DL63" s="69">
        <v>8.8972409999999997E-4</v>
      </c>
      <c r="DM63" s="69">
        <v>8.7319700000000004E-4</v>
      </c>
      <c r="DN63" s="69">
        <v>8.5697680000000002E-4</v>
      </c>
      <c r="DO63" s="69">
        <v>8.410577E-4</v>
      </c>
      <c r="DP63" s="69">
        <v>8.2543429999999999E-4</v>
      </c>
      <c r="DQ63" s="69">
        <v>8.1010100000000003E-4</v>
      </c>
      <c r="DR63" s="69">
        <v>7.9505250000000004E-4</v>
      </c>
      <c r="DS63" s="69">
        <v>7.8028329999999999E-4</v>
      </c>
      <c r="DT63" s="69">
        <v>7.6578849999999995E-4</v>
      </c>
      <c r="DU63" s="69">
        <v>7.5156279999999995E-4</v>
      </c>
      <c r="DV63" s="69">
        <v>7.3760130000000005E-4</v>
      </c>
      <c r="DW63" s="69">
        <v>7.238991E-4</v>
      </c>
      <c r="DX63" s="69">
        <v>7.1045129999999996E-4</v>
      </c>
      <c r="DY63" s="69">
        <v>6.9725329999999999E-4</v>
      </c>
      <c r="DZ63" s="69">
        <v>6.8430040000000002E-4</v>
      </c>
      <c r="EA63" s="69">
        <v>6.7158799999999998E-4</v>
      </c>
      <c r="EB63" s="69">
        <v>6.5911170000000001E-4</v>
      </c>
      <c r="EC63" s="69">
        <v>6.4686720000000004E-4</v>
      </c>
      <c r="ED63" s="69">
        <v>6.3484999999999995E-4</v>
      </c>
      <c r="EE63" s="69">
        <v>6.2305599999999998E-4</v>
      </c>
      <c r="EF63" s="69">
        <v>6.1148110000000002E-4</v>
      </c>
      <c r="EG63" s="69">
        <v>6.0012110000000004E-4</v>
      </c>
      <c r="EH63" s="69">
        <v>5.8897210000000003E-4</v>
      </c>
      <c r="EI63" s="69">
        <v>5.7803019999999995E-4</v>
      </c>
      <c r="EJ63" s="69">
        <v>5.6729149999999999E-4</v>
      </c>
      <c r="EK63" s="69">
        <v>5.5675229999999998E-4</v>
      </c>
      <c r="EL63" s="69">
        <v>5.4640880000000002E-4</v>
      </c>
      <c r="EM63" s="69">
        <v>5.3625739999999997E-4</v>
      </c>
      <c r="EN63" s="69">
        <v>5.2629459999999995E-4</v>
      </c>
      <c r="EO63" s="69">
        <v>5.1651680000000001E-4</v>
      </c>
      <c r="EP63" s="69">
        <v>5.0692070000000003E-4</v>
      </c>
      <c r="EQ63" s="69">
        <v>4.9750269999999995E-4</v>
      </c>
      <c r="ER63" s="69">
        <v>4.882598E-4</v>
      </c>
      <c r="ES63" s="69">
        <v>4.7918849999999997E-4</v>
      </c>
      <c r="ET63" s="69">
        <v>4.7028560000000002E-4</v>
      </c>
      <c r="EU63" s="69">
        <v>4.6154820000000001E-4</v>
      </c>
      <c r="EV63" s="69">
        <v>4.5297309999999999E-4</v>
      </c>
      <c r="EW63" s="69">
        <v>4.4455720000000001E-4</v>
      </c>
      <c r="EX63" s="69">
        <v>4.3629770000000001E-4</v>
      </c>
      <c r="EY63" s="69">
        <v>4.2819149999999997E-4</v>
      </c>
      <c r="EZ63" s="69">
        <v>4.2023599999999999E-4</v>
      </c>
      <c r="FA63" s="69">
        <v>4.124283E-4</v>
      </c>
      <c r="FB63" s="69">
        <v>4.0476550000000003E-4</v>
      </c>
      <c r="FC63" s="69">
        <v>3.9724520000000002E-4</v>
      </c>
      <c r="FD63" s="69">
        <v>3.8986449999999997E-4</v>
      </c>
      <c r="FE63" s="69">
        <v>3.826209E-4</v>
      </c>
      <c r="FF63" s="69">
        <v>3.7551190000000001E-4</v>
      </c>
      <c r="FG63" s="69">
        <v>3.6853489999999999E-4</v>
      </c>
      <c r="FH63" s="69">
        <v>3.6168760000000001E-4</v>
      </c>
      <c r="FI63" s="69">
        <v>3.5496740000000001E-4</v>
      </c>
      <c r="FJ63" s="69">
        <v>3.4837209999999998E-4</v>
      </c>
      <c r="FK63" s="69">
        <v>3.4189929999999999E-4</v>
      </c>
      <c r="FL63" s="69">
        <v>3.3554679999999999E-4</v>
      </c>
      <c r="FM63" s="69">
        <v>3.293123E-4</v>
      </c>
      <c r="FN63" s="69">
        <v>3.2319359999999998E-4</v>
      </c>
      <c r="FO63" s="69">
        <v>3.1718849999999999E-4</v>
      </c>
      <c r="FP63" s="69">
        <v>3.1129500000000001E-4</v>
      </c>
      <c r="FQ63" s="69">
        <v>3.0551100000000001E-4</v>
      </c>
    </row>
    <row r="64" spans="1:173" x14ac:dyDescent="0.25">
      <c r="A64" s="71">
        <v>62</v>
      </c>
      <c r="B64" s="69">
        <v>8.4505069999999995E-3</v>
      </c>
      <c r="C64" s="69">
        <v>8.2811490999999994E-3</v>
      </c>
      <c r="D64" s="69">
        <v>8.1157954000000004E-3</v>
      </c>
      <c r="E64" s="69">
        <v>7.9543016999999994E-3</v>
      </c>
      <c r="F64" s="69">
        <v>7.7965324999999999E-3</v>
      </c>
      <c r="G64" s="69">
        <v>7.6423604999999997E-3</v>
      </c>
      <c r="H64" s="69">
        <v>7.4916651999999999E-3</v>
      </c>
      <c r="I64" s="69">
        <v>7.3443333999999999E-3</v>
      </c>
      <c r="J64" s="69">
        <v>7.2002578000000001E-3</v>
      </c>
      <c r="K64" s="69">
        <v>7.0593367999999997E-3</v>
      </c>
      <c r="L64" s="69">
        <v>6.9214743999999996E-3</v>
      </c>
      <c r="M64" s="69">
        <v>6.7865794000000002E-3</v>
      </c>
      <c r="N64" s="69">
        <v>6.6545650999999999E-3</v>
      </c>
      <c r="O64" s="69">
        <v>6.5253491999999998E-3</v>
      </c>
      <c r="P64" s="69">
        <v>6.3988531E-3</v>
      </c>
      <c r="Q64" s="69">
        <v>6.2750020999999996E-3</v>
      </c>
      <c r="R64" s="69">
        <v>6.1537247E-3</v>
      </c>
      <c r="S64" s="69">
        <v>6.0349527000000004E-3</v>
      </c>
      <c r="T64" s="69">
        <v>5.9186207999999997E-3</v>
      </c>
      <c r="U64" s="69">
        <v>5.8046666000000002E-3</v>
      </c>
      <c r="V64" s="69">
        <v>5.6930299000000004E-3</v>
      </c>
      <c r="W64" s="69">
        <v>5.5836534000000002E-3</v>
      </c>
      <c r="X64" s="69">
        <v>5.4764814999999998E-3</v>
      </c>
      <c r="Y64" s="69">
        <v>5.3714612999999998E-3</v>
      </c>
      <c r="Z64" s="69">
        <v>5.2685414E-3</v>
      </c>
      <c r="AA64" s="69">
        <v>5.1676724999999996E-3</v>
      </c>
      <c r="AB64" s="69">
        <v>5.0688069999999998E-3</v>
      </c>
      <c r="AC64" s="69">
        <v>4.9718990000000001E-3</v>
      </c>
      <c r="AD64" s="69">
        <v>4.8769039E-3</v>
      </c>
      <c r="AE64" s="69">
        <v>4.7837790000000002E-3</v>
      </c>
      <c r="AF64" s="69">
        <v>4.6924825999999998E-3</v>
      </c>
      <c r="AG64" s="69">
        <v>4.6029744999999999E-3</v>
      </c>
      <c r="AH64" s="69">
        <v>4.5152157999999998E-3</v>
      </c>
      <c r="AI64" s="69">
        <v>4.4291684E-3</v>
      </c>
      <c r="AJ64" s="69">
        <v>4.3447959000000001E-3</v>
      </c>
      <c r="AK64" s="69">
        <v>4.2620625000000002E-3</v>
      </c>
      <c r="AL64" s="69">
        <v>4.1809335000000001E-3</v>
      </c>
      <c r="AM64" s="69">
        <v>4.1013754000000001E-3</v>
      </c>
      <c r="AN64" s="69">
        <v>4.0233552999999998E-3</v>
      </c>
      <c r="AO64" s="69">
        <v>3.9468415000000001E-3</v>
      </c>
      <c r="AP64" s="69">
        <v>3.8718028E-3</v>
      </c>
      <c r="AQ64" s="69">
        <v>3.7982089999999999E-3</v>
      </c>
      <c r="AR64" s="69">
        <v>3.7260307000000002E-3</v>
      </c>
      <c r="AS64" s="69">
        <v>3.6552391999999999E-3</v>
      </c>
      <c r="AT64" s="69">
        <v>3.5858064000000001E-3</v>
      </c>
      <c r="AU64" s="69">
        <v>3.5177049999999999E-3</v>
      </c>
      <c r="AV64" s="69">
        <v>3.4509084000000001E-3</v>
      </c>
      <c r="AW64" s="69">
        <v>3.3853905E-3</v>
      </c>
      <c r="AX64" s="69">
        <v>3.3211258000000001E-3</v>
      </c>
      <c r="AY64" s="69">
        <v>3.2580895999999998E-3</v>
      </c>
      <c r="AZ64" s="69">
        <v>3.1962574999999998E-3</v>
      </c>
      <c r="BA64" s="69">
        <v>3.1356058999999999E-3</v>
      </c>
      <c r="BB64" s="69">
        <v>3.0761115E-3</v>
      </c>
      <c r="BC64" s="69">
        <v>3.0177516000000001E-3</v>
      </c>
      <c r="BD64" s="69">
        <v>2.9605041000000001E-3</v>
      </c>
      <c r="BE64" s="69">
        <v>2.9043472999999999E-3</v>
      </c>
      <c r="BF64" s="69">
        <v>2.8492598000000001E-3</v>
      </c>
      <c r="BG64" s="69">
        <v>2.7952210000000001E-3</v>
      </c>
      <c r="BH64" s="69">
        <v>2.7422104999999999E-3</v>
      </c>
      <c r="BI64" s="69">
        <v>2.6902084000000001E-3</v>
      </c>
      <c r="BJ64" s="69">
        <v>2.6391952000000001E-3</v>
      </c>
      <c r="BK64" s="69">
        <v>2.5891516999999998E-3</v>
      </c>
      <c r="BL64" s="69">
        <v>2.5400594E-3</v>
      </c>
      <c r="BM64" s="69">
        <v>2.4918997999999999E-3</v>
      </c>
      <c r="BN64" s="69">
        <v>2.4446551E-3</v>
      </c>
      <c r="BO64" s="69">
        <v>2.3983076999999999E-3</v>
      </c>
      <c r="BP64" s="69">
        <v>2.3528402999999998E-3</v>
      </c>
      <c r="BQ64" s="69">
        <v>2.3082361E-3</v>
      </c>
      <c r="BR64" s="69">
        <v>2.2644785000000001E-3</v>
      </c>
      <c r="BS64" s="69">
        <v>2.2215514000000001E-3</v>
      </c>
      <c r="BT64" s="69">
        <v>2.1794389E-3</v>
      </c>
      <c r="BU64" s="69">
        <v>2.1381252999999999E-3</v>
      </c>
      <c r="BV64" s="69">
        <v>2.0975955E-3</v>
      </c>
      <c r="BW64" s="69">
        <v>2.0578344999999999E-3</v>
      </c>
      <c r="BX64" s="69">
        <v>2.0188277000000002E-3</v>
      </c>
      <c r="BY64" s="69">
        <v>1.9805605999999999E-3</v>
      </c>
      <c r="BZ64" s="69">
        <v>1.9430191000000001E-3</v>
      </c>
      <c r="CA64" s="69">
        <v>1.9061894999999999E-3</v>
      </c>
      <c r="CB64" s="69">
        <v>1.8700582E-3</v>
      </c>
      <c r="CC64" s="69">
        <v>1.8346119E-3</v>
      </c>
      <c r="CD64" s="69">
        <v>1.7998376000000001E-3</v>
      </c>
      <c r="CE64" s="69">
        <v>1.7657224000000001E-3</v>
      </c>
      <c r="CF64" s="69">
        <v>1.7322539999999999E-3</v>
      </c>
      <c r="CG64" s="69">
        <v>1.6994199000000001E-3</v>
      </c>
      <c r="CH64" s="69">
        <v>1.6672082E-3</v>
      </c>
      <c r="CI64" s="69">
        <v>1.6356070000000001E-3</v>
      </c>
      <c r="CJ64" s="69">
        <v>1.6046048E-3</v>
      </c>
      <c r="CK64" s="69">
        <v>1.5741901000000001E-3</v>
      </c>
      <c r="CL64" s="69">
        <v>1.5443518000000001E-3</v>
      </c>
      <c r="CM64" s="69">
        <v>1.5150789999999999E-3</v>
      </c>
      <c r="CN64" s="69">
        <v>1.4863609E-3</v>
      </c>
      <c r="CO64" s="69">
        <v>1.4581869999999999E-3</v>
      </c>
      <c r="CP64" s="69">
        <v>1.4305470999999999E-3</v>
      </c>
      <c r="CQ64" s="69">
        <v>1.4034309000000001E-3</v>
      </c>
      <c r="CR64" s="69">
        <v>1.3768286000000001E-3</v>
      </c>
      <c r="CS64" s="69">
        <v>1.3507304E-3</v>
      </c>
      <c r="CT64" s="69">
        <v>1.3251267000000001E-3</v>
      </c>
      <c r="CU64" s="69">
        <v>1.3000081999999999E-3</v>
      </c>
      <c r="CV64" s="69">
        <v>1.2753656999999999E-3</v>
      </c>
      <c r="CW64" s="69">
        <v>1.2511902E-3</v>
      </c>
      <c r="CX64" s="69">
        <v>1.2274727999999999E-3</v>
      </c>
      <c r="CY64" s="69">
        <v>1.2042048E-3</v>
      </c>
      <c r="CZ64" s="69">
        <v>1.1813777E-3</v>
      </c>
      <c r="DA64" s="69">
        <v>1.1589831E-3</v>
      </c>
      <c r="DB64" s="69">
        <v>1.1370130000000001E-3</v>
      </c>
      <c r="DC64" s="69">
        <v>1.1154591000000001E-3</v>
      </c>
      <c r="DD64" s="69">
        <v>1.0943137E-3</v>
      </c>
      <c r="DE64" s="69">
        <v>1.0735689999999999E-3</v>
      </c>
      <c r="DF64" s="69">
        <v>1.0532174000000001E-3</v>
      </c>
      <c r="DG64" s="69">
        <v>1.0332515E-3</v>
      </c>
      <c r="DH64" s="69">
        <v>1.0136639E-3</v>
      </c>
      <c r="DI64" s="69">
        <v>9.9444750000000004E-4</v>
      </c>
      <c r="DJ64" s="69">
        <v>9.7559529999999999E-4</v>
      </c>
      <c r="DK64" s="69">
        <v>9.571003E-4</v>
      </c>
      <c r="DL64" s="69">
        <v>9.3895589999999998E-4</v>
      </c>
      <c r="DM64" s="69">
        <v>9.2115519999999996E-4</v>
      </c>
      <c r="DN64" s="69">
        <v>9.0369199999999999E-4</v>
      </c>
      <c r="DO64" s="69">
        <v>8.8655959999999997E-4</v>
      </c>
      <c r="DP64" s="69">
        <v>8.69752E-4</v>
      </c>
      <c r="DQ64" s="69">
        <v>8.5326290000000001E-4</v>
      </c>
      <c r="DR64" s="69">
        <v>8.3708630000000001E-4</v>
      </c>
      <c r="DS64" s="69">
        <v>8.2121620000000001E-4</v>
      </c>
      <c r="DT64" s="69">
        <v>8.0564700000000005E-4</v>
      </c>
      <c r="DU64" s="69">
        <v>7.9037279999999996E-4</v>
      </c>
      <c r="DV64" s="69">
        <v>7.7538810000000004E-4</v>
      </c>
      <c r="DW64" s="69">
        <v>7.6068740000000004E-4</v>
      </c>
      <c r="DX64" s="69">
        <v>7.4626529999999996E-4</v>
      </c>
      <c r="DY64" s="69">
        <v>7.3211659999999998E-4</v>
      </c>
      <c r="DZ64" s="69">
        <v>7.1823600000000003E-4</v>
      </c>
      <c r="EA64" s="69">
        <v>7.0461850000000002E-4</v>
      </c>
      <c r="EB64" s="69">
        <v>6.9125909999999998E-4</v>
      </c>
      <c r="EC64" s="69">
        <v>6.7815300000000002E-4</v>
      </c>
      <c r="ED64" s="69">
        <v>6.6529519999999995E-4</v>
      </c>
      <c r="EE64" s="69">
        <v>6.5268119999999997E-4</v>
      </c>
      <c r="EF64" s="69">
        <v>6.4030619999999995E-4</v>
      </c>
      <c r="EG64" s="69">
        <v>6.2816580000000003E-4</v>
      </c>
      <c r="EH64" s="69">
        <v>6.162556E-4</v>
      </c>
      <c r="EI64" s="69">
        <v>6.0457109999999996E-4</v>
      </c>
      <c r="EJ64" s="69">
        <v>5.9310809999999999E-4</v>
      </c>
      <c r="EK64" s="69">
        <v>5.8186230000000004E-4</v>
      </c>
      <c r="EL64" s="69">
        <v>5.7082979999999997E-4</v>
      </c>
      <c r="EM64" s="69">
        <v>5.6000630000000004E-4</v>
      </c>
      <c r="EN64" s="69">
        <v>5.4938809999999997E-4</v>
      </c>
      <c r="EO64" s="69">
        <v>5.3897109999999999E-4</v>
      </c>
      <c r="EP64" s="69">
        <v>5.2875160000000004E-4</v>
      </c>
      <c r="EQ64" s="69">
        <v>5.1872579999999999E-4</v>
      </c>
      <c r="ER64" s="69">
        <v>5.0889000000000002E-4</v>
      </c>
      <c r="ES64" s="69">
        <v>4.9924069999999999E-4</v>
      </c>
      <c r="ET64" s="69">
        <v>4.8977440000000003E-4</v>
      </c>
      <c r="EU64" s="69">
        <v>4.8048749999999999E-4</v>
      </c>
      <c r="EV64" s="69">
        <v>4.7137660000000001E-4</v>
      </c>
      <c r="EW64" s="69">
        <v>4.6243849999999997E-4</v>
      </c>
      <c r="EX64" s="69">
        <v>4.5366980000000002E-4</v>
      </c>
      <c r="EY64" s="69">
        <v>4.4506739999999997E-4</v>
      </c>
      <c r="EZ64" s="69">
        <v>4.3662799999999999E-4</v>
      </c>
      <c r="FA64" s="69">
        <v>4.2834859999999999E-4</v>
      </c>
      <c r="FB64" s="69">
        <v>4.2022620000000001E-4</v>
      </c>
      <c r="FC64" s="69">
        <v>4.1225780000000002E-4</v>
      </c>
      <c r="FD64" s="69">
        <v>4.0444040000000002E-4</v>
      </c>
      <c r="FE64" s="69">
        <v>3.9677130000000002E-4</v>
      </c>
      <c r="FF64" s="69">
        <v>3.8924750000000002E-4</v>
      </c>
      <c r="FG64" s="69">
        <v>3.8186639999999999E-4</v>
      </c>
      <c r="FH64" s="69">
        <v>3.7462530000000001E-4</v>
      </c>
      <c r="FI64" s="69">
        <v>3.6752140000000002E-4</v>
      </c>
      <c r="FJ64" s="69">
        <v>3.605522E-4</v>
      </c>
      <c r="FK64" s="69">
        <v>3.5371509999999998E-4</v>
      </c>
      <c r="FL64" s="69">
        <v>3.470077E-4</v>
      </c>
      <c r="FM64" s="69">
        <v>3.404274E-4</v>
      </c>
      <c r="FN64" s="69">
        <v>3.339719E-4</v>
      </c>
      <c r="FO64" s="69">
        <v>3.276388E-4</v>
      </c>
      <c r="FP64" s="69">
        <v>3.2142580000000002E-4</v>
      </c>
      <c r="FQ64" s="69">
        <v>3.1533050000000001E-4</v>
      </c>
    </row>
    <row r="65" spans="1:173" x14ac:dyDescent="0.25">
      <c r="A65" s="71">
        <v>63</v>
      </c>
      <c r="B65" s="69">
        <v>9.3177446000000004E-3</v>
      </c>
      <c r="C65" s="69">
        <v>9.1344802999999992E-3</v>
      </c>
      <c r="D65" s="69">
        <v>8.9550601000000004E-3</v>
      </c>
      <c r="E65" s="69">
        <v>8.7793830999999996E-3</v>
      </c>
      <c r="F65" s="69">
        <v>8.6073525000000001E-3</v>
      </c>
      <c r="G65" s="69">
        <v>8.4388754999999999E-3</v>
      </c>
      <c r="H65" s="69">
        <v>8.2738628999999998E-3</v>
      </c>
      <c r="I65" s="69">
        <v>8.1122293000000009E-3</v>
      </c>
      <c r="J65" s="69">
        <v>7.9538922999999994E-3</v>
      </c>
      <c r="K65" s="69">
        <v>7.7987726E-3</v>
      </c>
      <c r="L65" s="69">
        <v>7.6467938999999997E-3</v>
      </c>
      <c r="M65" s="69">
        <v>7.4978824000000001E-3</v>
      </c>
      <c r="N65" s="69">
        <v>7.3519670000000001E-3</v>
      </c>
      <c r="O65" s="69">
        <v>7.2089791000000004E-3</v>
      </c>
      <c r="P65" s="69">
        <v>7.0688521999999997E-3</v>
      </c>
      <c r="Q65" s="69">
        <v>6.9315219000000003E-3</v>
      </c>
      <c r="R65" s="69">
        <v>6.796926E-3</v>
      </c>
      <c r="S65" s="69">
        <v>6.6650041E-3</v>
      </c>
      <c r="T65" s="69">
        <v>6.5356978000000003E-3</v>
      </c>
      <c r="U65" s="69">
        <v>6.4089502000000001E-3</v>
      </c>
      <c r="V65" s="69">
        <v>6.2847060999999997E-3</v>
      </c>
      <c r="W65" s="69">
        <v>6.1629121E-3</v>
      </c>
      <c r="X65" s="69">
        <v>6.0435159999999996E-3</v>
      </c>
      <c r="Y65" s="69">
        <v>5.9264671E-3</v>
      </c>
      <c r="Z65" s="69">
        <v>5.8117161999999998E-3</v>
      </c>
      <c r="AA65" s="69">
        <v>5.6992153000000002E-3</v>
      </c>
      <c r="AB65" s="69">
        <v>5.5889177000000003E-3</v>
      </c>
      <c r="AC65" s="69">
        <v>5.4807778000000003E-3</v>
      </c>
      <c r="AD65" s="69">
        <v>5.3747511000000001E-3</v>
      </c>
      <c r="AE65" s="69">
        <v>5.2707945999999999E-3</v>
      </c>
      <c r="AF65" s="69">
        <v>5.1688658000000002E-3</v>
      </c>
      <c r="AG65" s="69">
        <v>5.0689235000000001E-3</v>
      </c>
      <c r="AH65" s="69">
        <v>4.9709276999999998E-3</v>
      </c>
      <c r="AI65" s="69">
        <v>4.8748389000000001E-3</v>
      </c>
      <c r="AJ65" s="69">
        <v>4.7806187999999998E-3</v>
      </c>
      <c r="AK65" s="69">
        <v>4.6882299999999998E-3</v>
      </c>
      <c r="AL65" s="69">
        <v>4.5976358000000004E-3</v>
      </c>
      <c r="AM65" s="69">
        <v>4.5088003E-3</v>
      </c>
      <c r="AN65" s="69">
        <v>4.4216886999999998E-3</v>
      </c>
      <c r="AO65" s="69">
        <v>4.3362666000000003E-3</v>
      </c>
      <c r="AP65" s="69">
        <v>4.2525006000000004E-3</v>
      </c>
      <c r="AQ65" s="69">
        <v>4.1703579000000003E-3</v>
      </c>
      <c r="AR65" s="69">
        <v>4.0898065000000003E-3</v>
      </c>
      <c r="AS65" s="69">
        <v>4.0108150999999996E-3</v>
      </c>
      <c r="AT65" s="69">
        <v>3.9333529000000001E-3</v>
      </c>
      <c r="AU65" s="69">
        <v>3.8573899E-3</v>
      </c>
      <c r="AV65" s="69">
        <v>3.7828966999999998E-3</v>
      </c>
      <c r="AW65" s="69">
        <v>3.7098446000000001E-3</v>
      </c>
      <c r="AX65" s="69">
        <v>3.6382051999999999E-3</v>
      </c>
      <c r="AY65" s="69">
        <v>3.5679510000000002E-3</v>
      </c>
      <c r="AZ65" s="69">
        <v>3.499055E-3</v>
      </c>
      <c r="BA65" s="69">
        <v>3.4314905999999999E-3</v>
      </c>
      <c r="BB65" s="69">
        <v>3.3652320000000001E-3</v>
      </c>
      <c r="BC65" s="69">
        <v>3.3002536000000002E-3</v>
      </c>
      <c r="BD65" s="69">
        <v>3.2365305999999998E-3</v>
      </c>
      <c r="BE65" s="69">
        <v>3.1740385999999999E-3</v>
      </c>
      <c r="BF65" s="69">
        <v>3.1127536E-3</v>
      </c>
      <c r="BG65" s="69">
        <v>3.0526523E-3</v>
      </c>
      <c r="BH65" s="69">
        <v>2.9937115999999998E-3</v>
      </c>
      <c r="BI65" s="69">
        <v>2.935909E-3</v>
      </c>
      <c r="BJ65" s="69">
        <v>2.8792226000000001E-3</v>
      </c>
      <c r="BK65" s="69">
        <v>2.8236305999999999E-3</v>
      </c>
      <c r="BL65" s="69">
        <v>2.7691118000000002E-3</v>
      </c>
      <c r="BM65" s="69">
        <v>2.7156455000000002E-3</v>
      </c>
      <c r="BN65" s="69">
        <v>2.6632114000000001E-3</v>
      </c>
      <c r="BO65" s="69">
        <v>2.6117892999999999E-3</v>
      </c>
      <c r="BP65" s="69">
        <v>2.5613598999999999E-3</v>
      </c>
      <c r="BQ65" s="69">
        <v>2.5119038000000001E-3</v>
      </c>
      <c r="BR65" s="69">
        <v>2.4634023000000001E-3</v>
      </c>
      <c r="BS65" s="69">
        <v>2.4158369000000001E-3</v>
      </c>
      <c r="BT65" s="69">
        <v>2.3691895E-3</v>
      </c>
      <c r="BU65" s="69">
        <v>2.3234425E-3</v>
      </c>
      <c r="BV65" s="69">
        <v>2.2785783E-3</v>
      </c>
      <c r="BW65" s="69">
        <v>2.2345799999999999E-3</v>
      </c>
      <c r="BX65" s="69">
        <v>2.1914308000000001E-3</v>
      </c>
      <c r="BY65" s="69">
        <v>2.1491143999999998E-3</v>
      </c>
      <c r="BZ65" s="69">
        <v>2.1076146E-3</v>
      </c>
      <c r="CA65" s="69">
        <v>2.0669158000000002E-3</v>
      </c>
      <c r="CB65" s="69">
        <v>2.0270024000000001E-3</v>
      </c>
      <c r="CC65" s="69">
        <v>1.9878592999999999E-3</v>
      </c>
      <c r="CD65" s="69">
        <v>1.9494717E-3</v>
      </c>
      <c r="CE65" s="69">
        <v>1.9118249E-3</v>
      </c>
      <c r="CF65" s="69">
        <v>1.8749045999999999E-3</v>
      </c>
      <c r="CG65" s="69">
        <v>1.8386969E-3</v>
      </c>
      <c r="CH65" s="69">
        <v>1.8031881000000001E-3</v>
      </c>
      <c r="CI65" s="69">
        <v>1.7683645000000001E-3</v>
      </c>
      <c r="CJ65" s="69">
        <v>1.7342131000000001E-3</v>
      </c>
      <c r="CK65" s="69">
        <v>1.7007208E-3</v>
      </c>
      <c r="CL65" s="69">
        <v>1.6678749000000001E-3</v>
      </c>
      <c r="CM65" s="69">
        <v>1.6356630000000001E-3</v>
      </c>
      <c r="CN65" s="69">
        <v>1.6040728000000001E-3</v>
      </c>
      <c r="CO65" s="69">
        <v>1.5730924E-3</v>
      </c>
      <c r="CP65" s="69">
        <v>1.5427099000000001E-3</v>
      </c>
      <c r="CQ65" s="69">
        <v>1.5129138999999999E-3</v>
      </c>
      <c r="CR65" s="69">
        <v>1.4836930999999999E-3</v>
      </c>
      <c r="CS65" s="69">
        <v>1.4550362999999999E-3</v>
      </c>
      <c r="CT65" s="69">
        <v>1.4269326000000001E-3</v>
      </c>
      <c r="CU65" s="69">
        <v>1.3993714999999999E-3</v>
      </c>
      <c r="CV65" s="69">
        <v>1.3723423E-3</v>
      </c>
      <c r="CW65" s="69">
        <v>1.3458350000000001E-3</v>
      </c>
      <c r="CX65" s="69">
        <v>1.3198394000000001E-3</v>
      </c>
      <c r="CY65" s="69">
        <v>1.2943455999999999E-3</v>
      </c>
      <c r="CZ65" s="69">
        <v>1.2693439999999999E-3</v>
      </c>
      <c r="DA65" s="69">
        <v>1.244825E-3</v>
      </c>
      <c r="DB65" s="69">
        <v>1.2207794999999999E-3</v>
      </c>
      <c r="DC65" s="69">
        <v>1.1971981E-3</v>
      </c>
      <c r="DD65" s="69">
        <v>1.174072E-3</v>
      </c>
      <c r="DE65" s="69">
        <v>1.1513923999999999E-3</v>
      </c>
      <c r="DF65" s="69">
        <v>1.1291507E-3</v>
      </c>
      <c r="DG65" s="69">
        <v>1.1073383999999999E-3</v>
      </c>
      <c r="DH65" s="69">
        <v>1.0859473E-3</v>
      </c>
      <c r="DI65" s="69">
        <v>1.0649692000000001E-3</v>
      </c>
      <c r="DJ65" s="69">
        <v>1.0443961E-3</v>
      </c>
      <c r="DK65" s="69">
        <v>1.0242203000000001E-3</v>
      </c>
      <c r="DL65" s="69">
        <v>1.0044341E-3</v>
      </c>
      <c r="DM65" s="69">
        <v>9.8502989999999999E-4</v>
      </c>
      <c r="DN65" s="69">
        <v>9.6600050000000002E-4</v>
      </c>
      <c r="DO65" s="69">
        <v>9.473385E-4</v>
      </c>
      <c r="DP65" s="69">
        <v>9.290368E-4</v>
      </c>
      <c r="DQ65" s="69">
        <v>9.1108859999999999E-4</v>
      </c>
      <c r="DR65" s="69">
        <v>8.9348699999999999E-4</v>
      </c>
      <c r="DS65" s="69">
        <v>8.762253E-4</v>
      </c>
      <c r="DT65" s="69">
        <v>8.5929690000000004E-4</v>
      </c>
      <c r="DU65" s="69">
        <v>8.426954E-4</v>
      </c>
      <c r="DV65" s="69">
        <v>8.2641460000000002E-4</v>
      </c>
      <c r="DW65" s="69">
        <v>8.1044820000000003E-4</v>
      </c>
      <c r="DX65" s="69">
        <v>7.9479010000000001E-4</v>
      </c>
      <c r="DY65" s="69">
        <v>7.7943450000000003E-4</v>
      </c>
      <c r="DZ65" s="69">
        <v>7.643754E-4</v>
      </c>
      <c r="EA65" s="69">
        <v>7.4960719999999997E-4</v>
      </c>
      <c r="EB65" s="69">
        <v>7.3512420000000005E-4</v>
      </c>
      <c r="EC65" s="69">
        <v>7.2092089999999998E-4</v>
      </c>
      <c r="ED65" s="69">
        <v>7.069919E-4</v>
      </c>
      <c r="EE65" s="69">
        <v>6.9333199999999995E-4</v>
      </c>
      <c r="EF65" s="69">
        <v>6.7993589999999998E-4</v>
      </c>
      <c r="EG65" s="69">
        <v>6.6679860000000001E-4</v>
      </c>
      <c r="EH65" s="69">
        <v>6.5391500000000003E-4</v>
      </c>
      <c r="EI65" s="69">
        <v>6.412802E-4</v>
      </c>
      <c r="EJ65" s="69">
        <v>6.2888959999999998E-4</v>
      </c>
      <c r="EK65" s="69">
        <v>6.1673819999999999E-4</v>
      </c>
      <c r="EL65" s="69">
        <v>6.0482159999999995E-4</v>
      </c>
      <c r="EM65" s="69">
        <v>5.9313509999999999E-4</v>
      </c>
      <c r="EN65" s="69">
        <v>5.8167440000000004E-4</v>
      </c>
      <c r="EO65" s="69">
        <v>5.7043510000000003E-4</v>
      </c>
      <c r="EP65" s="69">
        <v>5.594129E-4</v>
      </c>
      <c r="EQ65" s="69">
        <v>5.4860360000000003E-4</v>
      </c>
      <c r="ER65" s="69">
        <v>5.3800319999999997E-4</v>
      </c>
      <c r="ES65" s="69">
        <v>5.2760739999999995E-4</v>
      </c>
      <c r="ET65" s="69">
        <v>5.1741259999999996E-4</v>
      </c>
      <c r="EU65" s="69">
        <v>5.0741459999999996E-4</v>
      </c>
      <c r="EV65" s="69">
        <v>4.9760980000000004E-4</v>
      </c>
      <c r="EW65" s="69">
        <v>4.8799450000000001E-4</v>
      </c>
      <c r="EX65" s="69">
        <v>4.7856480000000001E-4</v>
      </c>
      <c r="EY65" s="69">
        <v>4.6931739999999999E-4</v>
      </c>
      <c r="EZ65" s="69">
        <v>4.602486E-4</v>
      </c>
      <c r="FA65" s="69">
        <v>4.5135500000000002E-4</v>
      </c>
      <c r="FB65" s="69">
        <v>4.4263320000000002E-4</v>
      </c>
      <c r="FC65" s="69">
        <v>4.3407990000000001E-4</v>
      </c>
      <c r="FD65" s="69">
        <v>4.2569180000000002E-4</v>
      </c>
      <c r="FE65" s="69">
        <v>4.1746589999999998E-4</v>
      </c>
      <c r="FF65" s="69">
        <v>4.093988E-4</v>
      </c>
      <c r="FG65" s="69">
        <v>4.014876E-4</v>
      </c>
      <c r="FH65" s="69">
        <v>3.9372920000000001E-4</v>
      </c>
      <c r="FI65" s="69">
        <v>3.861208E-4</v>
      </c>
      <c r="FJ65" s="69">
        <v>3.7865929999999999E-4</v>
      </c>
      <c r="FK65" s="69">
        <v>3.7134199999999998E-4</v>
      </c>
      <c r="FL65" s="69">
        <v>3.641661E-4</v>
      </c>
      <c r="FM65" s="69">
        <v>3.5712880000000002E-4</v>
      </c>
      <c r="FN65" s="69">
        <v>3.5022740000000002E-4</v>
      </c>
      <c r="FO65" s="69">
        <v>3.4345950000000001E-4</v>
      </c>
      <c r="FP65" s="69">
        <v>3.3682230000000002E-4</v>
      </c>
      <c r="FQ65" s="69">
        <v>3.3031329999999999E-4</v>
      </c>
    </row>
    <row r="66" spans="1:173" x14ac:dyDescent="0.25">
      <c r="A66" s="71">
        <v>64</v>
      </c>
      <c r="B66" s="69">
        <v>1.01747225E-2</v>
      </c>
      <c r="C66" s="69">
        <v>9.9783743000000005E-3</v>
      </c>
      <c r="D66" s="69">
        <v>9.7856049999999993E-3</v>
      </c>
      <c r="E66" s="69">
        <v>9.5963663000000008E-3</v>
      </c>
      <c r="F66" s="69">
        <v>9.4106089000000007E-3</v>
      </c>
      <c r="G66" s="69">
        <v>9.2282830999999999E-3</v>
      </c>
      <c r="H66" s="69">
        <v>9.0493385000000003E-3</v>
      </c>
      <c r="I66" s="69">
        <v>8.8737243E-3</v>
      </c>
      <c r="J66" s="69">
        <v>8.7013896999999993E-3</v>
      </c>
      <c r="K66" s="69">
        <v>8.5322834999999996E-3</v>
      </c>
      <c r="L66" s="69">
        <v>8.3663544999999992E-3</v>
      </c>
      <c r="M66" s="69">
        <v>8.2035514999999996E-3</v>
      </c>
      <c r="N66" s="69">
        <v>8.0438236999999992E-3</v>
      </c>
      <c r="O66" s="69">
        <v>7.8871198999999996E-3</v>
      </c>
      <c r="P66" s="69">
        <v>7.7333897999999996E-3</v>
      </c>
      <c r="Q66" s="69">
        <v>7.5825828999999999E-3</v>
      </c>
      <c r="R66" s="69">
        <v>7.4346493000000003E-3</v>
      </c>
      <c r="S66" s="69">
        <v>7.2895394000000004E-3</v>
      </c>
      <c r="T66" s="69">
        <v>7.1472041000000004E-3</v>
      </c>
      <c r="U66" s="69">
        <v>7.0075946E-3</v>
      </c>
      <c r="V66" s="69">
        <v>6.8706629000000003E-3</v>
      </c>
      <c r="W66" s="69">
        <v>6.7363611999999998E-3</v>
      </c>
      <c r="X66" s="69">
        <v>6.6046426000000002E-3</v>
      </c>
      <c r="Y66" s="69">
        <v>6.4754603000000003E-3</v>
      </c>
      <c r="Z66" s="69">
        <v>6.3487685999999996E-3</v>
      </c>
      <c r="AA66" s="69">
        <v>6.2245219999999997E-3</v>
      </c>
      <c r="AB66" s="69">
        <v>6.1026759E-3</v>
      </c>
      <c r="AC66" s="69">
        <v>5.9831859999999997E-3</v>
      </c>
      <c r="AD66" s="69">
        <v>5.8660090000000002E-3</v>
      </c>
      <c r="AE66" s="69">
        <v>5.7511020000000001E-3</v>
      </c>
      <c r="AF66" s="69">
        <v>5.6384228999999996E-3</v>
      </c>
      <c r="AG66" s="69">
        <v>5.5279300000000003E-3</v>
      </c>
      <c r="AH66" s="69">
        <v>5.4195824000000002E-3</v>
      </c>
      <c r="AI66" s="69">
        <v>5.3133399999999997E-3</v>
      </c>
      <c r="AJ66" s="69">
        <v>5.2091630000000002E-3</v>
      </c>
      <c r="AK66" s="69">
        <v>5.1070126000000004E-3</v>
      </c>
      <c r="AL66" s="69">
        <v>5.0068504999999999E-3</v>
      </c>
      <c r="AM66" s="69">
        <v>4.9086388999999998E-3</v>
      </c>
      <c r="AN66" s="69">
        <v>4.8123408000000003E-3</v>
      </c>
      <c r="AO66" s="69">
        <v>4.7179198000000004E-3</v>
      </c>
      <c r="AP66" s="69">
        <v>4.6253401E-3</v>
      </c>
      <c r="AQ66" s="69">
        <v>4.5345665999999996E-3</v>
      </c>
      <c r="AR66" s="69">
        <v>4.4455648000000002E-3</v>
      </c>
      <c r="AS66" s="69">
        <v>4.3583006000000001E-3</v>
      </c>
      <c r="AT66" s="69">
        <v>4.2727408E-3</v>
      </c>
      <c r="AU66" s="69">
        <v>4.1888526000000001E-3</v>
      </c>
      <c r="AV66" s="69">
        <v>4.1066039000000002E-3</v>
      </c>
      <c r="AW66" s="69">
        <v>4.0259631000000001E-3</v>
      </c>
      <c r="AX66" s="69">
        <v>3.9468992999999999E-3</v>
      </c>
      <c r="AY66" s="69">
        <v>3.8693819000000002E-3</v>
      </c>
      <c r="AZ66" s="69">
        <v>3.7933812999999999E-3</v>
      </c>
      <c r="BA66" s="69">
        <v>3.7188679000000001E-3</v>
      </c>
      <c r="BB66" s="69">
        <v>3.6458129999999999E-3</v>
      </c>
      <c r="BC66" s="69">
        <v>3.5741885E-3</v>
      </c>
      <c r="BD66" s="69">
        <v>3.5039666000000001E-3</v>
      </c>
      <c r="BE66" s="69">
        <v>3.4351199999999998E-3</v>
      </c>
      <c r="BF66" s="69">
        <v>3.3676221999999999E-3</v>
      </c>
      <c r="BG66" s="69">
        <v>3.3014467999999998E-3</v>
      </c>
      <c r="BH66" s="69">
        <v>3.2365683000000001E-3</v>
      </c>
      <c r="BI66" s="69">
        <v>3.1729613999999999E-3</v>
      </c>
      <c r="BJ66" s="69">
        <v>3.1106013999999999E-3</v>
      </c>
      <c r="BK66" s="69">
        <v>3.049464E-3</v>
      </c>
      <c r="BL66" s="69">
        <v>2.9895252999999999E-3</v>
      </c>
      <c r="BM66" s="69">
        <v>2.9307622E-3</v>
      </c>
      <c r="BN66" s="69">
        <v>2.8731516000000002E-3</v>
      </c>
      <c r="BO66" s="69">
        <v>2.8166710000000002E-3</v>
      </c>
      <c r="BP66" s="69">
        <v>2.7612985999999999E-3</v>
      </c>
      <c r="BQ66" s="69">
        <v>2.7070125000000001E-3</v>
      </c>
      <c r="BR66" s="69">
        <v>2.6537916000000002E-3</v>
      </c>
      <c r="BS66" s="69">
        <v>2.6016151999999999E-3</v>
      </c>
      <c r="BT66" s="69">
        <v>2.5504628000000001E-3</v>
      </c>
      <c r="BU66" s="69">
        <v>2.5003144000000001E-3</v>
      </c>
      <c r="BV66" s="69">
        <v>2.4511505000000002E-3</v>
      </c>
      <c r="BW66" s="69">
        <v>2.4029517000000002E-3</v>
      </c>
      <c r="BX66" s="69">
        <v>2.3556991000000002E-3</v>
      </c>
      <c r="BY66" s="69">
        <v>2.3093744E-3</v>
      </c>
      <c r="BZ66" s="69">
        <v>2.2639593E-3</v>
      </c>
      <c r="CA66" s="69">
        <v>2.2194361E-3</v>
      </c>
      <c r="CB66" s="69">
        <v>2.1757871999999998E-3</v>
      </c>
      <c r="CC66" s="69">
        <v>2.1329956000000001E-3</v>
      </c>
      <c r="CD66" s="69">
        <v>2.0910446E-3</v>
      </c>
      <c r="CE66" s="69">
        <v>2.0499174999999998E-3</v>
      </c>
      <c r="CF66" s="69">
        <v>2.0095984000000002E-3</v>
      </c>
      <c r="CG66" s="69">
        <v>1.9700713E-3</v>
      </c>
      <c r="CH66" s="69">
        <v>1.9313208000000001E-3</v>
      </c>
      <c r="CI66" s="69">
        <v>1.8933317000000001E-3</v>
      </c>
      <c r="CJ66" s="69">
        <v>1.8560889E-3</v>
      </c>
      <c r="CK66" s="69">
        <v>1.8195780000000001E-3</v>
      </c>
      <c r="CL66" s="69">
        <v>1.7837846000000001E-3</v>
      </c>
      <c r="CM66" s="69">
        <v>1.7486945E-3</v>
      </c>
      <c r="CN66" s="69">
        <v>1.7142940000000001E-3</v>
      </c>
      <c r="CO66" s="69">
        <v>1.6805696E-3</v>
      </c>
      <c r="CP66" s="69">
        <v>1.647508E-3</v>
      </c>
      <c r="CQ66" s="69">
        <v>1.6150963E-3</v>
      </c>
      <c r="CR66" s="69">
        <v>1.5833215999999999E-3</v>
      </c>
      <c r="CS66" s="69">
        <v>1.5521714999999999E-3</v>
      </c>
      <c r="CT66" s="69">
        <v>1.5216336999999999E-3</v>
      </c>
      <c r="CU66" s="69">
        <v>1.4916962000000001E-3</v>
      </c>
      <c r="CV66" s="69">
        <v>1.4623473E-3</v>
      </c>
      <c r="CW66" s="69">
        <v>1.4335753E-3</v>
      </c>
      <c r="CX66" s="69">
        <v>1.4053690000000001E-3</v>
      </c>
      <c r="CY66" s="69">
        <v>1.3777173E-3</v>
      </c>
      <c r="CZ66" s="69">
        <v>1.3506092000000001E-3</v>
      </c>
      <c r="DA66" s="69">
        <v>1.3240341E-3</v>
      </c>
      <c r="DB66" s="69">
        <v>1.2979815999999999E-3</v>
      </c>
      <c r="DC66" s="69">
        <v>1.2724412999999999E-3</v>
      </c>
      <c r="DD66" s="69">
        <v>1.2474032999999999E-3</v>
      </c>
      <c r="DE66" s="69">
        <v>1.2228575999999999E-3</v>
      </c>
      <c r="DF66" s="69">
        <v>1.1987946E-3</v>
      </c>
      <c r="DG66" s="69">
        <v>1.1752048000000001E-3</v>
      </c>
      <c r="DH66" s="69">
        <v>1.1520789E-3</v>
      </c>
      <c r="DI66" s="69">
        <v>1.1294078999999999E-3</v>
      </c>
      <c r="DJ66" s="69">
        <v>1.1071827E-3</v>
      </c>
      <c r="DK66" s="69">
        <v>1.0853945999999999E-3</v>
      </c>
      <c r="DL66" s="69">
        <v>1.0640350000000001E-3</v>
      </c>
      <c r="DM66" s="69">
        <v>1.0430955999999999E-3</v>
      </c>
      <c r="DN66" s="69">
        <v>1.022568E-3</v>
      </c>
      <c r="DO66" s="69">
        <v>1.0024440999999999E-3</v>
      </c>
      <c r="DP66" s="69">
        <v>9.8271610000000005E-4</v>
      </c>
      <c r="DQ66" s="69">
        <v>9.6337609999999998E-4</v>
      </c>
      <c r="DR66" s="69">
        <v>9.4441659999999999E-4</v>
      </c>
      <c r="DS66" s="69">
        <v>9.2582999999999999E-4</v>
      </c>
      <c r="DT66" s="69">
        <v>9.0760910000000001E-4</v>
      </c>
      <c r="DU66" s="69">
        <v>8.8974650000000002E-4</v>
      </c>
      <c r="DV66" s="69">
        <v>8.7223539999999999E-4</v>
      </c>
      <c r="DW66" s="69">
        <v>8.5506869999999997E-4</v>
      </c>
      <c r="DX66" s="69">
        <v>8.3823980000000001E-4</v>
      </c>
      <c r="DY66" s="69">
        <v>8.2174199999999998E-4</v>
      </c>
      <c r="DZ66" s="69">
        <v>8.0556870000000002E-4</v>
      </c>
      <c r="EA66" s="69">
        <v>7.8971360000000003E-4</v>
      </c>
      <c r="EB66" s="69">
        <v>7.7417040000000005E-4</v>
      </c>
      <c r="EC66" s="69">
        <v>7.5893300000000005E-4</v>
      </c>
      <c r="ED66" s="69">
        <v>7.4399549999999996E-4</v>
      </c>
      <c r="EE66" s="69">
        <v>7.2935179999999999E-4</v>
      </c>
      <c r="EF66" s="69">
        <v>7.1499620000000004E-4</v>
      </c>
      <c r="EG66" s="69">
        <v>7.0092310000000003E-4</v>
      </c>
      <c r="EH66" s="69">
        <v>6.8712690000000002E-4</v>
      </c>
      <c r="EI66" s="69">
        <v>6.7360219999999999E-4</v>
      </c>
      <c r="EJ66" s="69">
        <v>6.6034359999999996E-4</v>
      </c>
      <c r="EK66" s="69">
        <v>6.4734579999999996E-4</v>
      </c>
      <c r="EL66" s="69">
        <v>6.3460380000000002E-4</v>
      </c>
      <c r="EM66" s="69">
        <v>6.2211259999999996E-4</v>
      </c>
      <c r="EN66" s="69">
        <v>6.0986709999999997E-4</v>
      </c>
      <c r="EO66" s="69">
        <v>5.9786259999999999E-4</v>
      </c>
      <c r="EP66" s="69">
        <v>5.8609440000000003E-4</v>
      </c>
      <c r="EQ66" s="69">
        <v>5.7455769999999998E-4</v>
      </c>
      <c r="ER66" s="69">
        <v>5.6324800000000003E-4</v>
      </c>
      <c r="ES66" s="69">
        <v>5.5216089999999998E-4</v>
      </c>
      <c r="ET66" s="69">
        <v>5.4129190000000004E-4</v>
      </c>
      <c r="EU66" s="69">
        <v>5.306369E-4</v>
      </c>
      <c r="EV66" s="69">
        <v>5.2019149999999999E-4</v>
      </c>
      <c r="EW66" s="69">
        <v>5.0995170000000005E-4</v>
      </c>
      <c r="EX66" s="69">
        <v>4.999135E-4</v>
      </c>
      <c r="EY66" s="69">
        <v>4.9007269999999995E-4</v>
      </c>
      <c r="EZ66" s="69">
        <v>4.804257E-4</v>
      </c>
      <c r="FA66" s="69">
        <v>4.709685E-4</v>
      </c>
      <c r="FB66" s="69">
        <v>4.6169739999999998E-4</v>
      </c>
      <c r="FC66" s="69">
        <v>4.5260880000000002E-4</v>
      </c>
      <c r="FD66" s="69">
        <v>4.4369899999999998E-4</v>
      </c>
      <c r="FE66" s="69">
        <v>4.3496460000000002E-4</v>
      </c>
      <c r="FF66" s="69">
        <v>4.2640210000000002E-4</v>
      </c>
      <c r="FG66" s="69">
        <v>4.180082E-4</v>
      </c>
      <c r="FH66" s="69">
        <v>4.0977940000000001E-4</v>
      </c>
      <c r="FI66" s="69">
        <v>4.0171260000000002E-4</v>
      </c>
      <c r="FJ66" s="69">
        <v>3.9380449999999999E-4</v>
      </c>
      <c r="FK66" s="69">
        <v>3.8605209999999999E-4</v>
      </c>
      <c r="FL66" s="69">
        <v>3.7845229999999998E-4</v>
      </c>
      <c r="FM66" s="69">
        <v>3.7100209999999998E-4</v>
      </c>
      <c r="FN66" s="69">
        <v>3.6369849999999998E-4</v>
      </c>
      <c r="FO66" s="69">
        <v>3.5653870000000002E-4</v>
      </c>
      <c r="FP66" s="69">
        <v>3.4951980000000001E-4</v>
      </c>
      <c r="FQ66" s="69">
        <v>3.42639E-4</v>
      </c>
    </row>
    <row r="67" spans="1:173" x14ac:dyDescent="0.25">
      <c r="A67" s="71">
        <v>65</v>
      </c>
      <c r="B67" s="69">
        <v>1.1262771899999999E-2</v>
      </c>
      <c r="C67" s="69">
        <v>1.1037554200000001E-2</v>
      </c>
      <c r="D67" s="69">
        <v>1.0816819599999999E-2</v>
      </c>
      <c r="E67" s="69">
        <v>1.06004794E-2</v>
      </c>
      <c r="F67" s="69">
        <v>1.0388447E-2</v>
      </c>
      <c r="G67" s="69">
        <v>1.01806369E-2</v>
      </c>
      <c r="H67" s="69">
        <v>9.9769659000000007E-3</v>
      </c>
      <c r="I67" s="69">
        <v>9.7773519E-3</v>
      </c>
      <c r="J67" s="69">
        <v>9.5817148999999997E-3</v>
      </c>
      <c r="K67" s="69">
        <v>9.3899761000000009E-3</v>
      </c>
      <c r="L67" s="69">
        <v>9.2020582999999996E-3</v>
      </c>
      <c r="M67" s="69">
        <v>9.0178861000000006E-3</v>
      </c>
      <c r="N67" s="69">
        <v>8.8373852000000006E-3</v>
      </c>
      <c r="O67" s="69">
        <v>8.6604829000000005E-3</v>
      </c>
      <c r="P67" s="69">
        <v>8.4871080999999998E-3</v>
      </c>
      <c r="Q67" s="69">
        <v>8.3171908000000006E-3</v>
      </c>
      <c r="R67" s="69">
        <v>8.1506627000000002E-3</v>
      </c>
      <c r="S67" s="69">
        <v>7.9874564000000006E-3</v>
      </c>
      <c r="T67" s="69">
        <v>7.8275062000000006E-3</v>
      </c>
      <c r="U67" s="69">
        <v>7.6707477000000001E-3</v>
      </c>
      <c r="V67" s="69">
        <v>7.5171174000000004E-3</v>
      </c>
      <c r="W67" s="69">
        <v>7.3665533999999998E-3</v>
      </c>
      <c r="X67" s="69">
        <v>7.2189947999999997E-3</v>
      </c>
      <c r="Y67" s="69">
        <v>7.0743821000000002E-3</v>
      </c>
      <c r="Z67" s="69">
        <v>6.9326568999999996E-3</v>
      </c>
      <c r="AA67" s="69">
        <v>6.7937617000000004E-3</v>
      </c>
      <c r="AB67" s="69">
        <v>6.6576404000000004E-3</v>
      </c>
      <c r="AC67" s="69">
        <v>6.5242379999999999E-3</v>
      </c>
      <c r="AD67" s="69">
        <v>6.3935004E-3</v>
      </c>
      <c r="AE67" s="69">
        <v>6.2653748E-3</v>
      </c>
      <c r="AF67" s="69">
        <v>6.1398091999999996E-3</v>
      </c>
      <c r="AG67" s="69">
        <v>6.0167529000000001E-3</v>
      </c>
      <c r="AH67" s="69">
        <v>5.8961558000000004E-3</v>
      </c>
      <c r="AI67" s="69">
        <v>5.7779692000000001E-3</v>
      </c>
      <c r="AJ67" s="69">
        <v>5.6621451E-3</v>
      </c>
      <c r="AK67" s="69">
        <v>5.5486364999999998E-3</v>
      </c>
      <c r="AL67" s="69">
        <v>5.4373974000000002E-3</v>
      </c>
      <c r="AM67" s="69">
        <v>5.3283827000000002E-3</v>
      </c>
      <c r="AN67" s="69">
        <v>5.2215480000000003E-3</v>
      </c>
      <c r="AO67" s="69">
        <v>5.11685E-3</v>
      </c>
      <c r="AP67" s="69">
        <v>5.0142462E-3</v>
      </c>
      <c r="AQ67" s="69">
        <v>4.9136948999999996E-3</v>
      </c>
      <c r="AR67" s="69">
        <v>4.8151551999999999E-3</v>
      </c>
      <c r="AS67" s="69">
        <v>4.7185869999999998E-3</v>
      </c>
      <c r="AT67" s="69">
        <v>4.6239510999999999E-3</v>
      </c>
      <c r="AU67" s="69">
        <v>4.5312089999999996E-3</v>
      </c>
      <c r="AV67" s="69">
        <v>4.4403230000000004E-3</v>
      </c>
      <c r="AW67" s="69">
        <v>4.3512560000000004E-3</v>
      </c>
      <c r="AX67" s="69">
        <v>4.2639718000000004E-3</v>
      </c>
      <c r="AY67" s="69">
        <v>4.1784350000000003E-3</v>
      </c>
      <c r="AZ67" s="69">
        <v>4.0946105E-3</v>
      </c>
      <c r="BA67" s="69">
        <v>4.0124643E-3</v>
      </c>
      <c r="BB67" s="69">
        <v>3.9319630000000001E-3</v>
      </c>
      <c r="BC67" s="69">
        <v>3.8530736E-3</v>
      </c>
      <c r="BD67" s="69">
        <v>3.7757641000000001E-3</v>
      </c>
      <c r="BE67" s="69">
        <v>3.7000028999999999E-3</v>
      </c>
      <c r="BF67" s="69">
        <v>3.6257592000000002E-3</v>
      </c>
      <c r="BG67" s="69">
        <v>3.5530025000000002E-3</v>
      </c>
      <c r="BH67" s="69">
        <v>3.4817034000000002E-3</v>
      </c>
      <c r="BI67" s="69">
        <v>3.4118325999999998E-3</v>
      </c>
      <c r="BJ67" s="69">
        <v>3.3433616000000002E-3</v>
      </c>
      <c r="BK67" s="69">
        <v>3.2762626E-3</v>
      </c>
      <c r="BL67" s="69">
        <v>3.2105079999999999E-3</v>
      </c>
      <c r="BM67" s="69">
        <v>3.1460709999999999E-3</v>
      </c>
      <c r="BN67" s="69">
        <v>3.0829254E-3</v>
      </c>
      <c r="BO67" s="69">
        <v>3.0210452E-3</v>
      </c>
      <c r="BP67" s="69">
        <v>2.9604052999999998E-3</v>
      </c>
      <c r="BQ67" s="69">
        <v>2.9009807999999999E-3</v>
      </c>
      <c r="BR67" s="69">
        <v>2.8427474999999998E-3</v>
      </c>
      <c r="BS67" s="69">
        <v>2.7856815000000001E-3</v>
      </c>
      <c r="BT67" s="69">
        <v>2.7297595000000002E-3</v>
      </c>
      <c r="BU67" s="69">
        <v>2.6749586000000001E-3</v>
      </c>
      <c r="BV67" s="69">
        <v>2.6212563999999999E-3</v>
      </c>
      <c r="BW67" s="69">
        <v>2.568631E-3</v>
      </c>
      <c r="BX67" s="69">
        <v>2.5170608000000001E-3</v>
      </c>
      <c r="BY67" s="69">
        <v>2.4665246000000001E-3</v>
      </c>
      <c r="BZ67" s="69">
        <v>2.4170019000000001E-3</v>
      </c>
      <c r="CA67" s="69">
        <v>2.3684723E-3</v>
      </c>
      <c r="CB67" s="69">
        <v>2.3209160000000001E-3</v>
      </c>
      <c r="CC67" s="69">
        <v>2.2743135000000002E-3</v>
      </c>
      <c r="CD67" s="69">
        <v>2.2286456999999998E-3</v>
      </c>
      <c r="CE67" s="69">
        <v>2.1838939E-3</v>
      </c>
      <c r="CF67" s="69">
        <v>2.1400398000000001E-3</v>
      </c>
      <c r="CG67" s="69">
        <v>2.0970653000000001E-3</v>
      </c>
      <c r="CH67" s="69">
        <v>2.054953E-3</v>
      </c>
      <c r="CI67" s="69">
        <v>2.0136855E-3</v>
      </c>
      <c r="CJ67" s="69">
        <v>1.9732459000000001E-3</v>
      </c>
      <c r="CK67" s="69">
        <v>1.9336176000000001E-3</v>
      </c>
      <c r="CL67" s="69">
        <v>1.8947844E-3</v>
      </c>
      <c r="CM67" s="69">
        <v>1.8567303999999999E-3</v>
      </c>
      <c r="CN67" s="69">
        <v>1.8194400000000001E-3</v>
      </c>
      <c r="CO67" s="69">
        <v>1.7828977999999999E-3</v>
      </c>
      <c r="CP67" s="69">
        <v>1.7470889E-3</v>
      </c>
      <c r="CQ67" s="69">
        <v>1.7119987E-3</v>
      </c>
      <c r="CR67" s="69">
        <v>1.6776126E-3</v>
      </c>
      <c r="CS67" s="69">
        <v>1.6439166E-3</v>
      </c>
      <c r="CT67" s="69">
        <v>1.6108968E-3</v>
      </c>
      <c r="CU67" s="69">
        <v>1.5785398E-3</v>
      </c>
      <c r="CV67" s="69">
        <v>1.5468322E-3</v>
      </c>
      <c r="CW67" s="69">
        <v>1.515761E-3</v>
      </c>
      <c r="CX67" s="69">
        <v>1.4853135E-3</v>
      </c>
      <c r="CY67" s="69">
        <v>1.4554771E-3</v>
      </c>
      <c r="CZ67" s="69">
        <v>1.4262397E-3</v>
      </c>
      <c r="DA67" s="69">
        <v>1.3975891999999999E-3</v>
      </c>
      <c r="DB67" s="69">
        <v>1.3695138E-3</v>
      </c>
      <c r="DC67" s="69">
        <v>1.3420019999999999E-3</v>
      </c>
      <c r="DD67" s="69">
        <v>1.3150424999999999E-3</v>
      </c>
      <c r="DE67" s="69">
        <v>1.2886243E-3</v>
      </c>
      <c r="DF67" s="69">
        <v>1.2627364999999999E-3</v>
      </c>
      <c r="DG67" s="69">
        <v>1.2373683999999999E-3</v>
      </c>
      <c r="DH67" s="69">
        <v>1.2125096000000001E-3</v>
      </c>
      <c r="DI67" s="69">
        <v>1.18815E-3</v>
      </c>
      <c r="DJ67" s="69">
        <v>1.1642794E-3</v>
      </c>
      <c r="DK67" s="69">
        <v>1.1408881999999999E-3</v>
      </c>
      <c r="DL67" s="69">
        <v>1.1179667E-3</v>
      </c>
      <c r="DM67" s="69">
        <v>1.0955054E-3</v>
      </c>
      <c r="DN67" s="69">
        <v>1.0734951000000001E-3</v>
      </c>
      <c r="DO67" s="69">
        <v>1.0519268E-3</v>
      </c>
      <c r="DP67" s="69">
        <v>1.0307917000000001E-3</v>
      </c>
      <c r="DQ67" s="69">
        <v>1.0100809999999999E-3</v>
      </c>
      <c r="DR67" s="69">
        <v>9.8978619999999995E-4</v>
      </c>
      <c r="DS67" s="69">
        <v>9.6989890000000005E-4</v>
      </c>
      <c r="DT67" s="69">
        <v>9.504111E-4</v>
      </c>
      <c r="DU67" s="69">
        <v>9.3131460000000002E-4</v>
      </c>
      <c r="DV67" s="69">
        <v>9.1260169999999999E-4</v>
      </c>
      <c r="DW67" s="69">
        <v>8.9426459999999996E-4</v>
      </c>
      <c r="DX67" s="69">
        <v>8.7629570000000005E-4</v>
      </c>
      <c r="DY67" s="69">
        <v>8.5868779999999996E-4</v>
      </c>
      <c r="DZ67" s="69">
        <v>8.4143360000000003E-4</v>
      </c>
      <c r="EA67" s="69">
        <v>8.2452589999999998E-4</v>
      </c>
      <c r="EB67" s="69">
        <v>8.0795780000000005E-4</v>
      </c>
      <c r="EC67" s="69">
        <v>7.9172249999999997E-4</v>
      </c>
      <c r="ED67" s="69">
        <v>7.7581329999999997E-4</v>
      </c>
      <c r="EE67" s="69">
        <v>7.6022359999999996E-4</v>
      </c>
      <c r="EF67" s="69">
        <v>7.449472E-4</v>
      </c>
      <c r="EG67" s="69">
        <v>7.2997749999999999E-4</v>
      </c>
      <c r="EH67" s="69">
        <v>7.1530859999999999E-4</v>
      </c>
      <c r="EI67" s="69">
        <v>7.0093439999999998E-4</v>
      </c>
      <c r="EJ67" s="69">
        <v>6.8684889999999998E-4</v>
      </c>
      <c r="EK67" s="69">
        <v>6.7304639999999998E-4</v>
      </c>
      <c r="EL67" s="69">
        <v>6.5952109999999997E-4</v>
      </c>
      <c r="EM67" s="69">
        <v>6.4626760000000005E-4</v>
      </c>
      <c r="EN67" s="69">
        <v>6.3328029999999995E-4</v>
      </c>
      <c r="EO67" s="69">
        <v>6.2055390000000002E-4</v>
      </c>
      <c r="EP67" s="69">
        <v>6.080832E-4</v>
      </c>
      <c r="EQ67" s="69">
        <v>5.9586299999999997E-4</v>
      </c>
      <c r="ER67" s="69">
        <v>5.8388829999999996E-4</v>
      </c>
      <c r="ES67" s="69">
        <v>5.7215420000000003E-4</v>
      </c>
      <c r="ET67" s="69">
        <v>5.6065590000000005E-4</v>
      </c>
      <c r="EU67" s="69">
        <v>5.4938860000000003E-4</v>
      </c>
      <c r="EV67" s="69">
        <v>5.3834759999999999E-4</v>
      </c>
      <c r="EW67" s="69">
        <v>5.2752850000000004E-4</v>
      </c>
      <c r="EX67" s="69">
        <v>5.1692679999999996E-4</v>
      </c>
      <c r="EY67" s="69">
        <v>5.0653799999999995E-4</v>
      </c>
      <c r="EZ67" s="69">
        <v>4.9635800000000002E-4</v>
      </c>
      <c r="FA67" s="69">
        <v>4.863825E-4</v>
      </c>
      <c r="FB67" s="69">
        <v>4.7660749999999999E-4</v>
      </c>
      <c r="FC67" s="69">
        <v>4.6702890000000001E-4</v>
      </c>
      <c r="FD67" s="69">
        <v>4.5764269999999999E-4</v>
      </c>
      <c r="FE67" s="69">
        <v>4.4844520000000002E-4</v>
      </c>
      <c r="FF67" s="69">
        <v>4.3943239999999999E-4</v>
      </c>
      <c r="FG67" s="69">
        <v>4.3060070000000003E-4</v>
      </c>
      <c r="FH67" s="69">
        <v>4.2194649999999998E-4</v>
      </c>
      <c r="FI67" s="69">
        <v>4.1346619999999999E-4</v>
      </c>
      <c r="FJ67" s="69">
        <v>4.0515629999999999E-4</v>
      </c>
      <c r="FK67" s="69">
        <v>3.9701340000000002E-4</v>
      </c>
      <c r="FL67" s="69">
        <v>3.890341E-4</v>
      </c>
      <c r="FM67" s="69">
        <v>3.8121519999999997E-4</v>
      </c>
      <c r="FN67" s="69">
        <v>3.7355329999999999E-4</v>
      </c>
      <c r="FO67" s="69">
        <v>3.6604550000000002E-4</v>
      </c>
      <c r="FP67" s="69">
        <v>3.5868850000000003E-4</v>
      </c>
      <c r="FQ67" s="69">
        <v>3.5147930000000002E-4</v>
      </c>
    </row>
    <row r="68" spans="1:173" x14ac:dyDescent="0.25">
      <c r="A68" s="71">
        <v>66</v>
      </c>
      <c r="B68" s="69">
        <v>1.2376126100000001E-2</v>
      </c>
      <c r="C68" s="69">
        <v>1.21363965E-2</v>
      </c>
      <c r="D68" s="69">
        <v>1.1900712500000001E-2</v>
      </c>
      <c r="E68" s="69">
        <v>1.16690558E-2</v>
      </c>
      <c r="F68" s="69">
        <v>1.1441403500000001E-2</v>
      </c>
      <c r="G68" s="69">
        <v>1.1217728200000001E-2</v>
      </c>
      <c r="H68" s="69">
        <v>1.0997999099999999E-2</v>
      </c>
      <c r="I68" s="69">
        <v>1.07821818E-2</v>
      </c>
      <c r="J68" s="69">
        <v>1.05702391E-2</v>
      </c>
      <c r="K68" s="69">
        <v>1.03621311E-2</v>
      </c>
      <c r="L68" s="69">
        <v>1.01578156E-2</v>
      </c>
      <c r="M68" s="69">
        <v>9.9572484999999999E-3</v>
      </c>
      <c r="N68" s="69">
        <v>9.7603839000000008E-3</v>
      </c>
      <c r="O68" s="69">
        <v>9.5671743999999996E-3</v>
      </c>
      <c r="P68" s="69">
        <v>9.3775713999999996E-3</v>
      </c>
      <c r="Q68" s="69">
        <v>9.1915253999999991E-3</v>
      </c>
      <c r="R68" s="69">
        <v>9.0089857999999991E-3</v>
      </c>
      <c r="S68" s="69">
        <v>8.8299013999999995E-3</v>
      </c>
      <c r="T68" s="69">
        <v>8.6542204000000008E-3</v>
      </c>
      <c r="U68" s="69">
        <v>8.4818907999999991E-3</v>
      </c>
      <c r="V68" s="69">
        <v>8.3128600999999996E-3</v>
      </c>
      <c r="W68" s="69">
        <v>8.1470758000000004E-3</v>
      </c>
      <c r="X68" s="69">
        <v>7.9844851000000008E-3</v>
      </c>
      <c r="Y68" s="69">
        <v>7.8250355000000008E-3</v>
      </c>
      <c r="Z68" s="69">
        <v>7.6686745000000001E-3</v>
      </c>
      <c r="AA68" s="69">
        <v>7.5153499E-3</v>
      </c>
      <c r="AB68" s="69">
        <v>7.3650093999999998E-3</v>
      </c>
      <c r="AC68" s="69">
        <v>7.2176015000000003E-3</v>
      </c>
      <c r="AD68" s="69">
        <v>7.0730747000000002E-3</v>
      </c>
      <c r="AE68" s="69">
        <v>6.9313782000000003E-3</v>
      </c>
      <c r="AF68" s="69">
        <v>6.7924613000000002E-3</v>
      </c>
      <c r="AG68" s="69">
        <v>6.6562742000000003E-3</v>
      </c>
      <c r="AH68" s="69">
        <v>6.5227673000000002E-3</v>
      </c>
      <c r="AI68" s="69">
        <v>6.3918917999999996E-3</v>
      </c>
      <c r="AJ68" s="69">
        <v>6.2635992999999996E-3</v>
      </c>
      <c r="AK68" s="69">
        <v>6.1378420999999997E-3</v>
      </c>
      <c r="AL68" s="69">
        <v>6.0145731000000001E-3</v>
      </c>
      <c r="AM68" s="69">
        <v>5.8937457000000004E-3</v>
      </c>
      <c r="AN68" s="69">
        <v>5.7753142999999998E-3</v>
      </c>
      <c r="AO68" s="69">
        <v>5.6592335000000002E-3</v>
      </c>
      <c r="AP68" s="69">
        <v>5.545459E-3</v>
      </c>
      <c r="AQ68" s="69">
        <v>5.4339467999999997E-3</v>
      </c>
      <c r="AR68" s="69">
        <v>5.3246537999999998E-3</v>
      </c>
      <c r="AS68" s="69">
        <v>5.2175375000000001E-3</v>
      </c>
      <c r="AT68" s="69">
        <v>5.1125561999999999E-3</v>
      </c>
      <c r="AU68" s="69">
        <v>5.0096686000000003E-3</v>
      </c>
      <c r="AV68" s="69">
        <v>4.9088344000000001E-3</v>
      </c>
      <c r="AW68" s="69">
        <v>4.8100139E-3</v>
      </c>
      <c r="AX68" s="69">
        <v>4.7131678000000002E-3</v>
      </c>
      <c r="AY68" s="69">
        <v>4.6182578999999996E-3</v>
      </c>
      <c r="AZ68" s="69">
        <v>4.5252464000000003E-3</v>
      </c>
      <c r="BA68" s="69">
        <v>4.4340960999999998E-3</v>
      </c>
      <c r="BB68" s="69">
        <v>4.3447707999999998E-3</v>
      </c>
      <c r="BC68" s="69">
        <v>4.2572345000000001E-3</v>
      </c>
      <c r="BD68" s="69">
        <v>4.1714520999999996E-3</v>
      </c>
      <c r="BE68" s="69">
        <v>4.0873893E-3</v>
      </c>
      <c r="BF68" s="69">
        <v>4.0050119999999996E-3</v>
      </c>
      <c r="BG68" s="69">
        <v>3.9242870999999999E-3</v>
      </c>
      <c r="BH68" s="69">
        <v>3.8451818999999999E-3</v>
      </c>
      <c r="BI68" s="69">
        <v>3.7676645000000002E-3</v>
      </c>
      <c r="BJ68" s="69">
        <v>3.6917033999999999E-3</v>
      </c>
      <c r="BK68" s="69">
        <v>3.6172677000000002E-3</v>
      </c>
      <c r="BL68" s="69">
        <v>3.5443272E-3</v>
      </c>
      <c r="BM68" s="69">
        <v>3.4728522999999999E-3</v>
      </c>
      <c r="BN68" s="69">
        <v>3.4028138E-3</v>
      </c>
      <c r="BO68" s="69">
        <v>3.3341831000000001E-3</v>
      </c>
      <c r="BP68" s="69">
        <v>3.2669322999999998E-3</v>
      </c>
      <c r="BQ68" s="69">
        <v>3.2010339000000001E-3</v>
      </c>
      <c r="BR68" s="69">
        <v>3.1364608E-3</v>
      </c>
      <c r="BS68" s="69">
        <v>3.0731868000000002E-3</v>
      </c>
      <c r="BT68" s="69">
        <v>3.0111858999999999E-3</v>
      </c>
      <c r="BU68" s="69">
        <v>2.9504326E-3</v>
      </c>
      <c r="BV68" s="69">
        <v>2.8909019999999999E-3</v>
      </c>
      <c r="BW68" s="69">
        <v>2.8325697999999999E-3</v>
      </c>
      <c r="BX68" s="69">
        <v>2.7754119000000001E-3</v>
      </c>
      <c r="BY68" s="69">
        <v>2.7194048999999998E-3</v>
      </c>
      <c r="BZ68" s="69">
        <v>2.6645256999999999E-3</v>
      </c>
      <c r="CA68" s="69">
        <v>2.6107516999999999E-3</v>
      </c>
      <c r="CB68" s="69">
        <v>2.5580608999999999E-3</v>
      </c>
      <c r="CC68" s="69">
        <v>2.5064315000000001E-3</v>
      </c>
      <c r="CD68" s="69">
        <v>2.4558422999999998E-3</v>
      </c>
      <c r="CE68" s="69">
        <v>2.4062723000000002E-3</v>
      </c>
      <c r="CF68" s="69">
        <v>2.3577011999999999E-3</v>
      </c>
      <c r="CG68" s="69">
        <v>2.3101088999999998E-3</v>
      </c>
      <c r="CH68" s="69">
        <v>2.2634756999999998E-3</v>
      </c>
      <c r="CI68" s="69">
        <v>2.2177824999999999E-3</v>
      </c>
      <c r="CJ68" s="69">
        <v>2.1730104000000001E-3</v>
      </c>
      <c r="CK68" s="69">
        <v>2.1291408000000001E-3</v>
      </c>
      <c r="CL68" s="69">
        <v>2.0861555999999999E-3</v>
      </c>
      <c r="CM68" s="69">
        <v>2.0440370999999999E-3</v>
      </c>
      <c r="CN68" s="69">
        <v>2.0027678999999998E-3</v>
      </c>
      <c r="CO68" s="69">
        <v>1.9623307999999998E-3</v>
      </c>
      <c r="CP68" s="69">
        <v>1.9227091999999999E-3</v>
      </c>
      <c r="CQ68" s="69">
        <v>1.8838866E-3</v>
      </c>
      <c r="CR68" s="69">
        <v>1.8458470000000001E-3</v>
      </c>
      <c r="CS68" s="69">
        <v>1.8085747000000001E-3</v>
      </c>
      <c r="CT68" s="69">
        <v>1.7720542E-3</v>
      </c>
      <c r="CU68" s="69">
        <v>1.7362702999999999E-3</v>
      </c>
      <c r="CV68" s="69">
        <v>1.7012082999999999E-3</v>
      </c>
      <c r="CW68" s="69">
        <v>1.6668536E-3</v>
      </c>
      <c r="CX68" s="69">
        <v>1.6331920999999999E-3</v>
      </c>
      <c r="CY68" s="69">
        <v>1.6002096E-3</v>
      </c>
      <c r="CZ68" s="69">
        <v>1.5678927E-3</v>
      </c>
      <c r="DA68" s="69">
        <v>1.5362278000000001E-3</v>
      </c>
      <c r="DB68" s="69">
        <v>1.5052018999999999E-3</v>
      </c>
      <c r="DC68" s="69">
        <v>1.4748020000000001E-3</v>
      </c>
      <c r="DD68" s="69">
        <v>1.4450156E-3</v>
      </c>
      <c r="DE68" s="69">
        <v>1.4158303E-3</v>
      </c>
      <c r="DF68" s="69">
        <v>1.387234E-3</v>
      </c>
      <c r="DG68" s="69">
        <v>1.3592149E-3</v>
      </c>
      <c r="DH68" s="69">
        <v>1.3317612E-3</v>
      </c>
      <c r="DI68" s="69">
        <v>1.3048617000000001E-3</v>
      </c>
      <c r="DJ68" s="69">
        <v>1.2785050999999999E-3</v>
      </c>
      <c r="DK68" s="69">
        <v>1.2526804999999999E-3</v>
      </c>
      <c r="DL68" s="69">
        <v>1.2273772000000001E-3</v>
      </c>
      <c r="DM68" s="69">
        <v>1.2025846E-3</v>
      </c>
      <c r="DN68" s="69">
        <v>1.1782926E-3</v>
      </c>
      <c r="DO68" s="69">
        <v>1.1544909000000001E-3</v>
      </c>
      <c r="DP68" s="69">
        <v>1.1311697E-3</v>
      </c>
      <c r="DQ68" s="69">
        <v>1.1083194000000001E-3</v>
      </c>
      <c r="DR68" s="69">
        <v>1.0859304000000001E-3</v>
      </c>
      <c r="DS68" s="69">
        <v>1.0639934E-3</v>
      </c>
      <c r="DT68" s="69">
        <v>1.0424993E-3</v>
      </c>
      <c r="DU68" s="69">
        <v>1.0214391000000001E-3</v>
      </c>
      <c r="DV68" s="69">
        <v>1.0008042E-3</v>
      </c>
      <c r="DW68" s="69">
        <v>9.8058600000000009E-4</v>
      </c>
      <c r="DX68" s="69">
        <v>9.6077599999999999E-4</v>
      </c>
      <c r="DY68" s="69">
        <v>9.4136589999999998E-4</v>
      </c>
      <c r="DZ68" s="69">
        <v>9.2234789999999999E-4</v>
      </c>
      <c r="EA68" s="69">
        <v>9.0371379999999995E-4</v>
      </c>
      <c r="EB68" s="69">
        <v>8.8545609999999999E-4</v>
      </c>
      <c r="EC68" s="69">
        <v>8.6756699999999997E-4</v>
      </c>
      <c r="ED68" s="69">
        <v>8.5003919999999998E-4</v>
      </c>
      <c r="EE68" s="69">
        <v>8.3286540000000004E-4</v>
      </c>
      <c r="EF68" s="69">
        <v>8.1603839999999997E-4</v>
      </c>
      <c r="EG68" s="69">
        <v>7.9955119999999998E-4</v>
      </c>
      <c r="EH68" s="69">
        <v>7.8339700000000002E-4</v>
      </c>
      <c r="EI68" s="69">
        <v>7.6756909999999999E-4</v>
      </c>
      <c r="EJ68" s="69">
        <v>7.5206079999999998E-4</v>
      </c>
      <c r="EK68" s="69">
        <v>7.3686569999999998E-4</v>
      </c>
      <c r="EL68" s="69">
        <v>7.2197750000000001E-4</v>
      </c>
      <c r="EM68" s="69">
        <v>7.0739010000000005E-4</v>
      </c>
      <c r="EN68" s="69">
        <v>6.9309720000000001E-4</v>
      </c>
      <c r="EO68" s="69">
        <v>6.7909310000000001E-4</v>
      </c>
      <c r="EP68" s="69">
        <v>6.6537180000000005E-4</v>
      </c>
      <c r="EQ68" s="69">
        <v>6.5192760000000005E-4</v>
      </c>
      <c r="ER68" s="69">
        <v>6.3875499999999997E-4</v>
      </c>
      <c r="ES68" s="69">
        <v>6.2584849999999998E-4</v>
      </c>
      <c r="ET68" s="69">
        <v>6.132027E-4</v>
      </c>
      <c r="EU68" s="69">
        <v>6.0081239999999997E-4</v>
      </c>
      <c r="EV68" s="69">
        <v>5.8867230000000004E-4</v>
      </c>
      <c r="EW68" s="69">
        <v>5.7677740000000003E-4</v>
      </c>
      <c r="EX68" s="69">
        <v>5.6512290000000002E-4</v>
      </c>
      <c r="EY68" s="69">
        <v>5.5370370000000003E-4</v>
      </c>
      <c r="EZ68" s="69">
        <v>5.4251530000000003E-4</v>
      </c>
      <c r="FA68" s="69">
        <v>5.3155279999999997E-4</v>
      </c>
      <c r="FB68" s="69">
        <v>5.2081179999999999E-4</v>
      </c>
      <c r="FC68" s="69">
        <v>5.1028779999999995E-4</v>
      </c>
      <c r="FD68" s="69">
        <v>4.9997639999999999E-4</v>
      </c>
      <c r="FE68" s="69">
        <v>4.8987339999999996E-4</v>
      </c>
      <c r="FF68" s="69">
        <v>4.7997440000000001E-4</v>
      </c>
      <c r="FG68" s="69">
        <v>4.7027540000000001E-4</v>
      </c>
      <c r="FH68" s="69">
        <v>4.6077230000000002E-4</v>
      </c>
      <c r="FI68" s="69">
        <v>4.514613E-4</v>
      </c>
      <c r="FJ68" s="69">
        <v>4.4233830000000001E-4</v>
      </c>
      <c r="FK68" s="69">
        <v>4.3339970000000002E-4</v>
      </c>
      <c r="FL68" s="69">
        <v>4.246416E-4</v>
      </c>
      <c r="FM68" s="69">
        <v>4.1606050000000001E-4</v>
      </c>
      <c r="FN68" s="69">
        <v>4.0765279999999999E-4</v>
      </c>
      <c r="FO68" s="69">
        <v>3.9941489999999999E-4</v>
      </c>
      <c r="FP68" s="69">
        <v>3.913435E-4</v>
      </c>
      <c r="FQ68" s="69">
        <v>3.8343509999999998E-4</v>
      </c>
    </row>
    <row r="69" spans="1:173" x14ac:dyDescent="0.25">
      <c r="A69" s="71">
        <v>67</v>
      </c>
      <c r="B69" s="69">
        <v>1.3504631600000001E-2</v>
      </c>
      <c r="C69" s="69">
        <v>1.3238170400000001E-2</v>
      </c>
      <c r="D69" s="69">
        <v>1.29762027E-2</v>
      </c>
      <c r="E69" s="69">
        <v>1.27187172E-2</v>
      </c>
      <c r="F69" s="69">
        <v>1.24656961E-2</v>
      </c>
      <c r="G69" s="69">
        <v>1.22171164E-2</v>
      </c>
      <c r="H69" s="69">
        <v>1.19729495E-2</v>
      </c>
      <c r="I69" s="69">
        <v>1.1733162599999999E-2</v>
      </c>
      <c r="J69" s="69">
        <v>1.1497718699999999E-2</v>
      </c>
      <c r="K69" s="69">
        <v>1.12665773E-2</v>
      </c>
      <c r="L69" s="69">
        <v>1.1039694799999999E-2</v>
      </c>
      <c r="M69" s="69">
        <v>1.0817024600000001E-2</v>
      </c>
      <c r="N69" s="69">
        <v>1.0598518100000001E-2</v>
      </c>
      <c r="O69" s="69">
        <v>1.0384124200000001E-2</v>
      </c>
      <c r="P69" s="69">
        <v>1.0173790199999999E-2</v>
      </c>
      <c r="Q69" s="69">
        <v>9.9674619999999998E-3</v>
      </c>
      <c r="R69" s="69">
        <v>9.7650839000000007E-3</v>
      </c>
      <c r="S69" s="69">
        <v>9.5665995E-3</v>
      </c>
      <c r="T69" s="69">
        <v>9.3719512000000008E-3</v>
      </c>
      <c r="U69" s="69">
        <v>9.1810810000000007E-3</v>
      </c>
      <c r="V69" s="69">
        <v>8.9939301999999999E-3</v>
      </c>
      <c r="W69" s="69">
        <v>8.8104398999999996E-3</v>
      </c>
      <c r="X69" s="69">
        <v>8.6305509000000006E-3</v>
      </c>
      <c r="Y69" s="69">
        <v>8.4542038000000007E-3</v>
      </c>
      <c r="Z69" s="69">
        <v>8.2813392999999992E-3</v>
      </c>
      <c r="AA69" s="69">
        <v>8.1118982999999999E-3</v>
      </c>
      <c r="AB69" s="69">
        <v>7.9458216999999994E-3</v>
      </c>
      <c r="AC69" s="69">
        <v>7.7830509000000004E-3</v>
      </c>
      <c r="AD69" s="69">
        <v>7.6235273999999999E-3</v>
      </c>
      <c r="AE69" s="69">
        <v>7.4671933000000001E-3</v>
      </c>
      <c r="AF69" s="69">
        <v>7.3139911000000002E-3</v>
      </c>
      <c r="AG69" s="69">
        <v>7.1638637999999998E-3</v>
      </c>
      <c r="AH69" s="69">
        <v>7.0167550000000004E-3</v>
      </c>
      <c r="AI69" s="69">
        <v>6.8726087999999999E-3</v>
      </c>
      <c r="AJ69" s="69">
        <v>6.7313701E-3</v>
      </c>
      <c r="AK69" s="69">
        <v>6.5929843000000002E-3</v>
      </c>
      <c r="AL69" s="69">
        <v>6.4573976000000003E-3</v>
      </c>
      <c r="AM69" s="69">
        <v>6.3245569000000001E-3</v>
      </c>
      <c r="AN69" s="69">
        <v>6.1944098E-3</v>
      </c>
      <c r="AO69" s="69">
        <v>6.0669045000000003E-3</v>
      </c>
      <c r="AP69" s="69">
        <v>5.9419902000000004E-3</v>
      </c>
      <c r="AQ69" s="69">
        <v>5.8196167000000004E-3</v>
      </c>
      <c r="AR69" s="69">
        <v>5.6997347000000004E-3</v>
      </c>
      <c r="AS69" s="69">
        <v>5.5822956000000003E-3</v>
      </c>
      <c r="AT69" s="69">
        <v>5.4672514000000004E-3</v>
      </c>
      <c r="AU69" s="69">
        <v>5.3545551999999996E-3</v>
      </c>
      <c r="AV69" s="69">
        <v>5.2441607999999997E-3</v>
      </c>
      <c r="AW69" s="69">
        <v>5.1360225999999998E-3</v>
      </c>
      <c r="AX69" s="69">
        <v>5.0300958999999999E-3</v>
      </c>
      <c r="AY69" s="69">
        <v>4.9263368999999998E-3</v>
      </c>
      <c r="AZ69" s="69">
        <v>4.8247024000000003E-3</v>
      </c>
      <c r="BA69" s="69">
        <v>4.7251499000000004E-3</v>
      </c>
      <c r="BB69" s="69">
        <v>4.6276379000000003E-3</v>
      </c>
      <c r="BC69" s="69">
        <v>4.5321255000000003E-3</v>
      </c>
      <c r="BD69" s="69">
        <v>4.4385724999999997E-3</v>
      </c>
      <c r="BE69" s="69">
        <v>4.3469397E-3</v>
      </c>
      <c r="BF69" s="69">
        <v>4.2571882000000004E-3</v>
      </c>
      <c r="BG69" s="69">
        <v>4.1692802999999997E-3</v>
      </c>
      <c r="BH69" s="69">
        <v>4.0831786E-3</v>
      </c>
      <c r="BI69" s="69">
        <v>3.9988465999999997E-3</v>
      </c>
      <c r="BJ69" s="69">
        <v>3.9162486E-3</v>
      </c>
      <c r="BK69" s="69">
        <v>3.8353494000000002E-3</v>
      </c>
      <c r="BL69" s="69">
        <v>3.7561144999999998E-3</v>
      </c>
      <c r="BM69" s="69">
        <v>3.6785100999999999E-3</v>
      </c>
      <c r="BN69" s="69">
        <v>3.6025032E-3</v>
      </c>
      <c r="BO69" s="69">
        <v>3.5280609999999999E-3</v>
      </c>
      <c r="BP69" s="69">
        <v>3.455152E-3</v>
      </c>
      <c r="BQ69" s="69">
        <v>3.3837445999999999E-3</v>
      </c>
      <c r="BR69" s="69">
        <v>3.3138084999999999E-3</v>
      </c>
      <c r="BS69" s="69">
        <v>3.2453133999999998E-3</v>
      </c>
      <c r="BT69" s="69">
        <v>3.1782300999999998E-3</v>
      </c>
      <c r="BU69" s="69">
        <v>3.1125295999999999E-3</v>
      </c>
      <c r="BV69" s="69">
        <v>3.0481836000000001E-3</v>
      </c>
      <c r="BW69" s="69">
        <v>2.9851645E-3</v>
      </c>
      <c r="BX69" s="69">
        <v>2.9234450999999998E-3</v>
      </c>
      <c r="BY69" s="69">
        <v>2.8629988000000001E-3</v>
      </c>
      <c r="BZ69" s="69">
        <v>2.8037994000000002E-3</v>
      </c>
      <c r="CA69" s="69">
        <v>2.7458215E-3</v>
      </c>
      <c r="CB69" s="69">
        <v>2.6890399000000001E-3</v>
      </c>
      <c r="CC69" s="69">
        <v>2.6334302E-3</v>
      </c>
      <c r="CD69" s="69">
        <v>2.5789683000000002E-3</v>
      </c>
      <c r="CE69" s="69">
        <v>2.5256304999999998E-3</v>
      </c>
      <c r="CF69" s="69">
        <v>2.4733938999999998E-3</v>
      </c>
      <c r="CG69" s="69">
        <v>2.4222357999999999E-3</v>
      </c>
      <c r="CH69" s="69">
        <v>2.3721340000000001E-3</v>
      </c>
      <c r="CI69" s="69">
        <v>2.3230668999999998E-3</v>
      </c>
      <c r="CJ69" s="69">
        <v>2.2750130999999998E-3</v>
      </c>
      <c r="CK69" s="69">
        <v>2.2279518E-3</v>
      </c>
      <c r="CL69" s="69">
        <v>2.1818625999999999E-3</v>
      </c>
      <c r="CM69" s="69">
        <v>2.1367254E-3</v>
      </c>
      <c r="CN69" s="69">
        <v>2.0925207999999999E-3</v>
      </c>
      <c r="CO69" s="69">
        <v>2.0492294000000002E-3</v>
      </c>
      <c r="CP69" s="69">
        <v>2.0068324999999998E-3</v>
      </c>
      <c r="CQ69" s="69">
        <v>1.9653117000000002E-3</v>
      </c>
      <c r="CR69" s="69">
        <v>1.9246489E-3</v>
      </c>
      <c r="CS69" s="69">
        <v>1.8848264E-3</v>
      </c>
      <c r="CT69" s="69">
        <v>1.8458268999999999E-3</v>
      </c>
      <c r="CU69" s="69">
        <v>1.8076335000000001E-3</v>
      </c>
      <c r="CV69" s="69">
        <v>1.7702295000000001E-3</v>
      </c>
      <c r="CW69" s="69">
        <v>1.7335986E-3</v>
      </c>
      <c r="CX69" s="69">
        <v>1.697725E-3</v>
      </c>
      <c r="CY69" s="69">
        <v>1.662593E-3</v>
      </c>
      <c r="CZ69" s="69">
        <v>1.6281873E-3</v>
      </c>
      <c r="DA69" s="69">
        <v>1.5944929E-3</v>
      </c>
      <c r="DB69" s="69">
        <v>1.5614952000000001E-3</v>
      </c>
      <c r="DC69" s="69">
        <v>1.5291797000000001E-3</v>
      </c>
      <c r="DD69" s="69">
        <v>1.4975324999999999E-3</v>
      </c>
      <c r="DE69" s="69">
        <v>1.4665396E-3</v>
      </c>
      <c r="DF69" s="69">
        <v>1.4361877E-3</v>
      </c>
      <c r="DG69" s="69">
        <v>1.4064634000000001E-3</v>
      </c>
      <c r="DH69" s="69">
        <v>1.3773539000000001E-3</v>
      </c>
      <c r="DI69" s="69">
        <v>1.3488463E-3</v>
      </c>
      <c r="DJ69" s="69">
        <v>1.3209284E-3</v>
      </c>
      <c r="DK69" s="69">
        <v>1.2935879E-3</v>
      </c>
      <c r="DL69" s="69">
        <v>1.2668129000000001E-3</v>
      </c>
      <c r="DM69" s="69">
        <v>1.2405916999999999E-3</v>
      </c>
      <c r="DN69" s="69">
        <v>1.2149127999999999E-3</v>
      </c>
      <c r="DO69" s="69">
        <v>1.1897652E-3</v>
      </c>
      <c r="DP69" s="69">
        <v>1.1651376999999999E-3</v>
      </c>
      <c r="DQ69" s="69">
        <v>1.1410197999999999E-3</v>
      </c>
      <c r="DR69" s="69">
        <v>1.1174007E-3</v>
      </c>
      <c r="DS69" s="69">
        <v>1.0942702999999999E-3</v>
      </c>
      <c r="DT69" s="69">
        <v>1.0716184E-3</v>
      </c>
      <c r="DU69" s="69">
        <v>1.0494351000000001E-3</v>
      </c>
      <c r="DV69" s="69">
        <v>1.0277108999999999E-3</v>
      </c>
      <c r="DW69" s="69">
        <v>1.0064360000000001E-3</v>
      </c>
      <c r="DX69" s="69">
        <v>9.8560139999999993E-4</v>
      </c>
      <c r="DY69" s="69">
        <v>9.6519780000000005E-4</v>
      </c>
      <c r="DZ69" s="69">
        <v>9.4521649999999998E-4</v>
      </c>
      <c r="EA69" s="69">
        <v>9.2564850000000001E-4</v>
      </c>
      <c r="EB69" s="69">
        <v>9.0648550000000001E-4</v>
      </c>
      <c r="EC69" s="69">
        <v>8.8771900000000003E-4</v>
      </c>
      <c r="ED69" s="69">
        <v>8.693409E-4</v>
      </c>
      <c r="EE69" s="69">
        <v>8.5134299999999996E-4</v>
      </c>
      <c r="EF69" s="69">
        <v>8.3371759999999997E-4</v>
      </c>
      <c r="EG69" s="69">
        <v>8.1645700000000003E-4</v>
      </c>
      <c r="EH69" s="69">
        <v>7.995535E-4</v>
      </c>
      <c r="EI69" s="69">
        <v>7.8299990000000002E-4</v>
      </c>
      <c r="EJ69" s="69">
        <v>7.6678879999999997E-4</v>
      </c>
      <c r="EK69" s="69">
        <v>7.5091329999999997E-4</v>
      </c>
      <c r="EL69" s="69">
        <v>7.3536629999999999E-4</v>
      </c>
      <c r="EM69" s="69">
        <v>7.2014110000000002E-4</v>
      </c>
      <c r="EN69" s="69">
        <v>7.0523099999999996E-4</v>
      </c>
      <c r="EO69" s="69">
        <v>6.9062940000000003E-4</v>
      </c>
      <c r="EP69" s="69">
        <v>6.7633009999999998E-4</v>
      </c>
      <c r="EQ69" s="69">
        <v>6.6232680000000003E-4</v>
      </c>
      <c r="ER69" s="69">
        <v>6.4861330000000003E-4</v>
      </c>
      <c r="ES69" s="69">
        <v>6.3518370000000002E-4</v>
      </c>
      <c r="ET69" s="69">
        <v>6.2203200000000001E-4</v>
      </c>
      <c r="EU69" s="69">
        <v>6.0915250000000002E-4</v>
      </c>
      <c r="EV69" s="69">
        <v>5.9653970000000001E-4</v>
      </c>
      <c r="EW69" s="69">
        <v>5.8418789999999999E-4</v>
      </c>
      <c r="EX69" s="69">
        <v>5.720918E-4</v>
      </c>
      <c r="EY69" s="69">
        <v>5.6024609999999996E-4</v>
      </c>
      <c r="EZ69" s="69">
        <v>5.4864560000000004E-4</v>
      </c>
      <c r="FA69" s="69">
        <v>5.3728520000000004E-4</v>
      </c>
      <c r="FB69" s="69">
        <v>5.2616000000000002E-4</v>
      </c>
      <c r="FC69" s="69">
        <v>5.1526510000000003E-4</v>
      </c>
      <c r="FD69" s="69">
        <v>5.0459569999999996E-4</v>
      </c>
      <c r="FE69" s="69">
        <v>4.941473E-4</v>
      </c>
      <c r="FF69" s="69">
        <v>4.839151E-4</v>
      </c>
      <c r="FG69" s="69">
        <v>4.7389470000000001E-4</v>
      </c>
      <c r="FH69" s="69">
        <v>4.6408179999999998E-4</v>
      </c>
      <c r="FI69" s="69">
        <v>4.5447199999999998E-4</v>
      </c>
      <c r="FJ69" s="69">
        <v>4.4506119999999997E-4</v>
      </c>
      <c r="FK69" s="69">
        <v>4.3584519999999999E-4</v>
      </c>
      <c r="FL69" s="69">
        <v>4.2682000000000001E-4</v>
      </c>
      <c r="FM69" s="69">
        <v>4.1798159999999998E-4</v>
      </c>
      <c r="FN69" s="69">
        <v>4.0932620000000002E-4</v>
      </c>
      <c r="FO69" s="69">
        <v>4.0085009999999999E-4</v>
      </c>
      <c r="FP69" s="69">
        <v>3.9254939999999999E-4</v>
      </c>
      <c r="FQ69" s="69">
        <v>3.8442050000000002E-4</v>
      </c>
    </row>
    <row r="70" spans="1:173" x14ac:dyDescent="0.25">
      <c r="A70" s="71">
        <v>68</v>
      </c>
      <c r="B70" s="69">
        <v>1.4929640500000001E-2</v>
      </c>
      <c r="C70" s="69">
        <v>1.4636184700000001E-2</v>
      </c>
      <c r="D70" s="69">
        <v>1.43474742E-2</v>
      </c>
      <c r="E70" s="69">
        <v>1.40635194E-2</v>
      </c>
      <c r="F70" s="69">
        <v>1.37843216E-2</v>
      </c>
      <c r="G70" s="69">
        <v>1.3509874200000001E-2</v>
      </c>
      <c r="H70" s="69">
        <v>1.32401632E-2</v>
      </c>
      <c r="I70" s="69">
        <v>1.29751681E-2</v>
      </c>
      <c r="J70" s="69">
        <v>1.27148626E-2</v>
      </c>
      <c r="K70" s="69">
        <v>1.24592149E-2</v>
      </c>
      <c r="L70" s="69">
        <v>1.22081889E-2</v>
      </c>
      <c r="M70" s="69">
        <v>1.1961744200000001E-2</v>
      </c>
      <c r="N70" s="69">
        <v>1.17198366E-2</v>
      </c>
      <c r="O70" s="69">
        <v>1.1482418899999999E-2</v>
      </c>
      <c r="P70" s="69">
        <v>1.1249440899999999E-2</v>
      </c>
      <c r="Q70" s="69">
        <v>1.10208501E-2</v>
      </c>
      <c r="R70" s="69">
        <v>1.07965918E-2</v>
      </c>
      <c r="S70" s="69">
        <v>1.0576609400000001E-2</v>
      </c>
      <c r="T70" s="69">
        <v>1.0360844899999999E-2</v>
      </c>
      <c r="U70" s="69">
        <v>1.01492389E-2</v>
      </c>
      <c r="V70" s="69">
        <v>9.9417311000000001E-3</v>
      </c>
      <c r="W70" s="69">
        <v>9.7382601999999995E-3</v>
      </c>
      <c r="X70" s="69">
        <v>9.5387642000000009E-3</v>
      </c>
      <c r="Y70" s="69">
        <v>9.3431807999999998E-3</v>
      </c>
      <c r="Z70" s="69">
        <v>9.1514471999999993E-3</v>
      </c>
      <c r="AA70" s="69">
        <v>8.9635005000000007E-3</v>
      </c>
      <c r="AB70" s="69">
        <v>8.7792776999999992E-3</v>
      </c>
      <c r="AC70" s="69">
        <v>8.5987158000000001E-3</v>
      </c>
      <c r="AD70" s="69">
        <v>8.4217518999999998E-3</v>
      </c>
      <c r="AE70" s="69">
        <v>8.2483235999999995E-3</v>
      </c>
      <c r="AF70" s="69">
        <v>8.0783686E-3</v>
      </c>
      <c r="AG70" s="69">
        <v>7.9118250000000008E-3</v>
      </c>
      <c r="AH70" s="69">
        <v>7.7486313999999999E-3</v>
      </c>
      <c r="AI70" s="69">
        <v>7.5887269000000004E-3</v>
      </c>
      <c r="AJ70" s="69">
        <v>7.4320512000000004E-3</v>
      </c>
      <c r="AK70" s="69">
        <v>7.2785445999999998E-3</v>
      </c>
      <c r="AL70" s="69">
        <v>7.1281481000000004E-3</v>
      </c>
      <c r="AM70" s="69">
        <v>6.9808033000000004E-3</v>
      </c>
      <c r="AN70" s="69">
        <v>6.8364523999999999E-3</v>
      </c>
      <c r="AO70" s="69">
        <v>6.6950387000000002E-3</v>
      </c>
      <c r="AP70" s="69">
        <v>6.5565060000000001E-3</v>
      </c>
      <c r="AQ70" s="69">
        <v>6.4207989E-3</v>
      </c>
      <c r="AR70" s="69">
        <v>6.2878628999999998E-3</v>
      </c>
      <c r="AS70" s="69">
        <v>6.1576440999999999E-3</v>
      </c>
      <c r="AT70" s="69">
        <v>6.0300896E-3</v>
      </c>
      <c r="AU70" s="69">
        <v>5.9051473999999996E-3</v>
      </c>
      <c r="AV70" s="69">
        <v>5.7827661000000004E-3</v>
      </c>
      <c r="AW70" s="69">
        <v>5.6628952000000003E-3</v>
      </c>
      <c r="AX70" s="69">
        <v>5.5454852000000002E-3</v>
      </c>
      <c r="AY70" s="69">
        <v>5.4304873E-3</v>
      </c>
      <c r="AZ70" s="69">
        <v>5.3178534000000001E-3</v>
      </c>
      <c r="BA70" s="69">
        <v>5.2075365000000002E-3</v>
      </c>
      <c r="BB70" s="69">
        <v>5.0994902999999996E-3</v>
      </c>
      <c r="BC70" s="69">
        <v>4.9936692000000001E-3</v>
      </c>
      <c r="BD70" s="69">
        <v>4.8900287000000001E-3</v>
      </c>
      <c r="BE70" s="69">
        <v>4.7885248E-3</v>
      </c>
      <c r="BF70" s="69">
        <v>4.6891145E-3</v>
      </c>
      <c r="BG70" s="69">
        <v>4.5917555000000001E-3</v>
      </c>
      <c r="BH70" s="69">
        <v>4.4964063999999998E-3</v>
      </c>
      <c r="BI70" s="69">
        <v>4.4030264000000001E-3</v>
      </c>
      <c r="BJ70" s="69">
        <v>4.3115756E-3</v>
      </c>
      <c r="BK70" s="69">
        <v>4.2220147999999999E-3</v>
      </c>
      <c r="BL70" s="69">
        <v>4.1343055999999998E-3</v>
      </c>
      <c r="BM70" s="69">
        <v>4.0484103000000002E-3</v>
      </c>
      <c r="BN70" s="69">
        <v>3.9642918999999999E-3</v>
      </c>
      <c r="BO70" s="69">
        <v>3.8819140999999998E-3</v>
      </c>
      <c r="BP70" s="69">
        <v>3.8012413E-3</v>
      </c>
      <c r="BQ70" s="69">
        <v>3.7222387999999999E-3</v>
      </c>
      <c r="BR70" s="69">
        <v>3.6448724000000001E-3</v>
      </c>
      <c r="BS70" s="69">
        <v>3.5691083999999998E-3</v>
      </c>
      <c r="BT70" s="69">
        <v>3.4949141E-3</v>
      </c>
      <c r="BU70" s="69">
        <v>3.4222572999999998E-3</v>
      </c>
      <c r="BV70" s="69">
        <v>3.3511064000000001E-3</v>
      </c>
      <c r="BW70" s="69">
        <v>3.2814303999999998E-3</v>
      </c>
      <c r="BX70" s="69">
        <v>3.2131991E-3</v>
      </c>
      <c r="BY70" s="69">
        <v>3.1463827999999999E-3</v>
      </c>
      <c r="BZ70" s="69">
        <v>3.0809523000000002E-3</v>
      </c>
      <c r="CA70" s="69">
        <v>3.0168791000000001E-3</v>
      </c>
      <c r="CB70" s="69">
        <v>2.9541352000000002E-3</v>
      </c>
      <c r="CC70" s="69">
        <v>2.8926932000000001E-3</v>
      </c>
      <c r="CD70" s="69">
        <v>2.8325262999999998E-3</v>
      </c>
      <c r="CE70" s="69">
        <v>2.7736083E-3</v>
      </c>
      <c r="CF70" s="69">
        <v>2.7159132E-3</v>
      </c>
      <c r="CG70" s="69">
        <v>2.6594158999999999E-3</v>
      </c>
      <c r="CH70" s="69">
        <v>2.6040917E-3</v>
      </c>
      <c r="CI70" s="69">
        <v>2.5499161999999998E-3</v>
      </c>
      <c r="CJ70" s="69">
        <v>2.4968657999999999E-3</v>
      </c>
      <c r="CK70" s="69">
        <v>2.4449172000000001E-3</v>
      </c>
      <c r="CL70" s="69">
        <v>2.3940477000000001E-3</v>
      </c>
      <c r="CM70" s="69">
        <v>2.3442348E-3</v>
      </c>
      <c r="CN70" s="69">
        <v>2.2954567999999998E-3</v>
      </c>
      <c r="CO70" s="69">
        <v>2.2476923E-3</v>
      </c>
      <c r="CP70" s="69">
        <v>2.2009201999999999E-3</v>
      </c>
      <c r="CQ70" s="69">
        <v>2.15512E-3</v>
      </c>
      <c r="CR70" s="69">
        <v>2.1102716000000001E-3</v>
      </c>
      <c r="CS70" s="69">
        <v>2.0663551999999998E-3</v>
      </c>
      <c r="CT70" s="69">
        <v>2.0233515999999998E-3</v>
      </c>
      <c r="CU70" s="69">
        <v>1.9812419000000002E-3</v>
      </c>
      <c r="CV70" s="69">
        <v>1.9400075000000001E-3</v>
      </c>
      <c r="CW70" s="69">
        <v>1.8996302999999999E-3</v>
      </c>
      <c r="CX70" s="69">
        <v>1.8600925E-3</v>
      </c>
      <c r="CY70" s="69">
        <v>1.8213767E-3</v>
      </c>
      <c r="CZ70" s="69">
        <v>1.7834659E-3</v>
      </c>
      <c r="DA70" s="69">
        <v>1.7463432999999999E-3</v>
      </c>
      <c r="DB70" s="69">
        <v>1.7099926E-3</v>
      </c>
      <c r="DC70" s="69">
        <v>1.6743979000000001E-3</v>
      </c>
      <c r="DD70" s="69">
        <v>1.6395434E-3</v>
      </c>
      <c r="DE70" s="69">
        <v>1.6054137E-3</v>
      </c>
      <c r="DF70" s="69">
        <v>1.5719938999999999E-3</v>
      </c>
      <c r="DG70" s="69">
        <v>1.5392691E-3</v>
      </c>
      <c r="DH70" s="69">
        <v>1.5072251000000001E-3</v>
      </c>
      <c r="DI70" s="69">
        <v>1.4758474999999999E-3</v>
      </c>
      <c r="DJ70" s="69">
        <v>1.4451226000000001E-3</v>
      </c>
      <c r="DK70" s="69">
        <v>1.4150369E-3</v>
      </c>
      <c r="DL70" s="69">
        <v>1.385577E-3</v>
      </c>
      <c r="DM70" s="69">
        <v>1.35673E-3</v>
      </c>
      <c r="DN70" s="69">
        <v>1.3284830999999999E-3</v>
      </c>
      <c r="DO70" s="69">
        <v>1.3008239000000001E-3</v>
      </c>
      <c r="DP70" s="69">
        <v>1.2737402000000001E-3</v>
      </c>
      <c r="DQ70" s="69">
        <v>1.2472200000000001E-3</v>
      </c>
      <c r="DR70" s="69">
        <v>1.2212516E-3</v>
      </c>
      <c r="DS70" s="69">
        <v>1.1958234999999999E-3</v>
      </c>
      <c r="DT70" s="69">
        <v>1.1709246E-3</v>
      </c>
      <c r="DU70" s="69">
        <v>1.1465437000000001E-3</v>
      </c>
      <c r="DV70" s="69">
        <v>1.1226701999999999E-3</v>
      </c>
      <c r="DW70" s="69">
        <v>1.0992935000000001E-3</v>
      </c>
      <c r="DX70" s="69">
        <v>1.0764033E-3</v>
      </c>
      <c r="DY70" s="69">
        <v>1.0539894999999999E-3</v>
      </c>
      <c r="DZ70" s="69">
        <v>1.0320421E-3</v>
      </c>
      <c r="EA70" s="69">
        <v>1.0105514999999999E-3</v>
      </c>
      <c r="EB70" s="69">
        <v>9.8950819999999991E-4</v>
      </c>
      <c r="EC70" s="69">
        <v>9.6890279999999995E-4</v>
      </c>
      <c r="ED70" s="69">
        <v>9.4872629999999999E-4</v>
      </c>
      <c r="EE70" s="69">
        <v>9.2896980000000003E-4</v>
      </c>
      <c r="EF70" s="69">
        <v>9.0962439999999996E-4</v>
      </c>
      <c r="EG70" s="69">
        <v>8.9068179999999999E-4</v>
      </c>
      <c r="EH70" s="69">
        <v>8.7213340000000001E-4</v>
      </c>
      <c r="EI70" s="69">
        <v>8.5397119999999999E-4</v>
      </c>
      <c r="EJ70" s="69">
        <v>8.3618699999999995E-4</v>
      </c>
      <c r="EK70" s="69">
        <v>8.1877299999999996E-4</v>
      </c>
      <c r="EL70" s="69">
        <v>8.0172149999999998E-4</v>
      </c>
      <c r="EM70" s="69">
        <v>7.8502499999999996E-4</v>
      </c>
      <c r="EN70" s="69">
        <v>7.6867609999999996E-4</v>
      </c>
      <c r="EO70" s="69">
        <v>7.526675E-4</v>
      </c>
      <c r="EP70" s="69">
        <v>7.3699219999999997E-4</v>
      </c>
      <c r="EQ70" s="69">
        <v>7.2164319999999996E-4</v>
      </c>
      <c r="ER70" s="69">
        <v>7.0661379999999998E-4</v>
      </c>
      <c r="ES70" s="69">
        <v>6.9189719999999998E-4</v>
      </c>
      <c r="ET70" s="69">
        <v>6.7748709999999998E-4</v>
      </c>
      <c r="EU70" s="69">
        <v>6.6337700000000004E-4</v>
      </c>
      <c r="EV70" s="69">
        <v>6.4956059999999997E-4</v>
      </c>
      <c r="EW70" s="69">
        <v>6.3603200000000003E-4</v>
      </c>
      <c r="EX70" s="69">
        <v>6.2278500000000005E-4</v>
      </c>
      <c r="EY70" s="69">
        <v>6.0981380000000001E-4</v>
      </c>
      <c r="EZ70" s="69">
        <v>5.9711270000000003E-4</v>
      </c>
      <c r="FA70" s="69">
        <v>5.8467600000000001E-4</v>
      </c>
      <c r="FB70" s="69">
        <v>5.7249829999999995E-4</v>
      </c>
      <c r="FC70" s="69">
        <v>5.6057419999999995E-4</v>
      </c>
      <c r="FD70" s="69">
        <v>5.4889839999999995E-4</v>
      </c>
      <c r="FE70" s="69">
        <v>5.3746570000000001E-4</v>
      </c>
      <c r="FF70" s="69">
        <v>5.2627100000000003E-4</v>
      </c>
      <c r="FG70" s="69">
        <v>5.1530949999999999E-4</v>
      </c>
      <c r="FH70" s="69">
        <v>5.0457620000000003E-4</v>
      </c>
      <c r="FI70" s="69">
        <v>4.9406639999999996E-4</v>
      </c>
      <c r="FJ70" s="69">
        <v>4.8377549999999999E-4</v>
      </c>
      <c r="FK70" s="69">
        <v>4.7369879999999999E-4</v>
      </c>
      <c r="FL70" s="69">
        <v>4.6383209999999999E-4</v>
      </c>
      <c r="FM70" s="69">
        <v>4.5417070000000002E-4</v>
      </c>
      <c r="FN70" s="69">
        <v>4.447106E-4</v>
      </c>
      <c r="FO70" s="69">
        <v>4.354475E-4</v>
      </c>
      <c r="FP70" s="69">
        <v>4.2637730000000002E-4</v>
      </c>
      <c r="FQ70" s="69">
        <v>4.1749590000000002E-4</v>
      </c>
    </row>
    <row r="71" spans="1:173" x14ac:dyDescent="0.25">
      <c r="A71" s="71">
        <v>69</v>
      </c>
      <c r="B71" s="69">
        <v>1.6438051799999999E-2</v>
      </c>
      <c r="C71" s="69">
        <v>1.6123409799999999E-2</v>
      </c>
      <c r="D71" s="69">
        <v>1.5812995400000002E-2</v>
      </c>
      <c r="E71" s="69">
        <v>1.55069087E-2</v>
      </c>
      <c r="F71" s="69">
        <v>1.52052334E-2</v>
      </c>
      <c r="G71" s="69">
        <v>1.49080372E-2</v>
      </c>
      <c r="H71" s="69">
        <v>1.4615373799999999E-2</v>
      </c>
      <c r="I71" s="69">
        <v>1.43272842E-2</v>
      </c>
      <c r="J71" s="69">
        <v>1.40437976E-2</v>
      </c>
      <c r="K71" s="69">
        <v>1.3764932400000001E-2</v>
      </c>
      <c r="L71" s="69">
        <v>1.34906976E-2</v>
      </c>
      <c r="M71" s="69">
        <v>1.3221093600000001E-2</v>
      </c>
      <c r="N71" s="69">
        <v>1.2956112699999999E-2</v>
      </c>
      <c r="O71" s="69">
        <v>1.2695740400000001E-2</v>
      </c>
      <c r="P71" s="69">
        <v>1.2439955799999999E-2</v>
      </c>
      <c r="Q71" s="69">
        <v>1.21887322E-2</v>
      </c>
      <c r="R71" s="69">
        <v>1.1942038E-2</v>
      </c>
      <c r="S71" s="69">
        <v>1.1699837100000001E-2</v>
      </c>
      <c r="T71" s="69">
        <v>1.14620894E-2</v>
      </c>
      <c r="U71" s="69">
        <v>1.12287511E-2</v>
      </c>
      <c r="V71" s="69">
        <v>1.09997755E-2</v>
      </c>
      <c r="W71" s="69">
        <v>1.0775113100000001E-2</v>
      </c>
      <c r="X71" s="69">
        <v>1.0554712000000001E-2</v>
      </c>
      <c r="Y71" s="69">
        <v>1.0338518499999999E-2</v>
      </c>
      <c r="Z71" s="69">
        <v>1.0126476800000001E-2</v>
      </c>
      <c r="AA71" s="69">
        <v>9.9185299000000005E-3</v>
      </c>
      <c r="AB71" s="69">
        <v>9.7146194000000009E-3</v>
      </c>
      <c r="AC71" s="69">
        <v>9.5146862000000006E-3</v>
      </c>
      <c r="AD71" s="69">
        <v>9.3186699999999994E-3</v>
      </c>
      <c r="AE71" s="69">
        <v>9.1265102000000001E-3</v>
      </c>
      <c r="AF71" s="69">
        <v>8.9381456000000008E-3</v>
      </c>
      <c r="AG71" s="69">
        <v>8.7535146999999994E-3</v>
      </c>
      <c r="AH71" s="69">
        <v>8.5725559000000007E-3</v>
      </c>
      <c r="AI71" s="69">
        <v>8.3952074999999998E-3</v>
      </c>
      <c r="AJ71" s="69">
        <v>8.2214078999999999E-3</v>
      </c>
      <c r="AK71" s="69">
        <v>8.0510957000000001E-3</v>
      </c>
      <c r="AL71" s="69">
        <v>7.8842096000000007E-3</v>
      </c>
      <c r="AM71" s="69">
        <v>7.7206888999999997E-3</v>
      </c>
      <c r="AN71" s="69">
        <v>7.5604729000000002E-3</v>
      </c>
      <c r="AO71" s="69">
        <v>7.4035018999999997E-3</v>
      </c>
      <c r="AP71" s="69">
        <v>7.2497163000000003E-3</v>
      </c>
      <c r="AQ71" s="69">
        <v>7.0990571000000002E-3</v>
      </c>
      <c r="AR71" s="69">
        <v>6.9514662E-3</v>
      </c>
      <c r="AS71" s="69">
        <v>6.8068859000000002E-3</v>
      </c>
      <c r="AT71" s="69">
        <v>6.6652591999999998E-3</v>
      </c>
      <c r="AU71" s="69">
        <v>6.5265297999999999E-3</v>
      </c>
      <c r="AV71" s="69">
        <v>6.3906424000000003E-3</v>
      </c>
      <c r="AW71" s="69">
        <v>6.2575421000000001E-3</v>
      </c>
      <c r="AX71" s="69">
        <v>6.1271750000000003E-3</v>
      </c>
      <c r="AY71" s="69">
        <v>5.9994879000000003E-3</v>
      </c>
      <c r="AZ71" s="69">
        <v>5.8744282999999998E-3</v>
      </c>
      <c r="BA71" s="69">
        <v>5.7519448000000004E-3</v>
      </c>
      <c r="BB71" s="69">
        <v>5.6319865E-3</v>
      </c>
      <c r="BC71" s="69">
        <v>5.5145035000000002E-3</v>
      </c>
      <c r="BD71" s="69">
        <v>5.3994467000000003E-3</v>
      </c>
      <c r="BE71" s="69">
        <v>5.2867677000000002E-3</v>
      </c>
      <c r="BF71" s="69">
        <v>5.1764191000000003E-3</v>
      </c>
      <c r="BG71" s="69">
        <v>5.0683541000000002E-3</v>
      </c>
      <c r="BH71" s="69">
        <v>4.9625270000000004E-3</v>
      </c>
      <c r="BI71" s="69">
        <v>4.8588926999999999E-3</v>
      </c>
      <c r="BJ71" s="69">
        <v>4.757407E-3</v>
      </c>
      <c r="BK71" s="69">
        <v>4.6580262999999997E-3</v>
      </c>
      <c r="BL71" s="69">
        <v>4.5607080999999997E-3</v>
      </c>
      <c r="BM71" s="69">
        <v>4.4654105999999997E-3</v>
      </c>
      <c r="BN71" s="69">
        <v>4.3720926000000004E-3</v>
      </c>
      <c r="BO71" s="69">
        <v>4.2807137999999996E-3</v>
      </c>
      <c r="BP71" s="69">
        <v>4.1912345999999996E-3</v>
      </c>
      <c r="BQ71" s="69">
        <v>4.1036162999999997E-3</v>
      </c>
      <c r="BR71" s="69">
        <v>4.0178208999999999E-3</v>
      </c>
      <c r="BS71" s="69">
        <v>3.9338109000000001E-3</v>
      </c>
      <c r="BT71" s="69">
        <v>3.8515498E-3</v>
      </c>
      <c r="BU71" s="69">
        <v>3.7710016000000002E-3</v>
      </c>
      <c r="BV71" s="69">
        <v>3.6921312E-3</v>
      </c>
      <c r="BW71" s="69">
        <v>3.6149041E-3</v>
      </c>
      <c r="BX71" s="69">
        <v>3.5392864000000001E-3</v>
      </c>
      <c r="BY71" s="69">
        <v>3.4652449E-3</v>
      </c>
      <c r="BZ71" s="69">
        <v>3.3927472999999999E-3</v>
      </c>
      <c r="CA71" s="69">
        <v>3.3217615000000001E-3</v>
      </c>
      <c r="CB71" s="69">
        <v>3.2522562999999999E-3</v>
      </c>
      <c r="CC71" s="69">
        <v>3.1842012999999999E-3</v>
      </c>
      <c r="CD71" s="69">
        <v>3.1175663000000001E-3</v>
      </c>
      <c r="CE71" s="69">
        <v>3.0523220000000001E-3</v>
      </c>
      <c r="CF71" s="69">
        <v>2.9884396000000001E-3</v>
      </c>
      <c r="CG71" s="69">
        <v>2.9258908999999999E-3</v>
      </c>
      <c r="CH71" s="69">
        <v>2.8646482000000001E-3</v>
      </c>
      <c r="CI71" s="69">
        <v>2.8046844000000001E-3</v>
      </c>
      <c r="CJ71" s="69">
        <v>2.7459730000000001E-3</v>
      </c>
      <c r="CK71" s="69">
        <v>2.6884881000000002E-3</v>
      </c>
      <c r="CL71" s="69">
        <v>2.6322041E-3</v>
      </c>
      <c r="CM71" s="69">
        <v>2.5770960000000001E-3</v>
      </c>
      <c r="CN71" s="69">
        <v>2.5231396E-3</v>
      </c>
      <c r="CO71" s="69">
        <v>2.4703107000000001E-3</v>
      </c>
      <c r="CP71" s="69">
        <v>2.4185859999999999E-3</v>
      </c>
      <c r="CQ71" s="69">
        <v>2.3679424999999998E-3</v>
      </c>
      <c r="CR71" s="69">
        <v>2.3183576999999999E-3</v>
      </c>
      <c r="CS71" s="69">
        <v>2.2698095E-3</v>
      </c>
      <c r="CT71" s="69">
        <v>2.2222764000000002E-3</v>
      </c>
      <c r="CU71" s="69">
        <v>2.1757372000000001E-3</v>
      </c>
      <c r="CV71" s="69">
        <v>2.1301712999999998E-3</v>
      </c>
      <c r="CW71" s="69">
        <v>2.0855583E-3</v>
      </c>
      <c r="CX71" s="69">
        <v>2.0418784000000001E-3</v>
      </c>
      <c r="CY71" s="69">
        <v>1.9991122E-3</v>
      </c>
      <c r="CZ71" s="69">
        <v>1.9572405E-3</v>
      </c>
      <c r="DA71" s="69">
        <v>1.9162446999999999E-3</v>
      </c>
      <c r="DB71" s="69">
        <v>1.8761067E-3</v>
      </c>
      <c r="DC71" s="69">
        <v>1.8368084E-3</v>
      </c>
      <c r="DD71" s="69">
        <v>1.7983323E-3</v>
      </c>
      <c r="DE71" s="69">
        <v>1.7606614000000001E-3</v>
      </c>
      <c r="DF71" s="69">
        <v>1.7237787000000001E-3</v>
      </c>
      <c r="DG71" s="69">
        <v>1.6876679E-3</v>
      </c>
      <c r="DH71" s="69">
        <v>1.6523127E-3</v>
      </c>
      <c r="DI71" s="69">
        <v>1.6176976E-3</v>
      </c>
      <c r="DJ71" s="69">
        <v>1.5838069E-3</v>
      </c>
      <c r="DK71" s="69">
        <v>1.5506255999999999E-3</v>
      </c>
      <c r="DL71" s="69">
        <v>1.5181388000000001E-3</v>
      </c>
      <c r="DM71" s="69">
        <v>1.4863321E-3</v>
      </c>
      <c r="DN71" s="69">
        <v>1.4551912000000001E-3</v>
      </c>
      <c r="DO71" s="69">
        <v>1.4247022E-3</v>
      </c>
      <c r="DP71" s="69">
        <v>1.3948515000000001E-3</v>
      </c>
      <c r="DQ71" s="69">
        <v>1.3656257000000001E-3</v>
      </c>
      <c r="DR71" s="69">
        <v>1.3370119E-3</v>
      </c>
      <c r="DS71" s="69">
        <v>1.3089972E-3</v>
      </c>
      <c r="DT71" s="69">
        <v>1.281569E-3</v>
      </c>
      <c r="DU71" s="69">
        <v>1.2547151E-3</v>
      </c>
      <c r="DV71" s="69">
        <v>1.2284236E-3</v>
      </c>
      <c r="DW71" s="69">
        <v>1.2026826E-3</v>
      </c>
      <c r="DX71" s="69">
        <v>1.1774807000000001E-3</v>
      </c>
      <c r="DY71" s="69">
        <v>1.1528065000000001E-3</v>
      </c>
      <c r="DZ71" s="69">
        <v>1.1286491E-3</v>
      </c>
      <c r="EA71" s="69">
        <v>1.1049975000000001E-3</v>
      </c>
      <c r="EB71" s="69">
        <v>1.0818414E-3</v>
      </c>
      <c r="EC71" s="69">
        <v>1.0591702E-3</v>
      </c>
      <c r="ED71" s="69">
        <v>1.0369737999999999E-3</v>
      </c>
      <c r="EE71" s="69">
        <v>1.0152424000000001E-3</v>
      </c>
      <c r="EF71" s="69">
        <v>9.9396610000000002E-4</v>
      </c>
      <c r="EG71" s="69">
        <v>9.731354E-4</v>
      </c>
      <c r="EH71" s="69">
        <v>9.5274110000000004E-4</v>
      </c>
      <c r="EI71" s="69">
        <v>9.3277400000000004E-4</v>
      </c>
      <c r="EJ71" s="69">
        <v>9.132252E-4</v>
      </c>
      <c r="EK71" s="69">
        <v>8.9408589999999996E-4</v>
      </c>
      <c r="EL71" s="69">
        <v>8.7534750000000001E-4</v>
      </c>
      <c r="EM71" s="69">
        <v>8.5700160000000002E-4</v>
      </c>
      <c r="EN71" s="69">
        <v>8.3904010000000002E-4</v>
      </c>
      <c r="EO71" s="69">
        <v>8.2145489999999998E-4</v>
      </c>
      <c r="EP71" s="69">
        <v>8.0423799999999998E-4</v>
      </c>
      <c r="EQ71" s="69">
        <v>7.8738189999999996E-4</v>
      </c>
      <c r="ER71" s="69">
        <v>7.708789E-4</v>
      </c>
      <c r="ES71" s="69">
        <v>7.5472169999999999E-4</v>
      </c>
      <c r="ET71" s="69">
        <v>7.3890299999999996E-4</v>
      </c>
      <c r="EU71" s="69">
        <v>7.2341569999999995E-4</v>
      </c>
      <c r="EV71" s="69">
        <v>7.0825300000000005E-4</v>
      </c>
      <c r="EW71" s="69">
        <v>6.9340790000000003E-4</v>
      </c>
      <c r="EX71" s="69">
        <v>6.7887380000000003E-4</v>
      </c>
      <c r="EY71" s="69">
        <v>6.6464430000000004E-4</v>
      </c>
      <c r="EZ71" s="69">
        <v>6.5071300000000003E-4</v>
      </c>
      <c r="FA71" s="69">
        <v>6.3707360000000003E-4</v>
      </c>
      <c r="FB71" s="69">
        <v>6.2371989999999999E-4</v>
      </c>
      <c r="FC71" s="69">
        <v>6.1064609999999999E-4</v>
      </c>
      <c r="FD71" s="69">
        <v>5.9784620000000004E-4</v>
      </c>
      <c r="FE71" s="69">
        <v>5.8531459999999996E-4</v>
      </c>
      <c r="FF71" s="69">
        <v>5.7304559999999999E-4</v>
      </c>
      <c r="FG71" s="69">
        <v>5.6103360000000005E-4</v>
      </c>
      <c r="FH71" s="69">
        <v>5.492734E-4</v>
      </c>
      <c r="FI71" s="69">
        <v>5.3775969999999998E-4</v>
      </c>
      <c r="FJ71" s="69">
        <v>5.2648720000000003E-4</v>
      </c>
      <c r="FK71" s="69">
        <v>5.1545089999999996E-4</v>
      </c>
      <c r="FL71" s="69">
        <v>5.0464599999999998E-4</v>
      </c>
      <c r="FM71" s="69">
        <v>4.9406739999999997E-4</v>
      </c>
      <c r="FN71" s="69">
        <v>4.8371059999999998E-4</v>
      </c>
      <c r="FO71" s="69">
        <v>4.7357079999999998E-4</v>
      </c>
      <c r="FP71" s="69">
        <v>4.6364349999999997E-4</v>
      </c>
      <c r="FQ71" s="69">
        <v>4.5392430000000002E-4</v>
      </c>
    </row>
    <row r="72" spans="1:173" x14ac:dyDescent="0.25">
      <c r="A72" s="71">
        <v>70</v>
      </c>
      <c r="B72" s="69">
        <v>1.7970376499999999E-2</v>
      </c>
      <c r="C72" s="69">
        <v>1.7630168500000001E-2</v>
      </c>
      <c r="D72" s="69">
        <v>1.7293983200000002E-2</v>
      </c>
      <c r="E72" s="69">
        <v>1.6961988300000001E-2</v>
      </c>
      <c r="F72" s="69">
        <v>1.6634327899999999E-2</v>
      </c>
      <c r="G72" s="69">
        <v>1.6311125199999998E-2</v>
      </c>
      <c r="H72" s="69">
        <v>1.5992483700000001E-2</v>
      </c>
      <c r="I72" s="69">
        <v>1.5678488899999999E-2</v>
      </c>
      <c r="J72" s="69">
        <v>1.5369210499999999E-2</v>
      </c>
      <c r="K72" s="69">
        <v>1.5064703E-2</v>
      </c>
      <c r="L72" s="69">
        <v>1.4765007700000001E-2</v>
      </c>
      <c r="M72" s="69">
        <v>1.4470153499999999E-2</v>
      </c>
      <c r="N72" s="69">
        <v>1.4180158300000001E-2</v>
      </c>
      <c r="O72" s="69">
        <v>1.3895029999999999E-2</v>
      </c>
      <c r="P72" s="69">
        <v>1.36147674E-2</v>
      </c>
      <c r="Q72" s="69">
        <v>1.33393612E-2</v>
      </c>
      <c r="R72" s="69">
        <v>1.3068794599999999E-2</v>
      </c>
      <c r="S72" s="69">
        <v>1.2803044499999999E-2</v>
      </c>
      <c r="T72" s="69">
        <v>1.25420815E-2</v>
      </c>
      <c r="U72" s="69">
        <v>1.2285871199999999E-2</v>
      </c>
      <c r="V72" s="69">
        <v>1.20343746E-2</v>
      </c>
      <c r="W72" s="69">
        <v>1.17875484E-2</v>
      </c>
      <c r="X72" s="69">
        <v>1.15453456E-2</v>
      </c>
      <c r="Y72" s="69">
        <v>1.13077162E-2</v>
      </c>
      <c r="Z72" s="69">
        <v>1.10746071E-2</v>
      </c>
      <c r="AA72" s="69">
        <v>1.08459631E-2</v>
      </c>
      <c r="AB72" s="69">
        <v>1.06217267E-2</v>
      </c>
      <c r="AC72" s="69">
        <v>1.0401838599999999E-2</v>
      </c>
      <c r="AD72" s="69">
        <v>1.0186238199999999E-2</v>
      </c>
      <c r="AE72" s="69">
        <v>9.9748634000000006E-3</v>
      </c>
      <c r="AF72" s="69">
        <v>9.7676512999999993E-3</v>
      </c>
      <c r="AG72" s="69">
        <v>9.5645381000000005E-3</v>
      </c>
      <c r="AH72" s="69">
        <v>9.3654593000000001E-3</v>
      </c>
      <c r="AI72" s="69">
        <v>9.1703501999999999E-3</v>
      </c>
      <c r="AJ72" s="69">
        <v>8.9791455000000006E-3</v>
      </c>
      <c r="AK72" s="69">
        <v>8.7917802E-3</v>
      </c>
      <c r="AL72" s="69">
        <v>8.6081887999999995E-3</v>
      </c>
      <c r="AM72" s="69">
        <v>8.4283063000000005E-3</v>
      </c>
      <c r="AN72" s="69">
        <v>8.2520675999999994E-3</v>
      </c>
      <c r="AO72" s="69">
        <v>8.0794080999999993E-3</v>
      </c>
      <c r="AP72" s="69">
        <v>7.9102634000000008E-3</v>
      </c>
      <c r="AQ72" s="69">
        <v>7.7445698E-3</v>
      </c>
      <c r="AR72" s="69">
        <v>7.5822639000000004E-3</v>
      </c>
      <c r="AS72" s="69">
        <v>7.4232828999999997E-3</v>
      </c>
      <c r="AT72" s="69">
        <v>7.2675646999999996E-3</v>
      </c>
      <c r="AU72" s="69">
        <v>7.1150479000000001E-3</v>
      </c>
      <c r="AV72" s="69">
        <v>6.9656715999999999E-3</v>
      </c>
      <c r="AW72" s="69">
        <v>6.8193758000000002E-3</v>
      </c>
      <c r="AX72" s="69">
        <v>6.6761012000000003E-3</v>
      </c>
      <c r="AY72" s="69">
        <v>6.5357894999999999E-3</v>
      </c>
      <c r="AZ72" s="69">
        <v>6.3983827999999996E-3</v>
      </c>
      <c r="BA72" s="69">
        <v>6.2638245E-3</v>
      </c>
      <c r="BB72" s="69">
        <v>6.1320584000000003E-3</v>
      </c>
      <c r="BC72" s="69">
        <v>6.0030296000000002E-3</v>
      </c>
      <c r="BD72" s="69">
        <v>5.8766835999999999E-3</v>
      </c>
      <c r="BE72" s="69">
        <v>5.7529670999999999E-3</v>
      </c>
      <c r="BF72" s="69">
        <v>5.6318276E-3</v>
      </c>
      <c r="BG72" s="69">
        <v>5.5132133999999996E-3</v>
      </c>
      <c r="BH72" s="69">
        <v>5.3970737000000003E-3</v>
      </c>
      <c r="BI72" s="69">
        <v>5.2833587E-3</v>
      </c>
      <c r="BJ72" s="69">
        <v>5.1720192E-3</v>
      </c>
      <c r="BK72" s="69">
        <v>5.0630071999999996E-3</v>
      </c>
      <c r="BL72" s="69">
        <v>4.9562753000000001E-3</v>
      </c>
      <c r="BM72" s="69">
        <v>4.8517771000000003E-3</v>
      </c>
      <c r="BN72" s="69">
        <v>4.7494668999999998E-3</v>
      </c>
      <c r="BO72" s="69">
        <v>4.6493000999999999E-3</v>
      </c>
      <c r="BP72" s="69">
        <v>4.5512327000000003E-3</v>
      </c>
      <c r="BQ72" s="69">
        <v>4.4552215999999999E-3</v>
      </c>
      <c r="BR72" s="69">
        <v>4.3612245999999997E-3</v>
      </c>
      <c r="BS72" s="69">
        <v>4.2692001000000004E-3</v>
      </c>
      <c r="BT72" s="69">
        <v>4.1791075000000002E-3</v>
      </c>
      <c r="BU72" s="69">
        <v>4.0909068999999999E-3</v>
      </c>
      <c r="BV72" s="69">
        <v>4.0045591E-3</v>
      </c>
      <c r="BW72" s="69">
        <v>3.9200258999999996E-3</v>
      </c>
      <c r="BX72" s="69">
        <v>3.8372696000000001E-3</v>
      </c>
      <c r="BY72" s="69">
        <v>3.7562533999999999E-3</v>
      </c>
      <c r="BZ72" s="69">
        <v>3.6769411E-3</v>
      </c>
      <c r="CA72" s="69">
        <v>3.5992973000000001E-3</v>
      </c>
      <c r="CB72" s="69">
        <v>3.5232873E-3</v>
      </c>
      <c r="CC72" s="69">
        <v>3.4488771E-3</v>
      </c>
      <c r="CD72" s="69">
        <v>3.3760334000000002E-3</v>
      </c>
      <c r="CE72" s="69">
        <v>3.3047235E-3</v>
      </c>
      <c r="CF72" s="69">
        <v>3.2349153000000002E-3</v>
      </c>
      <c r="CG72" s="69">
        <v>3.1665776000000001E-3</v>
      </c>
      <c r="CH72" s="69">
        <v>3.0996795999999999E-3</v>
      </c>
      <c r="CI72" s="69">
        <v>3.0341912E-3</v>
      </c>
      <c r="CJ72" s="69">
        <v>2.9700830000000001E-3</v>
      </c>
      <c r="CK72" s="69">
        <v>2.907326E-3</v>
      </c>
      <c r="CL72" s="69">
        <v>2.845892E-3</v>
      </c>
      <c r="CM72" s="69">
        <v>2.7857532999999999E-3</v>
      </c>
      <c r="CN72" s="69">
        <v>2.7268826000000001E-3</v>
      </c>
      <c r="CO72" s="69">
        <v>2.6692535000000001E-3</v>
      </c>
      <c r="CP72" s="69">
        <v>2.6128398999999999E-3</v>
      </c>
      <c r="CQ72" s="69">
        <v>2.5576163000000001E-3</v>
      </c>
      <c r="CR72" s="69">
        <v>2.5035576999999998E-3</v>
      </c>
      <c r="CS72" s="69">
        <v>2.4506396999999999E-3</v>
      </c>
      <c r="CT72" s="69">
        <v>2.3988383E-3</v>
      </c>
      <c r="CU72" s="69">
        <v>2.3481301E-3</v>
      </c>
      <c r="CV72" s="69">
        <v>2.2984920000000001E-3</v>
      </c>
      <c r="CW72" s="69">
        <v>2.2499017000000001E-3</v>
      </c>
      <c r="CX72" s="69">
        <v>2.202337E-3</v>
      </c>
      <c r="CY72" s="69">
        <v>2.1557764E-3</v>
      </c>
      <c r="CZ72" s="69">
        <v>2.1101988E-3</v>
      </c>
      <c r="DA72" s="69">
        <v>2.0655833999999999E-3</v>
      </c>
      <c r="DB72" s="69">
        <v>2.0219102000000001E-3</v>
      </c>
      <c r="DC72" s="69">
        <v>1.9791590999999999E-3</v>
      </c>
      <c r="DD72" s="69">
        <v>1.9373108999999999E-3</v>
      </c>
      <c r="DE72" s="69">
        <v>1.8963464000000001E-3</v>
      </c>
      <c r="DF72" s="69">
        <v>1.8562472E-3</v>
      </c>
      <c r="DG72" s="69">
        <v>1.8169949E-3</v>
      </c>
      <c r="DH72" s="69">
        <v>1.7785717999999999E-3</v>
      </c>
      <c r="DI72" s="69">
        <v>1.7409603E-3</v>
      </c>
      <c r="DJ72" s="69">
        <v>1.7041433000000001E-3</v>
      </c>
      <c r="DK72" s="69">
        <v>1.6681042E-3</v>
      </c>
      <c r="DL72" s="69">
        <v>1.6328264999999999E-3</v>
      </c>
      <c r="DM72" s="69">
        <v>1.5982940999999999E-3</v>
      </c>
      <c r="DN72" s="69">
        <v>1.5644914E-3</v>
      </c>
      <c r="DO72" s="69">
        <v>1.5314028999999999E-3</v>
      </c>
      <c r="DP72" s="69">
        <v>1.4990137E-3</v>
      </c>
      <c r="DQ72" s="69">
        <v>1.4673088999999999E-3</v>
      </c>
      <c r="DR72" s="69">
        <v>1.4362741E-3</v>
      </c>
      <c r="DS72" s="69">
        <v>1.4058952E-3</v>
      </c>
      <c r="DT72" s="69">
        <v>1.3761584000000001E-3</v>
      </c>
      <c r="DU72" s="69">
        <v>1.3470501000000001E-3</v>
      </c>
      <c r="DV72" s="69">
        <v>1.3185569999999999E-3</v>
      </c>
      <c r="DW72" s="69">
        <v>1.2906662000000001E-3</v>
      </c>
      <c r="DX72" s="69">
        <v>1.2633649E-3</v>
      </c>
      <c r="DY72" s="69">
        <v>1.2366407E-3</v>
      </c>
      <c r="DZ72" s="69">
        <v>1.2104813999999999E-3</v>
      </c>
      <c r="EA72" s="69">
        <v>1.1848752E-3</v>
      </c>
      <c r="EB72" s="69">
        <v>1.1598102999999999E-3</v>
      </c>
      <c r="EC72" s="69">
        <v>1.1352751999999999E-3</v>
      </c>
      <c r="ED72" s="69">
        <v>1.1112589E-3</v>
      </c>
      <c r="EE72" s="69">
        <v>1.0877504000000001E-3</v>
      </c>
      <c r="EF72" s="69">
        <v>1.0647388E-3</v>
      </c>
      <c r="EG72" s="69">
        <v>1.0422139E-3</v>
      </c>
      <c r="EH72" s="69">
        <v>1.0201651E-3</v>
      </c>
      <c r="EI72" s="69">
        <v>9.9858260000000002E-4</v>
      </c>
      <c r="EJ72" s="69">
        <v>9.7745649999999998E-4</v>
      </c>
      <c r="EK72" s="69">
        <v>9.5677700000000002E-4</v>
      </c>
      <c r="EL72" s="69">
        <v>9.3653490000000002E-4</v>
      </c>
      <c r="EM72" s="69">
        <v>9.1672080000000005E-4</v>
      </c>
      <c r="EN72" s="69">
        <v>8.9732570000000005E-4</v>
      </c>
      <c r="EO72" s="69">
        <v>8.7834079999999997E-4</v>
      </c>
      <c r="EP72" s="69">
        <v>8.5975730000000005E-4</v>
      </c>
      <c r="EQ72" s="69">
        <v>8.4156689999999995E-4</v>
      </c>
      <c r="ER72" s="69">
        <v>8.2376110000000004E-4</v>
      </c>
      <c r="ES72" s="69">
        <v>8.0633199999999999E-4</v>
      </c>
      <c r="ET72" s="69">
        <v>7.8927139999999995E-4</v>
      </c>
      <c r="EU72" s="69">
        <v>7.7257170000000002E-4</v>
      </c>
      <c r="EV72" s="69">
        <v>7.5622519999999998E-4</v>
      </c>
      <c r="EW72" s="69">
        <v>7.4022439999999997E-4</v>
      </c>
      <c r="EX72" s="69">
        <v>7.2456199999999999E-4</v>
      </c>
      <c r="EY72" s="69">
        <v>7.0923090000000002E-4</v>
      </c>
      <c r="EZ72" s="69">
        <v>6.9422410000000005E-4</v>
      </c>
      <c r="FA72" s="69">
        <v>6.795347E-4</v>
      </c>
      <c r="FB72" s="69">
        <v>6.6515610000000001E-4</v>
      </c>
      <c r="FC72" s="69">
        <v>6.5108150000000003E-4</v>
      </c>
      <c r="FD72" s="69">
        <v>6.3730470000000002E-4</v>
      </c>
      <c r="FE72" s="69">
        <v>6.2381929999999995E-4</v>
      </c>
      <c r="FF72" s="69">
        <v>6.1061920000000003E-4</v>
      </c>
      <c r="FG72" s="69">
        <v>5.9769830000000002E-4</v>
      </c>
      <c r="FH72" s="69">
        <v>5.8505079999999999E-4</v>
      </c>
      <c r="FI72" s="69">
        <v>5.7267069999999997E-4</v>
      </c>
      <c r="FJ72" s="69">
        <v>5.6055259999999996E-4</v>
      </c>
      <c r="FK72" s="69">
        <v>5.4869089999999999E-4</v>
      </c>
      <c r="FL72" s="69">
        <v>5.3708E-4</v>
      </c>
      <c r="FM72" s="69">
        <v>5.2571479999999999E-4</v>
      </c>
      <c r="FN72" s="69">
        <v>5.1459010000000003E-4</v>
      </c>
      <c r="FO72" s="69">
        <v>5.0370069999999996E-4</v>
      </c>
      <c r="FP72" s="69">
        <v>4.9304160000000004E-4</v>
      </c>
      <c r="FQ72" s="69">
        <v>4.8260810000000002E-4</v>
      </c>
    </row>
    <row r="73" spans="1:173" x14ac:dyDescent="0.25">
      <c r="A73" s="71">
        <v>71</v>
      </c>
      <c r="B73" s="69">
        <v>1.9921847100000001E-2</v>
      </c>
      <c r="C73" s="69">
        <v>1.9570854200000001E-2</v>
      </c>
      <c r="D73" s="69">
        <v>1.9221963799999998E-2</v>
      </c>
      <c r="E73" s="69">
        <v>1.8875542200000001E-2</v>
      </c>
      <c r="F73" s="69">
        <v>1.8531917200000001E-2</v>
      </c>
      <c r="G73" s="69">
        <v>1.8191381100000001E-2</v>
      </c>
      <c r="H73" s="69">
        <v>1.7854193300000001E-2</v>
      </c>
      <c r="I73" s="69">
        <v>1.7520583100000001E-2</v>
      </c>
      <c r="J73" s="69">
        <v>1.7190752E-2</v>
      </c>
      <c r="K73" s="69">
        <v>1.6864875599999999E-2</v>
      </c>
      <c r="L73" s="69">
        <v>1.65431064E-2</v>
      </c>
      <c r="M73" s="69">
        <v>1.6225574999999999E-2</v>
      </c>
      <c r="N73" s="69">
        <v>1.5912392500000001E-2</v>
      </c>
      <c r="O73" s="69">
        <v>1.56036517E-2</v>
      </c>
      <c r="P73" s="69">
        <v>1.52994293E-2</v>
      </c>
      <c r="Q73" s="69">
        <v>1.4999786500000001E-2</v>
      </c>
      <c r="R73" s="69">
        <v>1.47047711E-2</v>
      </c>
      <c r="S73" s="69">
        <v>1.44144184E-2</v>
      </c>
      <c r="T73" s="69">
        <v>1.4128752499999999E-2</v>
      </c>
      <c r="U73" s="69">
        <v>1.3847787E-2</v>
      </c>
      <c r="V73" s="69">
        <v>1.35715265E-2</v>
      </c>
      <c r="W73" s="69">
        <v>1.3299967100000001E-2</v>
      </c>
      <c r="X73" s="69">
        <v>1.3033097400000001E-2</v>
      </c>
      <c r="Y73" s="69">
        <v>1.2770899299999999E-2</v>
      </c>
      <c r="Z73" s="69">
        <v>1.2513348299999999E-2</v>
      </c>
      <c r="AA73" s="69">
        <v>1.2260415E-2</v>
      </c>
      <c r="AB73" s="69">
        <v>1.20120648E-2</v>
      </c>
      <c r="AC73" s="69">
        <v>1.17682588E-2</v>
      </c>
      <c r="AD73" s="69">
        <v>1.15289543E-2</v>
      </c>
      <c r="AE73" s="69">
        <v>1.12941055E-2</v>
      </c>
      <c r="AF73" s="69">
        <v>1.10636633E-2</v>
      </c>
      <c r="AG73" s="69">
        <v>1.08375763E-2</v>
      </c>
      <c r="AH73" s="69">
        <v>1.0615790700000001E-2</v>
      </c>
      <c r="AI73" s="69">
        <v>1.0398250899999999E-2</v>
      </c>
      <c r="AJ73" s="69">
        <v>1.01848995E-2</v>
      </c>
      <c r="AK73" s="69">
        <v>9.9756780999999996E-3</v>
      </c>
      <c r="AL73" s="69">
        <v>9.7705268000000001E-3</v>
      </c>
      <c r="AM73" s="69">
        <v>9.5693850999999993E-3</v>
      </c>
      <c r="AN73" s="69">
        <v>9.3721914000000003E-3</v>
      </c>
      <c r="AO73" s="69">
        <v>9.1788839000000004E-3</v>
      </c>
      <c r="AP73" s="69">
        <v>8.9894003000000004E-3</v>
      </c>
      <c r="AQ73" s="69">
        <v>8.8036781999999997E-3</v>
      </c>
      <c r="AR73" s="69">
        <v>8.6216547999999997E-3</v>
      </c>
      <c r="AS73" s="69">
        <v>8.4432675000000006E-3</v>
      </c>
      <c r="AT73" s="69">
        <v>8.2684539000000001E-3</v>
      </c>
      <c r="AU73" s="69">
        <v>8.0971516999999993E-3</v>
      </c>
      <c r="AV73" s="69">
        <v>7.9292988999999994E-3</v>
      </c>
      <c r="AW73" s="69">
        <v>7.7648337999999999E-3</v>
      </c>
      <c r="AX73" s="69">
        <v>7.6036953999999999E-3</v>
      </c>
      <c r="AY73" s="69">
        <v>7.4458229999999999E-3</v>
      </c>
      <c r="AZ73" s="69">
        <v>7.2911564999999998E-3</v>
      </c>
      <c r="BA73" s="69">
        <v>7.1396363000000001E-3</v>
      </c>
      <c r="BB73" s="69">
        <v>6.9912035000000003E-3</v>
      </c>
      <c r="BC73" s="69">
        <v>6.8458000999999996E-3</v>
      </c>
      <c r="BD73" s="69">
        <v>6.7033685999999997E-3</v>
      </c>
      <c r="BE73" s="69">
        <v>6.5638520999999998E-3</v>
      </c>
      <c r="BF73" s="69">
        <v>6.4271946999999996E-3</v>
      </c>
      <c r="BG73" s="69">
        <v>6.2933412000000001E-3</v>
      </c>
      <c r="BH73" s="69">
        <v>6.1622372000000002E-3</v>
      </c>
      <c r="BI73" s="69">
        <v>6.0338290000000001E-3</v>
      </c>
      <c r="BJ73" s="69">
        <v>5.9080638999999997E-3</v>
      </c>
      <c r="BK73" s="69">
        <v>5.78489E-3</v>
      </c>
      <c r="BL73" s="69">
        <v>5.6642558999999999E-3</v>
      </c>
      <c r="BM73" s="69">
        <v>5.5461115E-3</v>
      </c>
      <c r="BN73" s="69">
        <v>5.4304072999999996E-3</v>
      </c>
      <c r="BO73" s="69">
        <v>5.3170945999999998E-3</v>
      </c>
      <c r="BP73" s="69">
        <v>5.2061256E-3</v>
      </c>
      <c r="BQ73" s="69">
        <v>5.0974532999999997E-3</v>
      </c>
      <c r="BR73" s="69">
        <v>4.9910314999999997E-3</v>
      </c>
      <c r="BS73" s="69">
        <v>4.8868148999999996E-3</v>
      </c>
      <c r="BT73" s="69">
        <v>4.7847591E-3</v>
      </c>
      <c r="BU73" s="69">
        <v>4.6848202000000002E-3</v>
      </c>
      <c r="BV73" s="69">
        <v>4.5869554000000003E-3</v>
      </c>
      <c r="BW73" s="69">
        <v>4.4911224999999999E-3</v>
      </c>
      <c r="BX73" s="69">
        <v>4.3972802E-3</v>
      </c>
      <c r="BY73" s="69">
        <v>4.3053880000000003E-3</v>
      </c>
      <c r="BZ73" s="69">
        <v>4.2154059999999997E-3</v>
      </c>
      <c r="CA73" s="69">
        <v>4.1272953000000001E-3</v>
      </c>
      <c r="CB73" s="69">
        <v>4.0410174999999998E-3</v>
      </c>
      <c r="CC73" s="69">
        <v>3.9565351000000002E-3</v>
      </c>
      <c r="CD73" s="69">
        <v>3.8738112000000001E-3</v>
      </c>
      <c r="CE73" s="69">
        <v>3.7928099000000002E-3</v>
      </c>
      <c r="CF73" s="69">
        <v>3.7134955E-3</v>
      </c>
      <c r="CG73" s="69">
        <v>3.6358336E-3</v>
      </c>
      <c r="CH73" s="69">
        <v>3.5597899000000001E-3</v>
      </c>
      <c r="CI73" s="69">
        <v>3.4853313E-3</v>
      </c>
      <c r="CJ73" s="69">
        <v>3.4124249000000001E-3</v>
      </c>
      <c r="CK73" s="69">
        <v>3.3410388E-3</v>
      </c>
      <c r="CL73" s="69">
        <v>3.2711415000000001E-3</v>
      </c>
      <c r="CM73" s="69">
        <v>3.2027022E-3</v>
      </c>
      <c r="CN73" s="69">
        <v>3.1356908999999999E-3</v>
      </c>
      <c r="CO73" s="69">
        <v>3.070078E-3</v>
      </c>
      <c r="CP73" s="69">
        <v>3.0058343999999999E-3</v>
      </c>
      <c r="CQ73" s="69">
        <v>2.9429319000000001E-3</v>
      </c>
      <c r="CR73" s="69">
        <v>2.8813426E-3</v>
      </c>
      <c r="CS73" s="69">
        <v>2.8210393000000001E-3</v>
      </c>
      <c r="CT73" s="69">
        <v>2.7619952999999998E-3</v>
      </c>
      <c r="CU73" s="69">
        <v>2.7041844999999998E-3</v>
      </c>
      <c r="CV73" s="69">
        <v>2.6475812E-3</v>
      </c>
      <c r="CW73" s="69">
        <v>2.5921605000000002E-3</v>
      </c>
      <c r="CX73" s="69">
        <v>2.5378976000000001E-3</v>
      </c>
      <c r="CY73" s="69">
        <v>2.4847685999999998E-3</v>
      </c>
      <c r="CZ73" s="69">
        <v>2.4327499E-3</v>
      </c>
      <c r="DA73" s="69">
        <v>2.3818183000000001E-3</v>
      </c>
      <c r="DB73" s="69">
        <v>2.3319513000000002E-3</v>
      </c>
      <c r="DC73" s="69">
        <v>2.2831266000000001E-3</v>
      </c>
      <c r="DD73" s="69">
        <v>2.2353226999999999E-3</v>
      </c>
      <c r="DE73" s="69">
        <v>2.1885181E-3</v>
      </c>
      <c r="DF73" s="69">
        <v>2.1426921999999999E-3</v>
      </c>
      <c r="DG73" s="69">
        <v>2.0978246000000001E-3</v>
      </c>
      <c r="DH73" s="69">
        <v>2.0538952000000001E-3</v>
      </c>
      <c r="DI73" s="69">
        <v>2.0108844999999998E-3</v>
      </c>
      <c r="DJ73" s="69">
        <v>1.9687733000000002E-3</v>
      </c>
      <c r="DK73" s="69">
        <v>1.9275430000000001E-3</v>
      </c>
      <c r="DL73" s="69">
        <v>1.8871750000000001E-3</v>
      </c>
      <c r="DM73" s="69">
        <v>1.8476516000000001E-3</v>
      </c>
      <c r="DN73" s="69">
        <v>1.8089549000000001E-3</v>
      </c>
      <c r="DO73" s="69">
        <v>1.7710677999999999E-3</v>
      </c>
      <c r="DP73" s="69">
        <v>1.7339733999999999E-3</v>
      </c>
      <c r="DQ73" s="69">
        <v>1.6976551E-3</v>
      </c>
      <c r="DR73" s="69">
        <v>1.6620967999999999E-3</v>
      </c>
      <c r="DS73" s="69">
        <v>1.6272826000000001E-3</v>
      </c>
      <c r="DT73" s="69">
        <v>1.5931967999999999E-3</v>
      </c>
      <c r="DU73" s="69">
        <v>1.5598243999999999E-3</v>
      </c>
      <c r="DV73" s="69">
        <v>1.5271505000000001E-3</v>
      </c>
      <c r="DW73" s="69">
        <v>1.4951603E-3</v>
      </c>
      <c r="DX73" s="69">
        <v>1.4638397E-3</v>
      </c>
      <c r="DY73" s="69">
        <v>1.4331747E-3</v>
      </c>
      <c r="DZ73" s="69">
        <v>1.4031516E-3</v>
      </c>
      <c r="EA73" s="69">
        <v>1.3737568999999999E-3</v>
      </c>
      <c r="EB73" s="69">
        <v>1.3449775E-3</v>
      </c>
      <c r="EC73" s="69">
        <v>1.3168005999999999E-3</v>
      </c>
      <c r="ED73" s="69">
        <v>1.2892136E-3</v>
      </c>
      <c r="EE73" s="69">
        <v>1.2622041000000001E-3</v>
      </c>
      <c r="EF73" s="69">
        <v>1.2357601000000001E-3</v>
      </c>
      <c r="EG73" s="69">
        <v>1.2098698E-3</v>
      </c>
      <c r="EH73" s="69">
        <v>1.1845215E-3</v>
      </c>
      <c r="EI73" s="69">
        <v>1.1597039999999999E-3</v>
      </c>
      <c r="EJ73" s="69">
        <v>1.1354061000000001E-3</v>
      </c>
      <c r="EK73" s="69">
        <v>1.1116170000000001E-3</v>
      </c>
      <c r="EL73" s="69">
        <v>1.0883259999999999E-3</v>
      </c>
      <c r="EM73" s="69">
        <v>1.0655228E-3</v>
      </c>
      <c r="EN73" s="69">
        <v>1.0431971000000001E-3</v>
      </c>
      <c r="EO73" s="69">
        <v>1.0213389E-3</v>
      </c>
      <c r="EP73" s="69">
        <v>9.9993840000000005E-4</v>
      </c>
      <c r="EQ73" s="69">
        <v>9.789861999999999E-4</v>
      </c>
      <c r="ER73" s="69">
        <v>9.5847269999999995E-4</v>
      </c>
      <c r="ES73" s="69">
        <v>9.3838890000000005E-4</v>
      </c>
      <c r="ET73" s="69">
        <v>9.1872570000000003E-4</v>
      </c>
      <c r="EU73" s="69">
        <v>8.9947430000000004E-4</v>
      </c>
      <c r="EV73" s="69">
        <v>8.8062609999999995E-4</v>
      </c>
      <c r="EW73" s="69">
        <v>8.6217270000000005E-4</v>
      </c>
      <c r="EX73" s="69">
        <v>8.4410590000000003E-4</v>
      </c>
      <c r="EY73" s="69">
        <v>8.264174E-4</v>
      </c>
      <c r="EZ73" s="69">
        <v>8.0909950000000003E-4</v>
      </c>
      <c r="FA73" s="69">
        <v>7.9214430000000005E-4</v>
      </c>
      <c r="FB73" s="69">
        <v>7.7554429999999997E-4</v>
      </c>
      <c r="FC73" s="69">
        <v>7.5929209999999999E-4</v>
      </c>
      <c r="FD73" s="69">
        <v>7.4338020000000004E-4</v>
      </c>
      <c r="FE73" s="69">
        <v>7.2780169999999995E-4</v>
      </c>
      <c r="FF73" s="69">
        <v>7.1254960000000003E-4</v>
      </c>
      <c r="FG73" s="69">
        <v>6.9761689999999995E-4</v>
      </c>
      <c r="FH73" s="69">
        <v>6.829971E-4</v>
      </c>
      <c r="FI73" s="69">
        <v>6.6868359999999998E-4</v>
      </c>
      <c r="FJ73" s="69">
        <v>6.5466989999999996E-4</v>
      </c>
      <c r="FK73" s="69">
        <v>6.4094990000000001E-4</v>
      </c>
      <c r="FL73" s="69">
        <v>6.2751720000000003E-4</v>
      </c>
      <c r="FM73" s="69">
        <v>6.1436599999999998E-4</v>
      </c>
      <c r="FN73" s="69">
        <v>6.0149029999999998E-4</v>
      </c>
      <c r="FO73" s="69">
        <v>5.8888440000000005E-4</v>
      </c>
      <c r="FP73" s="69">
        <v>5.7654259999999997E-4</v>
      </c>
      <c r="FQ73" s="69">
        <v>5.6445940000000004E-4</v>
      </c>
    </row>
    <row r="74" spans="1:173" x14ac:dyDescent="0.25">
      <c r="A74" s="71">
        <v>72</v>
      </c>
      <c r="B74" s="69">
        <v>2.2145968700000001E-2</v>
      </c>
      <c r="C74" s="69">
        <v>2.17594118E-2</v>
      </c>
      <c r="D74" s="69">
        <v>2.13747678E-2</v>
      </c>
      <c r="E74" s="69">
        <v>2.09924794E-2</v>
      </c>
      <c r="F74" s="69">
        <v>2.0612944000000001E-2</v>
      </c>
      <c r="G74" s="69">
        <v>2.02365171E-2</v>
      </c>
      <c r="H74" s="69">
        <v>1.9863515599999999E-2</v>
      </c>
      <c r="I74" s="69">
        <v>1.9494220699999999E-2</v>
      </c>
      <c r="J74" s="69">
        <v>1.9128880800000001E-2</v>
      </c>
      <c r="K74" s="69">
        <v>1.8767713799999999E-2</v>
      </c>
      <c r="L74" s="69">
        <v>1.84109098E-2</v>
      </c>
      <c r="M74" s="69">
        <v>1.8058633300000002E-2</v>
      </c>
      <c r="N74" s="69">
        <v>1.7711025500000002E-2</v>
      </c>
      <c r="O74" s="69">
        <v>1.7368206000000001E-2</v>
      </c>
      <c r="P74" s="69">
        <v>1.7030274799999998E-2</v>
      </c>
      <c r="Q74" s="69">
        <v>1.6697313799999999E-2</v>
      </c>
      <c r="R74" s="69">
        <v>1.6369388799999999E-2</v>
      </c>
      <c r="S74" s="69">
        <v>1.6046550699999999E-2</v>
      </c>
      <c r="T74" s="69">
        <v>1.5728836699999998E-2</v>
      </c>
      <c r="U74" s="69">
        <v>1.5416271800000001E-2</v>
      </c>
      <c r="V74" s="69">
        <v>1.510887E-2</v>
      </c>
      <c r="W74" s="69">
        <v>1.4806634900000001E-2</v>
      </c>
      <c r="X74" s="69">
        <v>1.45095615E-2</v>
      </c>
      <c r="Y74" s="69">
        <v>1.42176361E-2</v>
      </c>
      <c r="Z74" s="69">
        <v>1.3930838100000001E-2</v>
      </c>
      <c r="AA74" s="69">
        <v>1.3649140000000001E-2</v>
      </c>
      <c r="AB74" s="69">
        <v>1.33725085E-2</v>
      </c>
      <c r="AC74" s="69">
        <v>1.3100905100000001E-2</v>
      </c>
      <c r="AD74" s="69">
        <v>1.28342865E-2</v>
      </c>
      <c r="AE74" s="69">
        <v>1.2572605400000001E-2</v>
      </c>
      <c r="AF74" s="69">
        <v>1.23158109E-2</v>
      </c>
      <c r="AG74" s="69">
        <v>1.2063848699999999E-2</v>
      </c>
      <c r="AH74" s="69">
        <v>1.1816662E-2</v>
      </c>
      <c r="AI74" s="69">
        <v>1.15741913E-2</v>
      </c>
      <c r="AJ74" s="69">
        <v>1.13363752E-2</v>
      </c>
      <c r="AK74" s="69">
        <v>1.11031507E-2</v>
      </c>
      <c r="AL74" s="69">
        <v>1.0874452999999999E-2</v>
      </c>
      <c r="AM74" s="69">
        <v>1.0650216400000001E-2</v>
      </c>
      <c r="AN74" s="69">
        <v>1.0430373999999999E-2</v>
      </c>
      <c r="AO74" s="69">
        <v>1.0214858199999999E-2</v>
      </c>
      <c r="AP74" s="69">
        <v>1.0003601000000001E-2</v>
      </c>
      <c r="AQ74" s="69">
        <v>9.7965337999999999E-3</v>
      </c>
      <c r="AR74" s="69">
        <v>9.5935879000000005E-3</v>
      </c>
      <c r="AS74" s="69">
        <v>9.3946941999999995E-3</v>
      </c>
      <c r="AT74" s="69">
        <v>9.1997841000000004E-3</v>
      </c>
      <c r="AU74" s="69">
        <v>9.0087888000000005E-3</v>
      </c>
      <c r="AV74" s="69">
        <v>8.8216399000000008E-3</v>
      </c>
      <c r="AW74" s="69">
        <v>8.6382691999999997E-3</v>
      </c>
      <c r="AX74" s="69">
        <v>8.4586091000000002E-3</v>
      </c>
      <c r="AY74" s="69">
        <v>8.2825924000000002E-3</v>
      </c>
      <c r="AZ74" s="69">
        <v>8.1101524000000008E-3</v>
      </c>
      <c r="BA74" s="69">
        <v>7.9412231999999999E-3</v>
      </c>
      <c r="BB74" s="69">
        <v>7.7757392999999999E-3</v>
      </c>
      <c r="BC74" s="69">
        <v>7.6136362000000001E-3</v>
      </c>
      <c r="BD74" s="69">
        <v>7.4548499999999998E-3</v>
      </c>
      <c r="BE74" s="69">
        <v>7.2993175000000002E-3</v>
      </c>
      <c r="BF74" s="69">
        <v>7.1469764000000003E-3</v>
      </c>
      <c r="BG74" s="69">
        <v>6.9977653999999997E-3</v>
      </c>
      <c r="BH74" s="69">
        <v>6.8516239000000001E-3</v>
      </c>
      <c r="BI74" s="69">
        <v>6.7084919999999999E-3</v>
      </c>
      <c r="BJ74" s="69">
        <v>6.5683110000000003E-3</v>
      </c>
      <c r="BK74" s="69">
        <v>6.4310228999999997E-3</v>
      </c>
      <c r="BL74" s="69">
        <v>6.2965707000000003E-3</v>
      </c>
      <c r="BM74" s="69">
        <v>6.1648982999999999E-3</v>
      </c>
      <c r="BN74" s="69">
        <v>6.0359504999999997E-3</v>
      </c>
      <c r="BO74" s="69">
        <v>5.9096729000000002E-3</v>
      </c>
      <c r="BP74" s="69">
        <v>5.7860124000000002E-3</v>
      </c>
      <c r="BQ74" s="69">
        <v>5.6649163000000004E-3</v>
      </c>
      <c r="BR74" s="69">
        <v>5.5463331000000001E-3</v>
      </c>
      <c r="BS74" s="69">
        <v>5.4302122000000003E-3</v>
      </c>
      <c r="BT74" s="69">
        <v>5.3165039999999997E-3</v>
      </c>
      <c r="BU74" s="69">
        <v>5.2051594999999997E-3</v>
      </c>
      <c r="BV74" s="69">
        <v>5.0961308000000002E-3</v>
      </c>
      <c r="BW74" s="69">
        <v>4.9893708999999998E-3</v>
      </c>
      <c r="BX74" s="69">
        <v>4.8848334999999996E-3</v>
      </c>
      <c r="BY74" s="69">
        <v>4.7824733999999999E-3</v>
      </c>
      <c r="BZ74" s="69">
        <v>4.6822460999999998E-3</v>
      </c>
      <c r="CA74" s="69">
        <v>4.5841079999999999E-3</v>
      </c>
      <c r="CB74" s="69">
        <v>4.4880162000000001E-3</v>
      </c>
      <c r="CC74" s="69">
        <v>4.3939286999999999E-3</v>
      </c>
      <c r="CD74" s="69">
        <v>4.3018046000000004E-3</v>
      </c>
      <c r="CE74" s="69">
        <v>4.2116031999999996E-3</v>
      </c>
      <c r="CF74" s="69">
        <v>4.1232852E-3</v>
      </c>
      <c r="CG74" s="69">
        <v>4.0368115999999997E-3</v>
      </c>
      <c r="CH74" s="69">
        <v>3.9521445000000001E-3</v>
      </c>
      <c r="CI74" s="69">
        <v>3.8692465E-3</v>
      </c>
      <c r="CJ74" s="69">
        <v>3.7880811E-3</v>
      </c>
      <c r="CK74" s="69">
        <v>3.7086124000000002E-3</v>
      </c>
      <c r="CL74" s="69">
        <v>3.6308055000000001E-3</v>
      </c>
      <c r="CM74" s="69">
        <v>3.5546256999999999E-3</v>
      </c>
      <c r="CN74" s="69">
        <v>3.4800395E-3</v>
      </c>
      <c r="CO74" s="69">
        <v>3.4070137999999998E-3</v>
      </c>
      <c r="CP74" s="69">
        <v>3.3355161999999998E-3</v>
      </c>
      <c r="CQ74" s="69">
        <v>3.2655149000000001E-3</v>
      </c>
      <c r="CR74" s="69">
        <v>3.196979E-3</v>
      </c>
      <c r="CS74" s="69">
        <v>3.1298779E-3</v>
      </c>
      <c r="CT74" s="69">
        <v>3.0641817999999999E-3</v>
      </c>
      <c r="CU74" s="69">
        <v>2.9998615000000001E-3</v>
      </c>
      <c r="CV74" s="69">
        <v>2.9368883E-3</v>
      </c>
      <c r="CW74" s="69">
        <v>2.8752343000000001E-3</v>
      </c>
      <c r="CX74" s="69">
        <v>2.8148717999999999E-3</v>
      </c>
      <c r="CY74" s="69">
        <v>2.7557740999999999E-3</v>
      </c>
      <c r="CZ74" s="69">
        <v>2.6979147999999999E-3</v>
      </c>
      <c r="DA74" s="69">
        <v>2.641268E-3</v>
      </c>
      <c r="DB74" s="69">
        <v>2.5858084999999999E-3</v>
      </c>
      <c r="DC74" s="69">
        <v>2.5315113999999999E-3</v>
      </c>
      <c r="DD74" s="69">
        <v>2.4783524999999998E-3</v>
      </c>
      <c r="DE74" s="69">
        <v>2.4263081999999999E-3</v>
      </c>
      <c r="DF74" s="69">
        <v>2.375355E-3</v>
      </c>
      <c r="DG74" s="69">
        <v>2.3254702000000001E-3</v>
      </c>
      <c r="DH74" s="69">
        <v>2.2766315000000001E-3</v>
      </c>
      <c r="DI74" s="69">
        <v>2.2288170000000001E-3</v>
      </c>
      <c r="DJ74" s="69">
        <v>2.1820054E-3</v>
      </c>
      <c r="DK74" s="69">
        <v>2.1361755999999999E-3</v>
      </c>
      <c r="DL74" s="69">
        <v>2.0913072000000002E-3</v>
      </c>
      <c r="DM74" s="69">
        <v>2.0473799000000001E-3</v>
      </c>
      <c r="DN74" s="69">
        <v>2.0043742999999998E-3</v>
      </c>
      <c r="DO74" s="69">
        <v>1.9622709000000002E-3</v>
      </c>
      <c r="DP74" s="69">
        <v>1.9210509E-3</v>
      </c>
      <c r="DQ74" s="69">
        <v>1.8806958E-3</v>
      </c>
      <c r="DR74" s="69">
        <v>1.8411874999999999E-3</v>
      </c>
      <c r="DS74" s="69">
        <v>1.8025083000000001E-3</v>
      </c>
      <c r="DT74" s="69">
        <v>1.7646408000000001E-3</v>
      </c>
      <c r="DU74" s="69">
        <v>1.7275680000000001E-3</v>
      </c>
      <c r="DV74" s="69">
        <v>1.6912733E-3</v>
      </c>
      <c r="DW74" s="69">
        <v>1.6557404999999999E-3</v>
      </c>
      <c r="DX74" s="69">
        <v>1.6209534E-3</v>
      </c>
      <c r="DY74" s="69">
        <v>1.5868966E-3</v>
      </c>
      <c r="DZ74" s="69">
        <v>1.5535547E-3</v>
      </c>
      <c r="EA74" s="69">
        <v>1.5209126999999999E-3</v>
      </c>
      <c r="EB74" s="69">
        <v>1.4889561000000001E-3</v>
      </c>
      <c r="EC74" s="69">
        <v>1.4576703E-3</v>
      </c>
      <c r="ED74" s="69">
        <v>1.4270413999999999E-3</v>
      </c>
      <c r="EE74" s="69">
        <v>1.3970555000000001E-3</v>
      </c>
      <c r="EF74" s="69">
        <v>1.3676993000000001E-3</v>
      </c>
      <c r="EG74" s="69">
        <v>1.3389595E-3</v>
      </c>
      <c r="EH74" s="69">
        <v>1.3108232000000001E-3</v>
      </c>
      <c r="EI74" s="69">
        <v>1.2832777E-3</v>
      </c>
      <c r="EJ74" s="69">
        <v>1.2563106000000001E-3</v>
      </c>
      <c r="EK74" s="69">
        <v>1.2299099E-3</v>
      </c>
      <c r="EL74" s="69">
        <v>1.2040636E-3</v>
      </c>
      <c r="EM74" s="69">
        <v>1.1787601000000001E-3</v>
      </c>
      <c r="EN74" s="69">
        <v>1.1539880999999999E-3</v>
      </c>
      <c r="EO74" s="69">
        <v>1.1297363E-3</v>
      </c>
      <c r="EP74" s="69">
        <v>1.1059939000000001E-3</v>
      </c>
      <c r="EQ74" s="69">
        <v>1.0827501E-3</v>
      </c>
      <c r="ER74" s="69">
        <v>1.0599946000000001E-3</v>
      </c>
      <c r="ES74" s="69">
        <v>1.0377171000000001E-3</v>
      </c>
      <c r="ET74" s="69">
        <v>1.0159075000000001E-3</v>
      </c>
      <c r="EU74" s="69">
        <v>9.9455609999999999E-4</v>
      </c>
      <c r="EV74" s="69">
        <v>9.7365310000000003E-4</v>
      </c>
      <c r="EW74" s="69">
        <v>9.531893E-4</v>
      </c>
      <c r="EX74" s="69">
        <v>9.3315539999999999E-4</v>
      </c>
      <c r="EY74" s="69">
        <v>9.1354230000000004E-4</v>
      </c>
      <c r="EZ74" s="69">
        <v>8.9434129999999999E-4</v>
      </c>
      <c r="FA74" s="69">
        <v>8.7554359999999999E-4</v>
      </c>
      <c r="FB74" s="69">
        <v>8.5714090000000003E-4</v>
      </c>
      <c r="FC74" s="69">
        <v>8.3912479999999996E-4</v>
      </c>
      <c r="FD74" s="69">
        <v>8.2148720000000004E-4</v>
      </c>
      <c r="FE74" s="69">
        <v>8.0422019999999998E-4</v>
      </c>
      <c r="FF74" s="69">
        <v>7.8731600000000004E-4</v>
      </c>
      <c r="FG74" s="69">
        <v>7.70767E-4</v>
      </c>
      <c r="FH74" s="69">
        <v>7.5456570000000003E-4</v>
      </c>
      <c r="FI74" s="69">
        <v>7.3870480000000002E-4</v>
      </c>
      <c r="FJ74" s="69">
        <v>7.2317710000000001E-4</v>
      </c>
      <c r="FK74" s="69">
        <v>7.0797579999999996E-4</v>
      </c>
      <c r="FL74" s="69">
        <v>6.9309389999999997E-4</v>
      </c>
      <c r="FM74" s="69">
        <v>6.785246E-4</v>
      </c>
      <c r="FN74" s="69">
        <v>6.6426159999999996E-4</v>
      </c>
      <c r="FO74" s="69">
        <v>6.5029819999999996E-4</v>
      </c>
      <c r="FP74" s="69">
        <v>6.3662829999999997E-4</v>
      </c>
      <c r="FQ74" s="69">
        <v>6.2324570000000005E-4</v>
      </c>
    </row>
    <row r="75" spans="1:173" x14ac:dyDescent="0.25">
      <c r="A75" s="71">
        <v>73</v>
      </c>
      <c r="B75" s="69">
        <v>2.4578136300000001E-2</v>
      </c>
      <c r="C75" s="69">
        <v>2.4164203200000001E-2</v>
      </c>
      <c r="D75" s="69">
        <v>2.3751265300000001E-2</v>
      </c>
      <c r="E75" s="69">
        <v>2.33398875E-2</v>
      </c>
      <c r="F75" s="69">
        <v>2.2930580400000001E-2</v>
      </c>
      <c r="G75" s="69">
        <v>2.2523803799999999E-2</v>
      </c>
      <c r="H75" s="69">
        <v>2.21199706E-2</v>
      </c>
      <c r="I75" s="69">
        <v>2.1719450500000001E-2</v>
      </c>
      <c r="J75" s="69">
        <v>2.1322572800000002E-2</v>
      </c>
      <c r="K75" s="69">
        <v>2.0929629799999998E-2</v>
      </c>
      <c r="L75" s="69">
        <v>2.0540879599999999E-2</v>
      </c>
      <c r="M75" s="69">
        <v>2.0156548900000001E-2</v>
      </c>
      <c r="N75" s="69">
        <v>1.97768353E-2</v>
      </c>
      <c r="O75" s="69">
        <v>1.9401910099999999E-2</v>
      </c>
      <c r="P75" s="69">
        <v>1.9031920099999999E-2</v>
      </c>
      <c r="Q75" s="69">
        <v>1.8666989599999999E-2</v>
      </c>
      <c r="R75" s="69">
        <v>1.8307222799999998E-2</v>
      </c>
      <c r="S75" s="69">
        <v>1.7952705100000001E-2</v>
      </c>
      <c r="T75" s="69">
        <v>1.7603504999999998E-2</v>
      </c>
      <c r="U75" s="69">
        <v>1.7259675400000001E-2</v>
      </c>
      <c r="V75" s="69">
        <v>1.6921255199999999E-2</v>
      </c>
      <c r="W75" s="69">
        <v>1.6588270499999998E-2</v>
      </c>
      <c r="X75" s="69">
        <v>1.6260735799999999E-2</v>
      </c>
      <c r="Y75" s="69">
        <v>1.5938655199999999E-2</v>
      </c>
      <c r="Z75" s="69">
        <v>1.56220232E-2</v>
      </c>
      <c r="AA75" s="69">
        <v>1.5310826E-2</v>
      </c>
      <c r="AB75" s="69">
        <v>1.50050418E-2</v>
      </c>
      <c r="AC75" s="69">
        <v>1.47046422E-2</v>
      </c>
      <c r="AD75" s="69">
        <v>1.44095926E-2</v>
      </c>
      <c r="AE75" s="69">
        <v>1.4119852699999999E-2</v>
      </c>
      <c r="AF75" s="69">
        <v>1.38353777E-2</v>
      </c>
      <c r="AG75" s="69">
        <v>1.3556118000000001E-2</v>
      </c>
      <c r="AH75" s="69">
        <v>1.3282020699999999E-2</v>
      </c>
      <c r="AI75" s="69">
        <v>1.30130292E-2</v>
      </c>
      <c r="AJ75" s="69">
        <v>1.2749084000000001E-2</v>
      </c>
      <c r="AK75" s="69">
        <v>1.2490123400000001E-2</v>
      </c>
      <c r="AL75" s="69">
        <v>1.22360831E-2</v>
      </c>
      <c r="AM75" s="69">
        <v>1.19868974E-2</v>
      </c>
      <c r="AN75" s="69">
        <v>1.17424986E-2</v>
      </c>
      <c r="AO75" s="69">
        <v>1.1502818E-2</v>
      </c>
      <c r="AP75" s="69">
        <v>1.1267785799999999E-2</v>
      </c>
      <c r="AQ75" s="69">
        <v>1.1037331399999999E-2</v>
      </c>
      <c r="AR75" s="69">
        <v>1.08113836E-2</v>
      </c>
      <c r="AS75" s="69">
        <v>1.05898708E-2</v>
      </c>
      <c r="AT75" s="69">
        <v>1.03727209E-2</v>
      </c>
      <c r="AU75" s="69">
        <v>1.0159861900000001E-2</v>
      </c>
      <c r="AV75" s="69">
        <v>9.9512218999999996E-3</v>
      </c>
      <c r="AW75" s="69">
        <v>9.7467287999999999E-3</v>
      </c>
      <c r="AX75" s="69">
        <v>9.5463110999999996E-3</v>
      </c>
      <c r="AY75" s="69">
        <v>9.3498973999999995E-3</v>
      </c>
      <c r="AZ75" s="69">
        <v>9.1574168000000001E-3</v>
      </c>
      <c r="BA75" s="69">
        <v>8.9687988999999999E-3</v>
      </c>
      <c r="BB75" s="69">
        <v>8.7839739000000003E-3</v>
      </c>
      <c r="BC75" s="69">
        <v>8.6028725000000007E-3</v>
      </c>
      <c r="BD75" s="69">
        <v>8.4254263000000003E-3</v>
      </c>
      <c r="BE75" s="69">
        <v>8.2515673999999997E-3</v>
      </c>
      <c r="BF75" s="69">
        <v>8.0812288999999992E-3</v>
      </c>
      <c r="BG75" s="69">
        <v>7.9143445E-3</v>
      </c>
      <c r="BH75" s="69">
        <v>7.7508487999999997E-3</v>
      </c>
      <c r="BI75" s="69">
        <v>7.5906773000000002E-3</v>
      </c>
      <c r="BJ75" s="69">
        <v>7.4337665000000002E-3</v>
      </c>
      <c r="BK75" s="69">
        <v>7.2800534999999996E-3</v>
      </c>
      <c r="BL75" s="69">
        <v>7.1294764999999998E-3</v>
      </c>
      <c r="BM75" s="69">
        <v>6.9819747E-3</v>
      </c>
      <c r="BN75" s="69">
        <v>6.8374880000000001E-3</v>
      </c>
      <c r="BO75" s="69">
        <v>6.6959576E-3</v>
      </c>
      <c r="BP75" s="69">
        <v>6.5573252999999998E-3</v>
      </c>
      <c r="BQ75" s="69">
        <v>6.4215341E-3</v>
      </c>
      <c r="BR75" s="69">
        <v>6.2885277000000002E-3</v>
      </c>
      <c r="BS75" s="69">
        <v>6.1582510999999996E-3</v>
      </c>
      <c r="BT75" s="69">
        <v>6.0306498000000002E-3</v>
      </c>
      <c r="BU75" s="69">
        <v>5.9056706999999998E-3</v>
      </c>
      <c r="BV75" s="69">
        <v>5.7832613000000001E-3</v>
      </c>
      <c r="BW75" s="69">
        <v>5.6633700999999996E-3</v>
      </c>
      <c r="BX75" s="69">
        <v>5.5459467999999998E-3</v>
      </c>
      <c r="BY75" s="69">
        <v>5.4309416000000001E-3</v>
      </c>
      <c r="BZ75" s="69">
        <v>5.3183060000000001E-3</v>
      </c>
      <c r="CA75" s="69">
        <v>5.2079919000000002E-3</v>
      </c>
      <c r="CB75" s="69">
        <v>5.0999527000000003E-3</v>
      </c>
      <c r="CC75" s="69">
        <v>4.9941422000000001E-3</v>
      </c>
      <c r="CD75" s="69">
        <v>4.8905153000000003E-3</v>
      </c>
      <c r="CE75" s="69">
        <v>4.7890277000000002E-3</v>
      </c>
      <c r="CF75" s="69">
        <v>4.6896359E-3</v>
      </c>
      <c r="CG75" s="69">
        <v>4.5922973000000001E-3</v>
      </c>
      <c r="CH75" s="69">
        <v>4.4969700999999999E-3</v>
      </c>
      <c r="CI75" s="69">
        <v>4.4036131999999999E-3</v>
      </c>
      <c r="CJ75" s="69">
        <v>4.3121864999999997E-3</v>
      </c>
      <c r="CK75" s="69">
        <v>4.2226505999999999E-3</v>
      </c>
      <c r="CL75" s="69">
        <v>4.1349667999999997E-3</v>
      </c>
      <c r="CM75" s="69">
        <v>4.0490971999999998E-3</v>
      </c>
      <c r="CN75" s="69">
        <v>3.9650047000000001E-3</v>
      </c>
      <c r="CO75" s="69">
        <v>3.8826528000000002E-3</v>
      </c>
      <c r="CP75" s="69">
        <v>3.8020059000000001E-3</v>
      </c>
      <c r="CQ75" s="69">
        <v>3.7230290000000001E-3</v>
      </c>
      <c r="CR75" s="69">
        <v>3.6456879000000002E-3</v>
      </c>
      <c r="CS75" s="69">
        <v>3.5699488000000001E-3</v>
      </c>
      <c r="CT75" s="69">
        <v>3.4957789E-3</v>
      </c>
      <c r="CU75" s="69">
        <v>3.4231460000000002E-3</v>
      </c>
      <c r="CV75" s="69">
        <v>3.3520183000000001E-3</v>
      </c>
      <c r="CW75" s="69">
        <v>3.2823650000000002E-3</v>
      </c>
      <c r="CX75" s="69">
        <v>3.2141556E-3</v>
      </c>
      <c r="CY75" s="69">
        <v>3.1473603999999998E-3</v>
      </c>
      <c r="CZ75" s="69">
        <v>3.0819503000000001E-3</v>
      </c>
      <c r="DA75" s="69">
        <v>3.0178967000000002E-3</v>
      </c>
      <c r="DB75" s="69">
        <v>2.9551716000000001E-3</v>
      </c>
      <c r="DC75" s="69">
        <v>2.8937476000000001E-3</v>
      </c>
      <c r="DD75" s="69">
        <v>2.8335979000000001E-3</v>
      </c>
      <c r="DE75" s="69">
        <v>2.7746962000000002E-3</v>
      </c>
      <c r="DF75" s="69">
        <v>2.7170165999999998E-3</v>
      </c>
      <c r="DG75" s="69">
        <v>2.660534E-3</v>
      </c>
      <c r="DH75" s="69">
        <v>2.6052236E-3</v>
      </c>
      <c r="DI75" s="69">
        <v>2.5510611999999999E-3</v>
      </c>
      <c r="DJ75" s="69">
        <v>2.4980229999999998E-3</v>
      </c>
      <c r="DK75" s="69">
        <v>2.4460858E-3</v>
      </c>
      <c r="DL75" s="69">
        <v>2.3952269000000002E-3</v>
      </c>
      <c r="DM75" s="69">
        <v>2.3454239E-3</v>
      </c>
      <c r="DN75" s="69">
        <v>2.2966549999999999E-3</v>
      </c>
      <c r="DO75" s="69">
        <v>2.2488987999999999E-3</v>
      </c>
      <c r="DP75" s="69">
        <v>2.2021342000000002E-3</v>
      </c>
      <c r="DQ75" s="69">
        <v>2.1563409E-3</v>
      </c>
      <c r="DR75" s="69">
        <v>2.1114987000000001E-3</v>
      </c>
      <c r="DS75" s="69">
        <v>2.0675877999999999E-3</v>
      </c>
      <c r="DT75" s="69">
        <v>2.0245889999999998E-3</v>
      </c>
      <c r="DU75" s="69">
        <v>1.9824834999999999E-3</v>
      </c>
      <c r="DV75" s="69">
        <v>1.9412526000000001E-3</v>
      </c>
      <c r="DW75" s="69">
        <v>1.9008783E-3</v>
      </c>
      <c r="DX75" s="69">
        <v>1.8613428E-3</v>
      </c>
      <c r="DY75" s="69">
        <v>1.8226287E-3</v>
      </c>
      <c r="DZ75" s="69">
        <v>1.7847191E-3</v>
      </c>
      <c r="EA75" s="69">
        <v>1.7475971000000001E-3</v>
      </c>
      <c r="EB75" s="69">
        <v>1.7112466E-3</v>
      </c>
      <c r="EC75" s="69">
        <v>1.6756515E-3</v>
      </c>
      <c r="ED75" s="69">
        <v>1.6407961E-3</v>
      </c>
      <c r="EE75" s="69">
        <v>1.606665E-3</v>
      </c>
      <c r="EF75" s="69">
        <v>1.5732433999999999E-3</v>
      </c>
      <c r="EG75" s="69">
        <v>1.5405163999999999E-3</v>
      </c>
      <c r="EH75" s="69">
        <v>1.5084695999999999E-3</v>
      </c>
      <c r="EI75" s="69">
        <v>1.477089E-3</v>
      </c>
      <c r="EJ75" s="69">
        <v>1.4463606E-3</v>
      </c>
      <c r="EK75" s="69">
        <v>1.416271E-3</v>
      </c>
      <c r="EL75" s="69">
        <v>1.3868070000000001E-3</v>
      </c>
      <c r="EM75" s="69">
        <v>1.3579554E-3</v>
      </c>
      <c r="EN75" s="69">
        <v>1.3297037E-3</v>
      </c>
      <c r="EO75" s="69">
        <v>1.3020392999999999E-3</v>
      </c>
      <c r="EP75" s="69">
        <v>1.2749501E-3</v>
      </c>
      <c r="EQ75" s="69">
        <v>1.2484241E-3</v>
      </c>
      <c r="ER75" s="69">
        <v>1.2224496E-3</v>
      </c>
      <c r="ES75" s="69">
        <v>1.1970152999999999E-3</v>
      </c>
      <c r="ET75" s="69">
        <v>1.1721098E-3</v>
      </c>
      <c r="EU75" s="69">
        <v>1.1477220999999999E-3</v>
      </c>
      <c r="EV75" s="69">
        <v>1.1238416E-3</v>
      </c>
      <c r="EW75" s="69">
        <v>1.1004577E-3</v>
      </c>
      <c r="EX75" s="69">
        <v>1.0775601E-3</v>
      </c>
      <c r="EY75" s="69">
        <v>1.0551385999999999E-3</v>
      </c>
      <c r="EZ75" s="69">
        <v>1.0331833999999999E-3</v>
      </c>
      <c r="FA75" s="69">
        <v>1.0116849E-3</v>
      </c>
      <c r="FB75" s="69">
        <v>9.9063340000000001E-4</v>
      </c>
      <c r="FC75" s="69">
        <v>9.7001979999999997E-4</v>
      </c>
      <c r="FD75" s="69">
        <v>9.4983489999999997E-4</v>
      </c>
      <c r="FE75" s="69">
        <v>9.300698E-4</v>
      </c>
      <c r="FF75" s="69">
        <v>9.1071580000000004E-4</v>
      </c>
      <c r="FG75" s="69">
        <v>8.917644E-4</v>
      </c>
      <c r="FH75" s="69">
        <v>8.7320720000000004E-4</v>
      </c>
      <c r="FI75" s="69">
        <v>8.5503589999999996E-4</v>
      </c>
      <c r="FJ75" s="69">
        <v>8.372427E-4</v>
      </c>
      <c r="FK75" s="69">
        <v>8.1981950000000001E-4</v>
      </c>
      <c r="FL75" s="69">
        <v>8.0275880000000004E-4</v>
      </c>
      <c r="FM75" s="69">
        <v>7.8605299999999999E-4</v>
      </c>
      <c r="FN75" s="69">
        <v>7.6969470000000004E-4</v>
      </c>
      <c r="FO75" s="69">
        <v>7.5367670000000002E-4</v>
      </c>
      <c r="FP75" s="69">
        <v>7.379919E-4</v>
      </c>
      <c r="FQ75" s="69">
        <v>7.2263350000000004E-4</v>
      </c>
    </row>
    <row r="76" spans="1:173" x14ac:dyDescent="0.25">
      <c r="A76" s="71">
        <v>74</v>
      </c>
      <c r="B76" s="69">
        <v>2.7484259699999999E-2</v>
      </c>
      <c r="C76" s="69">
        <v>2.7022070299999999E-2</v>
      </c>
      <c r="D76" s="69">
        <v>2.6561353999999999E-2</v>
      </c>
      <c r="E76" s="69">
        <v>2.6102697300000002E-2</v>
      </c>
      <c r="F76" s="69">
        <v>2.5646629600000002E-2</v>
      </c>
      <c r="G76" s="69">
        <v>2.5193627199999999E-2</v>
      </c>
      <c r="H76" s="69">
        <v>2.4744117199999999E-2</v>
      </c>
      <c r="I76" s="69">
        <v>2.4298481300000001E-2</v>
      </c>
      <c r="J76" s="69">
        <v>2.3857058899999999E-2</v>
      </c>
      <c r="K76" s="69">
        <v>2.3420150800000001E-2</v>
      </c>
      <c r="L76" s="69">
        <v>2.2988021899999999E-2</v>
      </c>
      <c r="M76" s="69">
        <v>2.2560904400000002E-2</v>
      </c>
      <c r="N76" s="69">
        <v>2.2138999900000001E-2</v>
      </c>
      <c r="O76" s="69">
        <v>2.17224827E-2</v>
      </c>
      <c r="P76" s="69">
        <v>2.1311501199999999E-2</v>
      </c>
      <c r="Q76" s="69">
        <v>2.0906180900000002E-2</v>
      </c>
      <c r="R76" s="69">
        <v>2.0506625699999999E-2</v>
      </c>
      <c r="S76" s="69">
        <v>2.01129203E-2</v>
      </c>
      <c r="T76" s="69">
        <v>1.97251315E-2</v>
      </c>
      <c r="U76" s="69">
        <v>1.9343309999999999E-2</v>
      </c>
      <c r="V76" s="69">
        <v>1.8967491999999999E-2</v>
      </c>
      <c r="W76" s="69">
        <v>1.85977001E-2</v>
      </c>
      <c r="X76" s="69">
        <v>1.8233945000000001E-2</v>
      </c>
      <c r="Y76" s="69">
        <v>1.7876226499999998E-2</v>
      </c>
      <c r="Z76" s="69">
        <v>1.7524534500000001E-2</v>
      </c>
      <c r="AA76" s="69">
        <v>1.7178849900000001E-2</v>
      </c>
      <c r="AB76" s="69">
        <v>1.6839145999999999E-2</v>
      </c>
      <c r="AC76" s="69">
        <v>1.6505388499999999E-2</v>
      </c>
      <c r="AD76" s="69">
        <v>1.6177536900000001E-2</v>
      </c>
      <c r="AE76" s="69">
        <v>1.5855545200000001E-2</v>
      </c>
      <c r="AF76" s="69">
        <v>1.5539361999999999E-2</v>
      </c>
      <c r="AG76" s="69">
        <v>1.52289317E-2</v>
      </c>
      <c r="AH76" s="69">
        <v>1.49241944E-2</v>
      </c>
      <c r="AI76" s="69">
        <v>1.4625087300000001E-2</v>
      </c>
      <c r="AJ76" s="69">
        <v>1.4331544E-2</v>
      </c>
      <c r="AK76" s="69">
        <v>1.40434958E-2</v>
      </c>
      <c r="AL76" s="69">
        <v>1.3760871900000001E-2</v>
      </c>
      <c r="AM76" s="69">
        <v>1.3483599299999999E-2</v>
      </c>
      <c r="AN76" s="69">
        <v>1.32116035E-2</v>
      </c>
      <c r="AO76" s="69">
        <v>1.2944809E-2</v>
      </c>
      <c r="AP76" s="69">
        <v>1.26831388E-2</v>
      </c>
      <c r="AQ76" s="69">
        <v>1.2426515399999999E-2</v>
      </c>
      <c r="AR76" s="69">
        <v>1.21748606E-2</v>
      </c>
      <c r="AS76" s="69">
        <v>1.19280957E-2</v>
      </c>
      <c r="AT76" s="69">
        <v>1.16861419E-2</v>
      </c>
      <c r="AU76" s="69">
        <v>1.1448920200000001E-2</v>
      </c>
      <c r="AV76" s="69">
        <v>1.12163518E-2</v>
      </c>
      <c r="AW76" s="69">
        <v>1.0988357799999999E-2</v>
      </c>
      <c r="AX76" s="69">
        <v>1.07648598E-2</v>
      </c>
      <c r="AY76" s="69">
        <v>1.05457798E-2</v>
      </c>
      <c r="AZ76" s="69">
        <v>1.03310403E-2</v>
      </c>
      <c r="BA76" s="69">
        <v>1.01205641E-2</v>
      </c>
      <c r="BB76" s="69">
        <v>9.9142750000000002E-3</v>
      </c>
      <c r="BC76" s="69">
        <v>9.7120971000000007E-3</v>
      </c>
      <c r="BD76" s="69">
        <v>9.5139557E-3</v>
      </c>
      <c r="BE76" s="69">
        <v>9.3197765999999994E-3</v>
      </c>
      <c r="BF76" s="69">
        <v>9.1294863999999993E-3</v>
      </c>
      <c r="BG76" s="69">
        <v>8.9430127000000009E-3</v>
      </c>
      <c r="BH76" s="69">
        <v>8.7602841999999993E-3</v>
      </c>
      <c r="BI76" s="69">
        <v>8.5812301000000001E-3</v>
      </c>
      <c r="BJ76" s="69">
        <v>8.4057808999999997E-3</v>
      </c>
      <c r="BK76" s="69">
        <v>8.2338680000000001E-3</v>
      </c>
      <c r="BL76" s="69">
        <v>8.0654236999999993E-3</v>
      </c>
      <c r="BM76" s="69">
        <v>7.9003813999999999E-3</v>
      </c>
      <c r="BN76" s="69">
        <v>7.7386755999999998E-3</v>
      </c>
      <c r="BO76" s="69">
        <v>7.5802415999999999E-3</v>
      </c>
      <c r="BP76" s="69">
        <v>7.4250160000000004E-3</v>
      </c>
      <c r="BQ76" s="69">
        <v>7.2729361000000003E-3</v>
      </c>
      <c r="BR76" s="69">
        <v>7.1239405000000002E-3</v>
      </c>
      <c r="BS76" s="69">
        <v>6.9779687999999996E-3</v>
      </c>
      <c r="BT76" s="69">
        <v>6.8349615000000002E-3</v>
      </c>
      <c r="BU76" s="69">
        <v>6.6948601999999996E-3</v>
      </c>
      <c r="BV76" s="69">
        <v>6.5576074999999998E-3</v>
      </c>
      <c r="BW76" s="69">
        <v>6.4231471000000002E-3</v>
      </c>
      <c r="BX76" s="69">
        <v>6.2914234999999997E-3</v>
      </c>
      <c r="BY76" s="69">
        <v>6.1623824999999998E-3</v>
      </c>
      <c r="BZ76" s="69">
        <v>6.0359704999999996E-3</v>
      </c>
      <c r="CA76" s="69">
        <v>5.9121351000000003E-3</v>
      </c>
      <c r="CB76" s="69">
        <v>5.7908248999999998E-3</v>
      </c>
      <c r="CC76" s="69">
        <v>5.6719895000000003E-3</v>
      </c>
      <c r="CD76" s="69">
        <v>5.5555791000000002E-3</v>
      </c>
      <c r="CE76" s="69">
        <v>5.4415452E-3</v>
      </c>
      <c r="CF76" s="69">
        <v>5.3298399999999998E-3</v>
      </c>
      <c r="CG76" s="69">
        <v>5.2204167000000001E-3</v>
      </c>
      <c r="CH76" s="69">
        <v>5.1132295000000001E-3</v>
      </c>
      <c r="CI76" s="69">
        <v>5.0082331000000004E-3</v>
      </c>
      <c r="CJ76" s="69">
        <v>4.9053834999999999E-3</v>
      </c>
      <c r="CK76" s="69">
        <v>4.8046371999999997E-3</v>
      </c>
      <c r="CL76" s="69">
        <v>4.7059518999999998E-3</v>
      </c>
      <c r="CM76" s="69">
        <v>4.6092857999999997E-3</v>
      </c>
      <c r="CN76" s="69">
        <v>4.5145979999999999E-3</v>
      </c>
      <c r="CO76" s="69">
        <v>4.4218484999999997E-3</v>
      </c>
      <c r="CP76" s="69">
        <v>4.330998E-3</v>
      </c>
      <c r="CQ76" s="69">
        <v>4.2420080000000002E-3</v>
      </c>
      <c r="CR76" s="69">
        <v>4.1548406999999997E-3</v>
      </c>
      <c r="CS76" s="69">
        <v>4.0694590999999997E-3</v>
      </c>
      <c r="CT76" s="69">
        <v>3.9858269999999999E-3</v>
      </c>
      <c r="CU76" s="69">
        <v>3.9039087E-3</v>
      </c>
      <c r="CV76" s="69">
        <v>3.8236694000000002E-3</v>
      </c>
      <c r="CW76" s="69">
        <v>3.7450750000000001E-3</v>
      </c>
      <c r="CX76" s="69">
        <v>3.6680918999999999E-3</v>
      </c>
      <c r="CY76" s="69">
        <v>3.5926872999999999E-3</v>
      </c>
      <c r="CZ76" s="69">
        <v>3.5188291999999999E-3</v>
      </c>
      <c r="DA76" s="69">
        <v>3.4464857999999998E-3</v>
      </c>
      <c r="DB76" s="69">
        <v>3.3756264999999998E-3</v>
      </c>
      <c r="DC76" s="69">
        <v>3.3062209000000002E-3</v>
      </c>
      <c r="DD76" s="69">
        <v>3.2382393000000001E-3</v>
      </c>
      <c r="DE76" s="69">
        <v>3.1716525999999998E-3</v>
      </c>
      <c r="DF76" s="69">
        <v>3.1064324999999999E-3</v>
      </c>
      <c r="DG76" s="69">
        <v>3.0425509000000001E-3</v>
      </c>
      <c r="DH76" s="69">
        <v>2.9799805999999999E-3</v>
      </c>
      <c r="DI76" s="69">
        <v>2.9186948000000002E-3</v>
      </c>
      <c r="DJ76" s="69">
        <v>2.8586671000000001E-3</v>
      </c>
      <c r="DK76" s="69">
        <v>2.7998718000000001E-3</v>
      </c>
      <c r="DL76" s="69">
        <v>2.7422839000000002E-3</v>
      </c>
      <c r="DM76" s="69">
        <v>2.6858784999999998E-3</v>
      </c>
      <c r="DN76" s="69">
        <v>2.6306315000000002E-3</v>
      </c>
      <c r="DO76" s="69">
        <v>2.5765191999999998E-3</v>
      </c>
      <c r="DP76" s="69">
        <v>2.5235182999999999E-3</v>
      </c>
      <c r="DQ76" s="69">
        <v>2.4716060999999999E-3</v>
      </c>
      <c r="DR76" s="69">
        <v>2.4207603000000002E-3</v>
      </c>
      <c r="DS76" s="69">
        <v>2.3709591000000002E-3</v>
      </c>
      <c r="DT76" s="69">
        <v>2.3221811E-3</v>
      </c>
      <c r="DU76" s="69">
        <v>2.2744052999999998E-3</v>
      </c>
      <c r="DV76" s="69">
        <v>2.2276112000000001E-3</v>
      </c>
      <c r="DW76" s="69">
        <v>2.1817786999999999E-3</v>
      </c>
      <c r="DX76" s="69">
        <v>2.136888E-3</v>
      </c>
      <c r="DY76" s="69">
        <v>2.0929198999999998E-3</v>
      </c>
      <c r="DZ76" s="69">
        <v>2.0498553999999999E-3</v>
      </c>
      <c r="EA76" s="69">
        <v>2.0076760999999999E-3</v>
      </c>
      <c r="EB76" s="69">
        <v>1.9663636999999999E-3</v>
      </c>
      <c r="EC76" s="69">
        <v>1.9259005999999999E-3</v>
      </c>
      <c r="ED76" s="69">
        <v>1.8862691999999999E-3</v>
      </c>
      <c r="EE76" s="69">
        <v>1.8474525E-3</v>
      </c>
      <c r="EF76" s="69">
        <v>1.8094338999999999E-3</v>
      </c>
      <c r="EG76" s="69">
        <v>1.7721969000000001E-3</v>
      </c>
      <c r="EH76" s="69">
        <v>1.7357255E-3</v>
      </c>
      <c r="EI76" s="69">
        <v>1.7000038999999999E-3</v>
      </c>
      <c r="EJ76" s="69">
        <v>1.6650168999999999E-3</v>
      </c>
      <c r="EK76" s="69">
        <v>1.6307493E-3</v>
      </c>
      <c r="EL76" s="69">
        <v>1.5971863999999999E-3</v>
      </c>
      <c r="EM76" s="69">
        <v>1.5643136999999999E-3</v>
      </c>
      <c r="EN76" s="69">
        <v>1.5321168999999999E-3</v>
      </c>
      <c r="EO76" s="69">
        <v>1.5005824E-3</v>
      </c>
      <c r="EP76" s="69">
        <v>1.4696964000000001E-3</v>
      </c>
      <c r="EQ76" s="69">
        <v>1.4394455999999999E-3</v>
      </c>
      <c r="ER76" s="69">
        <v>1.4098170000000001E-3</v>
      </c>
      <c r="ES76" s="69">
        <v>1.3807979000000001E-3</v>
      </c>
      <c r="ET76" s="69">
        <v>1.3523756E-3</v>
      </c>
      <c r="EU76" s="69">
        <v>1.3245380000000001E-3</v>
      </c>
      <c r="EV76" s="69">
        <v>1.297273E-3</v>
      </c>
      <c r="EW76" s="69">
        <v>1.2705689E-3</v>
      </c>
      <c r="EX76" s="69">
        <v>1.2444140999999999E-3</v>
      </c>
      <c r="EY76" s="69">
        <v>1.2187973999999999E-3</v>
      </c>
      <c r="EZ76" s="69">
        <v>1.1937076E-3</v>
      </c>
      <c r="FA76" s="69">
        <v>1.1691341000000001E-3</v>
      </c>
      <c r="FB76" s="69">
        <v>1.1450661E-3</v>
      </c>
      <c r="FC76" s="69">
        <v>1.1214933E-3</v>
      </c>
      <c r="FD76" s="69">
        <v>1.0984055E-3</v>
      </c>
      <c r="FE76" s="69">
        <v>1.0757928E-3</v>
      </c>
      <c r="FF76" s="69">
        <v>1.0536453000000001E-3</v>
      </c>
      <c r="FG76" s="69">
        <v>1.0319535999999999E-3</v>
      </c>
      <c r="FH76" s="69">
        <v>1.0107082E-3</v>
      </c>
      <c r="FI76" s="69">
        <v>9.898998999999999E-4</v>
      </c>
      <c r="FJ76" s="69">
        <v>9.6951980000000001E-4</v>
      </c>
      <c r="FK76" s="69">
        <v>9.4955919999999995E-4</v>
      </c>
      <c r="FL76" s="69">
        <v>9.3000920000000005E-4</v>
      </c>
      <c r="FM76" s="69">
        <v>9.1086159999999999E-4</v>
      </c>
      <c r="FN76" s="69">
        <v>8.921081E-4</v>
      </c>
      <c r="FO76" s="69">
        <v>8.7374049999999997E-4</v>
      </c>
      <c r="FP76" s="69">
        <v>8.5575090000000005E-4</v>
      </c>
      <c r="FQ76" s="69">
        <v>8.3813150000000005E-4</v>
      </c>
    </row>
    <row r="77" spans="1:173" x14ac:dyDescent="0.25">
      <c r="A77" s="71">
        <v>75</v>
      </c>
      <c r="B77" s="69">
        <v>3.0710723400000001E-2</v>
      </c>
      <c r="C77" s="69">
        <v>3.0200300999999999E-2</v>
      </c>
      <c r="D77" s="69">
        <v>2.9691623699999999E-2</v>
      </c>
      <c r="E77" s="69">
        <v>2.9185312500000001E-2</v>
      </c>
      <c r="F77" s="69">
        <v>2.86819278E-2</v>
      </c>
      <c r="G77" s="69">
        <v>2.8181973799999999E-2</v>
      </c>
      <c r="H77" s="69">
        <v>2.7685902599999999E-2</v>
      </c>
      <c r="I77" s="69">
        <v>2.7194118199999999E-2</v>
      </c>
      <c r="J77" s="69">
        <v>2.67069801E-2</v>
      </c>
      <c r="K77" s="69">
        <v>2.6224806699999999E-2</v>
      </c>
      <c r="L77" s="69">
        <v>2.5747878599999999E-2</v>
      </c>
      <c r="M77" s="69">
        <v>2.5276441699999999E-2</v>
      </c>
      <c r="N77" s="69">
        <v>2.4810709600000001E-2</v>
      </c>
      <c r="O77" s="69">
        <v>2.43508669E-2</v>
      </c>
      <c r="P77" s="69">
        <v>2.3897070900000001E-2</v>
      </c>
      <c r="Q77" s="69">
        <v>2.34494544E-2</v>
      </c>
      <c r="R77" s="69">
        <v>2.30081278E-2</v>
      </c>
      <c r="S77" s="69">
        <v>2.2573180599999999E-2</v>
      </c>
      <c r="T77" s="69">
        <v>2.2144683700000001E-2</v>
      </c>
      <c r="U77" s="69">
        <v>2.17226908E-2</v>
      </c>
      <c r="V77" s="69">
        <v>2.1307240099999999E-2</v>
      </c>
      <c r="W77" s="69">
        <v>2.08983555E-2</v>
      </c>
      <c r="X77" s="69">
        <v>2.04960483E-2</v>
      </c>
      <c r="Y77" s="69">
        <v>2.0100318200000002E-2</v>
      </c>
      <c r="Z77" s="69">
        <v>1.9711154099999999E-2</v>
      </c>
      <c r="AA77" s="69">
        <v>1.9328535899999999E-2</v>
      </c>
      <c r="AB77" s="69">
        <v>1.8952434600000002E-2</v>
      </c>
      <c r="AC77" s="69">
        <v>1.8582813900000002E-2</v>
      </c>
      <c r="AD77" s="69">
        <v>1.8219630399999999E-2</v>
      </c>
      <c r="AE77" s="69">
        <v>1.7862834899999999E-2</v>
      </c>
      <c r="AF77" s="69">
        <v>1.7512372500000001E-2</v>
      </c>
      <c r="AG77" s="69">
        <v>1.7168183699999999E-2</v>
      </c>
      <c r="AH77" s="69">
        <v>1.6830204800000002E-2</v>
      </c>
      <c r="AI77" s="69">
        <v>1.6498368199999999E-2</v>
      </c>
      <c r="AJ77" s="69">
        <v>1.61726032E-2</v>
      </c>
      <c r="AK77" s="69">
        <v>1.5852836299999999E-2</v>
      </c>
      <c r="AL77" s="69">
        <v>1.55389916E-2</v>
      </c>
      <c r="AM77" s="69">
        <v>1.5230990999999999E-2</v>
      </c>
      <c r="AN77" s="69">
        <v>1.4928754799999999E-2</v>
      </c>
      <c r="AO77" s="69">
        <v>1.4632201900000001E-2</v>
      </c>
      <c r="AP77" s="69">
        <v>1.4341250099999999E-2</v>
      </c>
      <c r="AQ77" s="69">
        <v>1.40558161E-2</v>
      </c>
      <c r="AR77" s="69">
        <v>1.3775816099999999E-2</v>
      </c>
      <c r="AS77" s="69">
        <v>1.35011657E-2</v>
      </c>
      <c r="AT77" s="69">
        <v>1.3231780199999999E-2</v>
      </c>
      <c r="AU77" s="69">
        <v>1.29675751E-2</v>
      </c>
      <c r="AV77" s="69">
        <v>1.2708465400000001E-2</v>
      </c>
      <c r="AW77" s="69">
        <v>1.2454366600000001E-2</v>
      </c>
      <c r="AX77" s="69">
        <v>1.22051943E-2</v>
      </c>
      <c r="AY77" s="69">
        <v>1.19608648E-2</v>
      </c>
      <c r="AZ77" s="69">
        <v>1.17212944E-2</v>
      </c>
      <c r="BA77" s="69">
        <v>1.1486400399999999E-2</v>
      </c>
      <c r="BB77" s="69">
        <v>1.12561005E-2</v>
      </c>
      <c r="BC77" s="69">
        <v>1.10303133E-2</v>
      </c>
      <c r="BD77" s="69">
        <v>1.0808957900000001E-2</v>
      </c>
      <c r="BE77" s="69">
        <v>1.05919546E-2</v>
      </c>
      <c r="BF77" s="69">
        <v>1.03792242E-2</v>
      </c>
      <c r="BG77" s="69">
        <v>1.01706887E-2</v>
      </c>
      <c r="BH77" s="69">
        <v>9.9662708999999992E-3</v>
      </c>
      <c r="BI77" s="69">
        <v>9.7658946999999996E-3</v>
      </c>
      <c r="BJ77" s="69">
        <v>9.5694847999999999E-3</v>
      </c>
      <c r="BK77" s="69">
        <v>9.3769671999999991E-3</v>
      </c>
      <c r="BL77" s="69">
        <v>9.1882687999999997E-3</v>
      </c>
      <c r="BM77" s="69">
        <v>9.0033175E-3</v>
      </c>
      <c r="BN77" s="69">
        <v>8.8220425000000002E-3</v>
      </c>
      <c r="BO77" s="69">
        <v>8.6443736999999993E-3</v>
      </c>
      <c r="BP77" s="69">
        <v>8.4702426000000004E-3</v>
      </c>
      <c r="BQ77" s="69">
        <v>8.2995811999999995E-3</v>
      </c>
      <c r="BR77" s="69">
        <v>8.1323230999999999E-3</v>
      </c>
      <c r="BS77" s="69">
        <v>7.9684027000000001E-3</v>
      </c>
      <c r="BT77" s="69">
        <v>7.8077557000000002E-3</v>
      </c>
      <c r="BU77" s="69">
        <v>7.6503185000000003E-3</v>
      </c>
      <c r="BV77" s="69">
        <v>7.4960291E-3</v>
      </c>
      <c r="BW77" s="69">
        <v>7.3448261000000001E-3</v>
      </c>
      <c r="BX77" s="69">
        <v>7.1966495E-3</v>
      </c>
      <c r="BY77" s="69">
        <v>7.0514401000000004E-3</v>
      </c>
      <c r="BZ77" s="69">
        <v>6.9091400000000002E-3</v>
      </c>
      <c r="CA77" s="69">
        <v>6.7696922E-3</v>
      </c>
      <c r="CB77" s="69">
        <v>6.6330406E-3</v>
      </c>
      <c r="CC77" s="69">
        <v>6.4991303999999998E-3</v>
      </c>
      <c r="CD77" s="69">
        <v>6.3679074999999996E-3</v>
      </c>
      <c r="CE77" s="69">
        <v>6.2393190999999997E-3</v>
      </c>
      <c r="CF77" s="69">
        <v>6.1133130000000004E-3</v>
      </c>
      <c r="CG77" s="69">
        <v>5.9898384000000001E-3</v>
      </c>
      <c r="CH77" s="69">
        <v>5.8688450999999997E-3</v>
      </c>
      <c r="CI77" s="69">
        <v>5.7502841000000001E-3</v>
      </c>
      <c r="CJ77" s="69">
        <v>5.6341070000000002E-3</v>
      </c>
      <c r="CK77" s="69">
        <v>5.5202665999999996E-3</v>
      </c>
      <c r="CL77" s="69">
        <v>5.4087164999999998E-3</v>
      </c>
      <c r="CM77" s="69">
        <v>5.2994111999999996E-3</v>
      </c>
      <c r="CN77" s="69">
        <v>5.1923059999999998E-3</v>
      </c>
      <c r="CO77" s="69">
        <v>5.0873571000000003E-3</v>
      </c>
      <c r="CP77" s="69">
        <v>4.9845217000000002E-3</v>
      </c>
      <c r="CQ77" s="69">
        <v>4.8837574E-3</v>
      </c>
      <c r="CR77" s="69">
        <v>4.7850230999999998E-3</v>
      </c>
      <c r="CS77" s="69">
        <v>4.6882783000000003E-3</v>
      </c>
      <c r="CT77" s="69">
        <v>4.5934831000000002E-3</v>
      </c>
      <c r="CU77" s="69">
        <v>4.5005986E-3</v>
      </c>
      <c r="CV77" s="69">
        <v>4.4095866999999999E-3</v>
      </c>
      <c r="CW77" s="69">
        <v>4.3204098000000002E-3</v>
      </c>
      <c r="CX77" s="69">
        <v>4.2330312999999996E-3</v>
      </c>
      <c r="CY77" s="69">
        <v>4.1474151999999999E-3</v>
      </c>
      <c r="CZ77" s="69">
        <v>4.0635261000000001E-3</v>
      </c>
      <c r="DA77" s="69">
        <v>3.9813293999999997E-3</v>
      </c>
      <c r="DB77" s="69">
        <v>3.9007912999999999E-3</v>
      </c>
      <c r="DC77" s="69">
        <v>3.8218784E-3</v>
      </c>
      <c r="DD77" s="69">
        <v>3.7445580999999999E-3</v>
      </c>
      <c r="DE77" s="69">
        <v>3.6687985999999998E-3</v>
      </c>
      <c r="DF77" s="69">
        <v>3.5945683999999999E-3</v>
      </c>
      <c r="DG77" s="69">
        <v>3.5218368999999999E-3</v>
      </c>
      <c r="DH77" s="69">
        <v>3.4505739000000001E-3</v>
      </c>
      <c r="DI77" s="69">
        <v>3.3807500000000001E-3</v>
      </c>
      <c r="DJ77" s="69">
        <v>3.3123362E-3</v>
      </c>
      <c r="DK77" s="69">
        <v>3.2453041000000001E-3</v>
      </c>
      <c r="DL77" s="69">
        <v>3.1796261000000001E-3</v>
      </c>
      <c r="DM77" s="69">
        <v>3.1152748000000002E-3</v>
      </c>
      <c r="DN77" s="69">
        <v>3.0522237E-3</v>
      </c>
      <c r="DO77" s="69">
        <v>2.9904464E-3</v>
      </c>
      <c r="DP77" s="69">
        <v>2.9299173999999999E-3</v>
      </c>
      <c r="DQ77" s="69">
        <v>2.8706115000000001E-3</v>
      </c>
      <c r="DR77" s="69">
        <v>2.8125042E-3</v>
      </c>
      <c r="DS77" s="69">
        <v>2.7555713000000002E-3</v>
      </c>
      <c r="DT77" s="69">
        <v>2.6997891000000002E-3</v>
      </c>
      <c r="DU77" s="69">
        <v>2.6451345000000001E-3</v>
      </c>
      <c r="DV77" s="69">
        <v>2.5915846999999999E-3</v>
      </c>
      <c r="DW77" s="69">
        <v>2.5391175000000002E-3</v>
      </c>
      <c r="DX77" s="69">
        <v>2.4877110000000001E-3</v>
      </c>
      <c r="DY77" s="69">
        <v>2.4373439000000001E-3</v>
      </c>
      <c r="DZ77" s="69">
        <v>2.3879952E-3</v>
      </c>
      <c r="EA77" s="69">
        <v>2.3396443999999998E-3</v>
      </c>
      <c r="EB77" s="69">
        <v>2.2922713999999999E-3</v>
      </c>
      <c r="EC77" s="69">
        <v>2.2458564999999998E-3</v>
      </c>
      <c r="ED77" s="69">
        <v>2.2003802000000001E-3</v>
      </c>
      <c r="EE77" s="69">
        <v>2.1558237000000001E-3</v>
      </c>
      <c r="EF77" s="69">
        <v>2.1121684999999999E-3</v>
      </c>
      <c r="EG77" s="69">
        <v>2.0693962999999999E-3</v>
      </c>
      <c r="EH77" s="69">
        <v>2.0274893E-3</v>
      </c>
      <c r="EI77" s="69">
        <v>1.98643E-3</v>
      </c>
      <c r="EJ77" s="69">
        <v>1.9462014E-3</v>
      </c>
      <c r="EK77" s="69">
        <v>1.9067867E-3</v>
      </c>
      <c r="EL77" s="69">
        <v>1.8681695E-3</v>
      </c>
      <c r="EM77" s="69">
        <v>1.8303335999999999E-3</v>
      </c>
      <c r="EN77" s="69">
        <v>1.7932632000000001E-3</v>
      </c>
      <c r="EO77" s="69">
        <v>1.756943E-3</v>
      </c>
      <c r="EP77" s="69">
        <v>1.7213577E-3</v>
      </c>
      <c r="EQ77" s="69">
        <v>1.6864924999999999E-3</v>
      </c>
      <c r="ER77" s="69">
        <v>1.6523328999999999E-3</v>
      </c>
      <c r="ES77" s="69">
        <v>1.6188646E-3</v>
      </c>
      <c r="ET77" s="69">
        <v>1.5860736999999999E-3</v>
      </c>
      <c r="EU77" s="69">
        <v>1.5539464E-3</v>
      </c>
      <c r="EV77" s="69">
        <v>1.5224694E-3</v>
      </c>
      <c r="EW77" s="69">
        <v>1.4916294999999999E-3</v>
      </c>
      <c r="EX77" s="69">
        <v>1.4614138E-3</v>
      </c>
      <c r="EY77" s="69">
        <v>1.4318098000000001E-3</v>
      </c>
      <c r="EZ77" s="69">
        <v>1.402805E-3</v>
      </c>
      <c r="FA77" s="69">
        <v>1.3743874000000001E-3</v>
      </c>
      <c r="FB77" s="69">
        <v>1.346545E-3</v>
      </c>
      <c r="FC77" s="69">
        <v>1.3192663E-3</v>
      </c>
      <c r="FD77" s="69">
        <v>1.2925397999999999E-3</v>
      </c>
      <c r="FE77" s="69">
        <v>1.2663545000000001E-3</v>
      </c>
      <c r="FF77" s="69">
        <v>1.2406992999999999E-3</v>
      </c>
      <c r="FG77" s="69">
        <v>1.2155635E-3</v>
      </c>
      <c r="FH77" s="69">
        <v>1.1909366000000001E-3</v>
      </c>
      <c r="FI77" s="69">
        <v>1.1668084E-3</v>
      </c>
      <c r="FJ77" s="69">
        <v>1.1431687E-3</v>
      </c>
      <c r="FK77" s="69">
        <v>1.1200076999999999E-3</v>
      </c>
      <c r="FL77" s="69">
        <v>1.0973157E-3</v>
      </c>
      <c r="FM77" s="69">
        <v>1.0750832E-3</v>
      </c>
      <c r="FN77" s="69">
        <v>1.0533008999999999E-3</v>
      </c>
      <c r="FO77" s="69">
        <v>1.0319597000000001E-3</v>
      </c>
      <c r="FP77" s="69">
        <v>1.0110506000000001E-3</v>
      </c>
      <c r="FQ77" s="69">
        <v>9.9056509999999993E-4</v>
      </c>
    </row>
    <row r="78" spans="1:173" x14ac:dyDescent="0.25">
      <c r="A78" s="71">
        <v>76</v>
      </c>
      <c r="B78" s="69">
        <v>3.4202319500000002E-2</v>
      </c>
      <c r="C78" s="69">
        <v>3.3676172599999998E-2</v>
      </c>
      <c r="D78" s="69">
        <v>3.31489165E-2</v>
      </c>
      <c r="E78" s="69">
        <v>3.2621436699999999E-2</v>
      </c>
      <c r="F78" s="69">
        <v>3.20945402E-2</v>
      </c>
      <c r="G78" s="69">
        <v>3.1568960899999998E-2</v>
      </c>
      <c r="H78" s="69">
        <v>3.10453646E-2</v>
      </c>
      <c r="I78" s="69">
        <v>3.0524353600000002E-2</v>
      </c>
      <c r="J78" s="69">
        <v>3.00064715E-2</v>
      </c>
      <c r="K78" s="69">
        <v>2.9492206999999999E-2</v>
      </c>
      <c r="L78" s="69">
        <v>2.8981998599999999E-2</v>
      </c>
      <c r="M78" s="69">
        <v>2.84762377E-2</v>
      </c>
      <c r="N78" s="69">
        <v>2.7975272499999999E-2</v>
      </c>
      <c r="O78" s="69">
        <v>2.7479411499999998E-2</v>
      </c>
      <c r="P78" s="69">
        <v>2.6988926399999998E-2</v>
      </c>
      <c r="Q78" s="69">
        <v>2.6504054999999999E-2</v>
      </c>
      <c r="R78" s="69">
        <v>2.6025004099999999E-2</v>
      </c>
      <c r="S78" s="69">
        <v>2.5551951999999999E-2</v>
      </c>
      <c r="T78" s="69">
        <v>2.5085050599999999E-2</v>
      </c>
      <c r="U78" s="69">
        <v>2.4624428199999999E-2</v>
      </c>
      <c r="V78" s="69">
        <v>2.4170190899999999E-2</v>
      </c>
      <c r="W78" s="69">
        <v>2.3722424999999998E-2</v>
      </c>
      <c r="X78" s="69">
        <v>2.3281198199999999E-2</v>
      </c>
      <c r="Y78" s="69">
        <v>2.2846561899999999E-2</v>
      </c>
      <c r="Z78" s="69">
        <v>2.2418552099999999E-2</v>
      </c>
      <c r="AA78" s="69">
        <v>2.1997191199999998E-2</v>
      </c>
      <c r="AB78" s="69">
        <v>2.1582489E-2</v>
      </c>
      <c r="AC78" s="69">
        <v>2.11744442E-2</v>
      </c>
      <c r="AD78" s="69">
        <v>2.0773045E-2</v>
      </c>
      <c r="AE78" s="69">
        <v>2.03782705E-2</v>
      </c>
      <c r="AF78" s="69">
        <v>1.99900917E-2</v>
      </c>
      <c r="AG78" s="69">
        <v>1.96084719E-2</v>
      </c>
      <c r="AH78" s="69">
        <v>1.9233367800000001E-2</v>
      </c>
      <c r="AI78" s="69">
        <v>1.88647303E-2</v>
      </c>
      <c r="AJ78" s="69">
        <v>1.8502504600000001E-2</v>
      </c>
      <c r="AK78" s="69">
        <v>1.8146631699999999E-2</v>
      </c>
      <c r="AL78" s="69">
        <v>1.7797048199999999E-2</v>
      </c>
      <c r="AM78" s="69">
        <v>1.7453686900000001E-2</v>
      </c>
      <c r="AN78" s="69">
        <v>1.7116477799999998E-2</v>
      </c>
      <c r="AO78" s="69">
        <v>1.6785347799999999E-2</v>
      </c>
      <c r="AP78" s="69">
        <v>1.6460221600000002E-2</v>
      </c>
      <c r="AQ78" s="69">
        <v>1.6141021799999999E-2</v>
      </c>
      <c r="AR78" s="69">
        <v>1.58276693E-2</v>
      </c>
      <c r="AS78" s="69">
        <v>1.55200836E-2</v>
      </c>
      <c r="AT78" s="69">
        <v>1.5218183099999999E-2</v>
      </c>
      <c r="AU78" s="69">
        <v>1.4921885100000001E-2</v>
      </c>
      <c r="AV78" s="69">
        <v>1.46311064E-2</v>
      </c>
      <c r="AW78" s="69">
        <v>1.43457633E-2</v>
      </c>
      <c r="AX78" s="69">
        <v>1.4065771600000001E-2</v>
      </c>
      <c r="AY78" s="69">
        <v>1.37910472E-2</v>
      </c>
      <c r="AZ78" s="69">
        <v>1.35215059E-2</v>
      </c>
      <c r="BA78" s="69">
        <v>1.32570634E-2</v>
      </c>
      <c r="BB78" s="69">
        <v>1.29976361E-2</v>
      </c>
      <c r="BC78" s="69">
        <v>1.27431404E-2</v>
      </c>
      <c r="BD78" s="69">
        <v>1.24934933E-2</v>
      </c>
      <c r="BE78" s="69">
        <v>1.22486122E-2</v>
      </c>
      <c r="BF78" s="69">
        <v>1.20084153E-2</v>
      </c>
      <c r="BG78" s="69">
        <v>1.17728213E-2</v>
      </c>
      <c r="BH78" s="69">
        <v>1.15417499E-2</v>
      </c>
      <c r="BI78" s="69">
        <v>1.13151212E-2</v>
      </c>
      <c r="BJ78" s="69">
        <v>1.1092856599999999E-2</v>
      </c>
      <c r="BK78" s="69">
        <v>1.0874878100000001E-2</v>
      </c>
      <c r="BL78" s="69">
        <v>1.06611085E-2</v>
      </c>
      <c r="BM78" s="69">
        <v>1.0451472E-2</v>
      </c>
      <c r="BN78" s="69">
        <v>1.02458932E-2</v>
      </c>
      <c r="BO78" s="69">
        <v>1.0044298300000001E-2</v>
      </c>
      <c r="BP78" s="69">
        <v>9.8466139000000005E-3</v>
      </c>
      <c r="BQ78" s="69">
        <v>9.6527682E-3</v>
      </c>
      <c r="BR78" s="69">
        <v>9.4626901000000006E-3</v>
      </c>
      <c r="BS78" s="69">
        <v>9.2763094999999997E-3</v>
      </c>
      <c r="BT78" s="69">
        <v>9.0935576999999993E-3</v>
      </c>
      <c r="BU78" s="69">
        <v>8.9143665999999993E-3</v>
      </c>
      <c r="BV78" s="69">
        <v>8.7386696999999999E-3</v>
      </c>
      <c r="BW78" s="69">
        <v>8.5664009999999995E-3</v>
      </c>
      <c r="BX78" s="69">
        <v>8.3974960000000008E-3</v>
      </c>
      <c r="BY78" s="69">
        <v>8.2318909999999999E-3</v>
      </c>
      <c r="BZ78" s="69">
        <v>8.0695235000000001E-3</v>
      </c>
      <c r="CA78" s="69">
        <v>7.9103318999999995E-3</v>
      </c>
      <c r="CB78" s="69">
        <v>7.7542558999999997E-3</v>
      </c>
      <c r="CC78" s="69">
        <v>7.6012359000000003E-3</v>
      </c>
      <c r="CD78" s="69">
        <v>7.4512136999999997E-3</v>
      </c>
      <c r="CE78" s="69">
        <v>7.3041317E-3</v>
      </c>
      <c r="CF78" s="69">
        <v>7.1599335999999996E-3</v>
      </c>
      <c r="CG78" s="69">
        <v>7.0185639999999997E-3</v>
      </c>
      <c r="CH78" s="69">
        <v>6.8799684999999999E-3</v>
      </c>
      <c r="CI78" s="69">
        <v>6.7440937000000003E-3</v>
      </c>
      <c r="CJ78" s="69">
        <v>6.6108870999999998E-3</v>
      </c>
      <c r="CK78" s="69">
        <v>6.4802972000000004E-3</v>
      </c>
      <c r="CL78" s="69">
        <v>6.3522734000000004E-3</v>
      </c>
      <c r="CM78" s="69">
        <v>6.2267661000000004E-3</v>
      </c>
      <c r="CN78" s="69">
        <v>6.1037264000000004E-3</v>
      </c>
      <c r="CO78" s="69">
        <v>5.9831066000000004E-3</v>
      </c>
      <c r="CP78" s="69">
        <v>5.8648596999999998E-3</v>
      </c>
      <c r="CQ78" s="69">
        <v>5.7489396E-3</v>
      </c>
      <c r="CR78" s="69">
        <v>5.6353011000000001E-3</v>
      </c>
      <c r="CS78" s="69">
        <v>5.5238997000000003E-3</v>
      </c>
      <c r="CT78" s="69">
        <v>5.4146919E-3</v>
      </c>
      <c r="CU78" s="69">
        <v>5.3076349999999998E-3</v>
      </c>
      <c r="CV78" s="69">
        <v>5.2026870999999997E-3</v>
      </c>
      <c r="CW78" s="69">
        <v>5.0998069E-3</v>
      </c>
      <c r="CX78" s="69">
        <v>4.9989542E-3</v>
      </c>
      <c r="CY78" s="69">
        <v>4.9000893000000004E-3</v>
      </c>
      <c r="CZ78" s="69">
        <v>4.8031734000000001E-3</v>
      </c>
      <c r="DA78" s="69">
        <v>4.7081683999999997E-3</v>
      </c>
      <c r="DB78" s="69">
        <v>4.6150369000000002E-3</v>
      </c>
      <c r="DC78" s="69">
        <v>4.5237421999999999E-3</v>
      </c>
      <c r="DD78" s="69">
        <v>4.4342484000000001E-3</v>
      </c>
      <c r="DE78" s="69">
        <v>4.3465201999999996E-3</v>
      </c>
      <c r="DF78" s="69">
        <v>4.2605229999999996E-3</v>
      </c>
      <c r="DG78" s="69">
        <v>4.1762229000000001E-3</v>
      </c>
      <c r="DH78" s="69">
        <v>4.0935865000000004E-3</v>
      </c>
      <c r="DI78" s="69">
        <v>4.0125813E-3</v>
      </c>
      <c r="DJ78" s="69">
        <v>3.9331753000000002E-3</v>
      </c>
      <c r="DK78" s="69">
        <v>3.8553369999999999E-3</v>
      </c>
      <c r="DL78" s="69">
        <v>3.7790355999999998E-3</v>
      </c>
      <c r="DM78" s="69">
        <v>3.7042411000000001E-3</v>
      </c>
      <c r="DN78" s="69">
        <v>3.6309237000000001E-3</v>
      </c>
      <c r="DO78" s="69">
        <v>3.5590545E-3</v>
      </c>
      <c r="DP78" s="69">
        <v>3.4886049000000001E-3</v>
      </c>
      <c r="DQ78" s="69">
        <v>3.4195471999999998E-3</v>
      </c>
      <c r="DR78" s="69">
        <v>3.3518538E-3</v>
      </c>
      <c r="DS78" s="69">
        <v>3.2854978999999999E-3</v>
      </c>
      <c r="DT78" s="69">
        <v>3.2204533E-3</v>
      </c>
      <c r="DU78" s="69">
        <v>3.1566941999999999E-3</v>
      </c>
      <c r="DV78" s="69">
        <v>3.0941951000000001E-3</v>
      </c>
      <c r="DW78" s="69">
        <v>3.0329314000000001E-3</v>
      </c>
      <c r="DX78" s="69">
        <v>2.9728786999999998E-3</v>
      </c>
      <c r="DY78" s="69">
        <v>2.9140131000000001E-3</v>
      </c>
      <c r="DZ78" s="69">
        <v>2.8563112999999999E-3</v>
      </c>
      <c r="EA78" s="69">
        <v>2.7997502999999998E-3</v>
      </c>
      <c r="EB78" s="69">
        <v>2.7443076999999999E-3</v>
      </c>
      <c r="EC78" s="69">
        <v>2.6899614E-3</v>
      </c>
      <c r="ED78" s="69">
        <v>2.6366898000000001E-3</v>
      </c>
      <c r="EE78" s="69">
        <v>2.5844715999999998E-3</v>
      </c>
      <c r="EF78" s="69">
        <v>2.5332863000000001E-3</v>
      </c>
      <c r="EG78" s="69">
        <v>2.4831133E-3</v>
      </c>
      <c r="EH78" s="69">
        <v>2.4339327E-3</v>
      </c>
      <c r="EI78" s="69">
        <v>2.385725E-3</v>
      </c>
      <c r="EJ78" s="69">
        <v>2.3384708999999999E-3</v>
      </c>
      <c r="EK78" s="69">
        <v>2.2921515999999999E-3</v>
      </c>
      <c r="EL78" s="69">
        <v>2.2467487E-3</v>
      </c>
      <c r="EM78" s="69">
        <v>2.2022440999999999E-3</v>
      </c>
      <c r="EN78" s="69">
        <v>2.15862E-3</v>
      </c>
      <c r="EO78" s="69">
        <v>2.1158592E-3</v>
      </c>
      <c r="EP78" s="69">
        <v>2.0739445E-3</v>
      </c>
      <c r="EQ78" s="69">
        <v>2.0328592000000002E-3</v>
      </c>
      <c r="ER78" s="69">
        <v>1.9925870000000001E-3</v>
      </c>
      <c r="ES78" s="69">
        <v>1.9531118000000001E-3</v>
      </c>
      <c r="ET78" s="69">
        <v>1.9144178999999999E-3</v>
      </c>
      <c r="EU78" s="69">
        <v>1.8764897999999999E-3</v>
      </c>
      <c r="EV78" s="69">
        <v>1.8393124E-3</v>
      </c>
      <c r="EW78" s="69">
        <v>1.8028708999999999E-3</v>
      </c>
      <c r="EX78" s="69">
        <v>1.7671506999999999E-3</v>
      </c>
      <c r="EY78" s="69">
        <v>1.7321375999999999E-3</v>
      </c>
      <c r="EZ78" s="69">
        <v>1.6978176000000001E-3</v>
      </c>
      <c r="FA78" s="69">
        <v>1.6641771E-3</v>
      </c>
      <c r="FB78" s="69">
        <v>1.6312026E-3</v>
      </c>
      <c r="FC78" s="69">
        <v>1.5988809000000001E-3</v>
      </c>
      <c r="FD78" s="69">
        <v>1.5671991000000001E-3</v>
      </c>
      <c r="FE78" s="69">
        <v>1.5361445999999999E-3</v>
      </c>
      <c r="FF78" s="69">
        <v>1.5057048999999999E-3</v>
      </c>
      <c r="FG78" s="69">
        <v>1.475868E-3</v>
      </c>
      <c r="FH78" s="69">
        <v>1.4466220000000001E-3</v>
      </c>
      <c r="FI78" s="69">
        <v>1.417955E-3</v>
      </c>
      <c r="FJ78" s="69">
        <v>1.3898557E-3</v>
      </c>
      <c r="FK78" s="69">
        <v>1.3623128999999999E-3</v>
      </c>
      <c r="FL78" s="69">
        <v>1.3353155000000001E-3</v>
      </c>
      <c r="FM78" s="69">
        <v>1.3088526999999999E-3</v>
      </c>
      <c r="FN78" s="69">
        <v>1.2829141000000001E-3</v>
      </c>
      <c r="FO78" s="69">
        <v>1.2574891999999999E-3</v>
      </c>
      <c r="FP78" s="69">
        <v>1.2325678E-3</v>
      </c>
      <c r="FQ78" s="69">
        <v>1.2081399999999999E-3</v>
      </c>
    </row>
    <row r="79" spans="1:173" x14ac:dyDescent="0.25">
      <c r="A79" s="71">
        <v>77</v>
      </c>
      <c r="B79" s="69">
        <v>3.8043352500000002E-2</v>
      </c>
      <c r="C79" s="69">
        <v>3.7513138500000001E-2</v>
      </c>
      <c r="D79" s="69">
        <v>3.69779238E-2</v>
      </c>
      <c r="E79" s="69">
        <v>3.6438916100000003E-2</v>
      </c>
      <c r="F79" s="69">
        <v>3.5897225300000002E-2</v>
      </c>
      <c r="G79" s="69">
        <v>3.5353869199999999E-2</v>
      </c>
      <c r="H79" s="69">
        <v>3.4809779300000003E-2</v>
      </c>
      <c r="I79" s="69">
        <v>3.4265806099999997E-2</v>
      </c>
      <c r="J79" s="69">
        <v>3.3722724799999999E-2</v>
      </c>
      <c r="K79" s="69">
        <v>3.3181240100000002E-2</v>
      </c>
      <c r="L79" s="69">
        <v>3.2641991000000002E-2</v>
      </c>
      <c r="M79" s="69">
        <v>3.2105555500000001E-2</v>
      </c>
      <c r="N79" s="69">
        <v>3.1572455300000003E-2</v>
      </c>
      <c r="O79" s="69">
        <v>3.10431592E-2</v>
      </c>
      <c r="P79" s="69">
        <v>3.05180876E-2</v>
      </c>
      <c r="Q79" s="69">
        <v>2.9997616000000001E-2</v>
      </c>
      <c r="R79" s="69">
        <v>2.94820784E-2</v>
      </c>
      <c r="S79" s="69">
        <v>2.8971770300000001E-2</v>
      </c>
      <c r="T79" s="69">
        <v>2.8466952100000002E-2</v>
      </c>
      <c r="U79" s="69">
        <v>2.7967851799999999E-2</v>
      </c>
      <c r="V79" s="69">
        <v>2.74746674E-2</v>
      </c>
      <c r="W79" s="69">
        <v>2.6987569499999999E-2</v>
      </c>
      <c r="X79" s="69">
        <v>2.6506703600000001E-2</v>
      </c>
      <c r="Y79" s="69">
        <v>2.6032192199999998E-2</v>
      </c>
      <c r="Z79" s="69">
        <v>2.55641367E-2</v>
      </c>
      <c r="AA79" s="69">
        <v>2.5102619199999999E-2</v>
      </c>
      <c r="AB79" s="69">
        <v>2.46477043E-2</v>
      </c>
      <c r="AC79" s="69">
        <v>2.4199440499999999E-2</v>
      </c>
      <c r="AD79" s="69">
        <v>2.3757861700000001E-2</v>
      </c>
      <c r="AE79" s="69">
        <v>2.3322988699999998E-2</v>
      </c>
      <c r="AF79" s="69">
        <v>2.2894830099999999E-2</v>
      </c>
      <c r="AG79" s="69">
        <v>2.2473383699999998E-2</v>
      </c>
      <c r="AH79" s="69">
        <v>2.2058637200000002E-2</v>
      </c>
      <c r="AI79" s="69">
        <v>2.16505697E-2</v>
      </c>
      <c r="AJ79" s="69">
        <v>2.1249152100000002E-2</v>
      </c>
      <c r="AK79" s="69">
        <v>2.0854348200000001E-2</v>
      </c>
      <c r="AL79" s="69">
        <v>2.0466115199999999E-2</v>
      </c>
      <c r="AM79" s="69">
        <v>2.0084404699999999E-2</v>
      </c>
      <c r="AN79" s="69">
        <v>1.97091629E-2</v>
      </c>
      <c r="AO79" s="69">
        <v>1.9340331700000001E-2</v>
      </c>
      <c r="AP79" s="69">
        <v>1.8977848700000001E-2</v>
      </c>
      <c r="AQ79" s="69">
        <v>1.86216482E-2</v>
      </c>
      <c r="AR79" s="69">
        <v>1.8271661200000001E-2</v>
      </c>
      <c r="AS79" s="69">
        <v>1.7927816100000001E-2</v>
      </c>
      <c r="AT79" s="69">
        <v>1.7590038799999999E-2</v>
      </c>
      <c r="AU79" s="69">
        <v>1.7258253300000002E-2</v>
      </c>
      <c r="AV79" s="69">
        <v>1.6932381999999999E-2</v>
      </c>
      <c r="AW79" s="69">
        <v>1.66123457E-2</v>
      </c>
      <c r="AX79" s="69">
        <v>1.62980642E-2</v>
      </c>
      <c r="AY79" s="69">
        <v>1.59894563E-2</v>
      </c>
      <c r="AZ79" s="69">
        <v>1.5686440100000001E-2</v>
      </c>
      <c r="BA79" s="69">
        <v>1.53889332E-2</v>
      </c>
      <c r="BB79" s="69">
        <v>1.5096852900000001E-2</v>
      </c>
      <c r="BC79" s="69">
        <v>1.4810116200000001E-2</v>
      </c>
      <c r="BD79" s="69">
        <v>1.4528640299999999E-2</v>
      </c>
      <c r="BE79" s="69">
        <v>1.4252342100000001E-2</v>
      </c>
      <c r="BF79" s="69">
        <v>1.3981139E-2</v>
      </c>
      <c r="BG79" s="69">
        <v>1.37149487E-2</v>
      </c>
      <c r="BH79" s="69">
        <v>1.3453689200000001E-2</v>
      </c>
      <c r="BI79" s="69">
        <v>1.3197279100000001E-2</v>
      </c>
      <c r="BJ79" s="69">
        <v>1.29456374E-2</v>
      </c>
      <c r="BK79" s="69">
        <v>1.26986839E-2</v>
      </c>
      <c r="BL79" s="69">
        <v>1.2456339E-2</v>
      </c>
      <c r="BM79" s="69">
        <v>1.2218523800000001E-2</v>
      </c>
      <c r="BN79" s="69">
        <v>1.19851605E-2</v>
      </c>
      <c r="BO79" s="69">
        <v>1.17561717E-2</v>
      </c>
      <c r="BP79" s="69">
        <v>1.1531481099999999E-2</v>
      </c>
      <c r="BQ79" s="69">
        <v>1.1311013199999999E-2</v>
      </c>
      <c r="BR79" s="69">
        <v>1.10946937E-2</v>
      </c>
      <c r="BS79" s="69">
        <v>1.08824488E-2</v>
      </c>
      <c r="BT79" s="69">
        <v>1.06742061E-2</v>
      </c>
      <c r="BU79" s="69">
        <v>1.0469893900000001E-2</v>
      </c>
      <c r="BV79" s="69">
        <v>1.02694416E-2</v>
      </c>
      <c r="BW79" s="69">
        <v>1.00727795E-2</v>
      </c>
      <c r="BX79" s="69">
        <v>9.8798392000000006E-3</v>
      </c>
      <c r="BY79" s="69">
        <v>9.6905528999999997E-3</v>
      </c>
      <c r="BZ79" s="69">
        <v>9.5048541999999993E-3</v>
      </c>
      <c r="CA79" s="69">
        <v>9.3226774999999994E-3</v>
      </c>
      <c r="CB79" s="69">
        <v>9.1439582999999994E-3</v>
      </c>
      <c r="CC79" s="69">
        <v>8.9686330000000002E-3</v>
      </c>
      <c r="CD79" s="69">
        <v>8.7966393000000007E-3</v>
      </c>
      <c r="CE79" s="69">
        <v>8.6279157000000006E-3</v>
      </c>
      <c r="CF79" s="69">
        <v>8.4624016000000007E-3</v>
      </c>
      <c r="CG79" s="69">
        <v>8.3000376000000008E-3</v>
      </c>
      <c r="CH79" s="69">
        <v>8.1407652000000004E-3</v>
      </c>
      <c r="CI79" s="69">
        <v>7.9845270999999995E-3</v>
      </c>
      <c r="CJ79" s="69">
        <v>7.8312664999999997E-3</v>
      </c>
      <c r="CK79" s="69">
        <v>7.6809280999999997E-3</v>
      </c>
      <c r="CL79" s="69">
        <v>7.5334572000000004E-3</v>
      </c>
      <c r="CM79" s="69">
        <v>7.3888002000000001E-3</v>
      </c>
      <c r="CN79" s="69">
        <v>7.2469042999999999E-3</v>
      </c>
      <c r="CO79" s="69">
        <v>7.1077177999999998E-3</v>
      </c>
      <c r="CP79" s="69">
        <v>6.9711898000000003E-3</v>
      </c>
      <c r="CQ79" s="69">
        <v>6.8372703E-3</v>
      </c>
      <c r="CR79" s="69">
        <v>6.7059103000000004E-3</v>
      </c>
      <c r="CS79" s="69">
        <v>6.5770615000000001E-3</v>
      </c>
      <c r="CT79" s="69">
        <v>6.4506766E-3</v>
      </c>
      <c r="CU79" s="69">
        <v>6.3267091000000003E-3</v>
      </c>
      <c r="CV79" s="69">
        <v>6.2051134000000001E-3</v>
      </c>
      <c r="CW79" s="69">
        <v>6.0858444999999997E-3</v>
      </c>
      <c r="CX79" s="69">
        <v>5.9688585999999998E-3</v>
      </c>
      <c r="CY79" s="69">
        <v>5.8541124E-3</v>
      </c>
      <c r="CZ79" s="69">
        <v>5.7415634E-3</v>
      </c>
      <c r="DA79" s="69">
        <v>5.6311701E-3</v>
      </c>
      <c r="DB79" s="69">
        <v>5.5228915E-3</v>
      </c>
      <c r="DC79" s="69">
        <v>5.4166874999999996E-3</v>
      </c>
      <c r="DD79" s="69">
        <v>5.3125187999999999E-3</v>
      </c>
      <c r="DE79" s="69">
        <v>5.2103465999999996E-3</v>
      </c>
      <c r="DF79" s="69">
        <v>5.1101330999999998E-3</v>
      </c>
      <c r="DG79" s="69">
        <v>5.0118408999999999E-3</v>
      </c>
      <c r="DH79" s="69">
        <v>4.9154335999999996E-3</v>
      </c>
      <c r="DI79" s="69">
        <v>4.8208751999999997E-3</v>
      </c>
      <c r="DJ79" s="69">
        <v>4.7281305999999999E-3</v>
      </c>
      <c r="DK79" s="69">
        <v>4.6371651E-3</v>
      </c>
      <c r="DL79" s="69">
        <v>4.5479450000000003E-3</v>
      </c>
      <c r="DM79" s="69">
        <v>4.4604370000000003E-3</v>
      </c>
      <c r="DN79" s="69">
        <v>4.3746083E-3</v>
      </c>
      <c r="DO79" s="69">
        <v>4.2904270000000003E-3</v>
      </c>
      <c r="DP79" s="69">
        <v>4.2078615999999996E-3</v>
      </c>
      <c r="DQ79" s="69">
        <v>4.1268813000000003E-3</v>
      </c>
      <c r="DR79" s="69">
        <v>4.0474558000000004E-3</v>
      </c>
      <c r="DS79" s="69">
        <v>3.9695555000000002E-3</v>
      </c>
      <c r="DT79" s="69">
        <v>3.8931512000000001E-3</v>
      </c>
      <c r="DU79" s="69">
        <v>3.8182142E-3</v>
      </c>
      <c r="DV79" s="69">
        <v>3.7447167000000002E-3</v>
      </c>
      <c r="DW79" s="69">
        <v>3.672631E-3</v>
      </c>
      <c r="DX79" s="69">
        <v>3.6019301999999998E-3</v>
      </c>
      <c r="DY79" s="69">
        <v>3.5325877E-3</v>
      </c>
      <c r="DZ79" s="69">
        <v>3.4645776000000001E-3</v>
      </c>
      <c r="EA79" s="69">
        <v>3.3978744000000001E-3</v>
      </c>
      <c r="EB79" s="69">
        <v>3.3324531E-3</v>
      </c>
      <c r="EC79" s="69">
        <v>3.2682891999999998E-3</v>
      </c>
      <c r="ED79" s="69">
        <v>3.2053584999999999E-3</v>
      </c>
      <c r="EE79" s="69">
        <v>3.1436375000000001E-3</v>
      </c>
      <c r="EF79" s="69">
        <v>3.0831029999999998E-3</v>
      </c>
      <c r="EG79" s="69">
        <v>3.0237322E-3</v>
      </c>
      <c r="EH79" s="69">
        <v>2.965503E-3</v>
      </c>
      <c r="EI79" s="69">
        <v>2.9083933000000001E-3</v>
      </c>
      <c r="EJ79" s="69">
        <v>2.8523818E-3</v>
      </c>
      <c r="EK79" s="69">
        <v>2.7974472999999999E-3</v>
      </c>
      <c r="EL79" s="69">
        <v>2.7435694000000001E-3</v>
      </c>
      <c r="EM79" s="69">
        <v>2.6907276000000002E-3</v>
      </c>
      <c r="EN79" s="69">
        <v>2.6389020999999999E-3</v>
      </c>
      <c r="EO79" s="69">
        <v>2.5880734999999999E-3</v>
      </c>
      <c r="EP79" s="69">
        <v>2.5382225999999999E-3</v>
      </c>
      <c r="EQ79" s="69">
        <v>2.4893306999999999E-3</v>
      </c>
      <c r="ER79" s="69">
        <v>2.4413793000000001E-3</v>
      </c>
      <c r="ES79" s="69">
        <v>2.3943505000000001E-3</v>
      </c>
      <c r="ET79" s="69">
        <v>2.3482264999999999E-3</v>
      </c>
      <c r="EU79" s="69">
        <v>2.3029899E-3</v>
      </c>
      <c r="EV79" s="69">
        <v>2.2586237999999998E-3</v>
      </c>
      <c r="EW79" s="69">
        <v>2.2151113000000002E-3</v>
      </c>
      <c r="EX79" s="69">
        <v>2.1724361999999999E-3</v>
      </c>
      <c r="EY79" s="69">
        <v>2.1305823999999999E-3</v>
      </c>
      <c r="EZ79" s="69">
        <v>2.0895340000000001E-3</v>
      </c>
      <c r="FA79" s="69">
        <v>2.0492756999999999E-3</v>
      </c>
      <c r="FB79" s="69">
        <v>2.0097920999999999E-3</v>
      </c>
      <c r="FC79" s="69">
        <v>1.9710686000000001E-3</v>
      </c>
      <c r="FD79" s="69">
        <v>1.9330904000000001E-3</v>
      </c>
      <c r="FE79" s="69">
        <v>1.8958433E-3</v>
      </c>
      <c r="FF79" s="69">
        <v>1.8593131000000001E-3</v>
      </c>
      <c r="FG79" s="69">
        <v>1.8234862000000001E-3</v>
      </c>
      <c r="FH79" s="69">
        <v>1.7883490000000001E-3</v>
      </c>
      <c r="FI79" s="69">
        <v>1.7538882E-3</v>
      </c>
      <c r="FJ79" s="69">
        <v>1.720091E-3</v>
      </c>
      <c r="FK79" s="69">
        <v>1.6869444E-3</v>
      </c>
      <c r="FL79" s="69">
        <v>1.654436E-3</v>
      </c>
      <c r="FM79" s="69">
        <v>1.6225536000000001E-3</v>
      </c>
      <c r="FN79" s="69">
        <v>1.5912851E-3</v>
      </c>
      <c r="FO79" s="69">
        <v>1.5606187E-3</v>
      </c>
      <c r="FP79" s="69">
        <v>1.5305428E-3</v>
      </c>
      <c r="FQ79" s="69">
        <v>1.5010461000000001E-3</v>
      </c>
    </row>
    <row r="80" spans="1:173" x14ac:dyDescent="0.25">
      <c r="A80" s="71">
        <v>78</v>
      </c>
      <c r="B80" s="69">
        <v>4.2891322400000001E-2</v>
      </c>
      <c r="C80" s="69">
        <v>4.2331599599999999E-2</v>
      </c>
      <c r="D80" s="69">
        <v>4.1764627399999997E-2</v>
      </c>
      <c r="E80" s="69">
        <v>4.1191812299999998E-2</v>
      </c>
      <c r="F80" s="69">
        <v>4.0614451000000003E-2</v>
      </c>
      <c r="G80" s="69">
        <v>4.0033736600000001E-2</v>
      </c>
      <c r="H80" s="69">
        <v>3.94507651E-2</v>
      </c>
      <c r="I80" s="69">
        <v>3.8866540800000002E-2</v>
      </c>
      <c r="J80" s="69">
        <v>3.8281982800000003E-2</v>
      </c>
      <c r="K80" s="69">
        <v>3.7697929900000003E-2</v>
      </c>
      <c r="L80" s="69">
        <v>3.7115146600000003E-2</v>
      </c>
      <c r="M80" s="69">
        <v>3.6534327599999999E-2</v>
      </c>
      <c r="N80" s="69">
        <v>3.5956102900000002E-2</v>
      </c>
      <c r="O80" s="69">
        <v>3.5381042299999999E-2</v>
      </c>
      <c r="P80" s="69">
        <v>3.4809659799999997E-2</v>
      </c>
      <c r="Q80" s="69">
        <v>3.4242417900000002E-2</v>
      </c>
      <c r="R80" s="69">
        <v>3.3679730800000002E-2</v>
      </c>
      <c r="S80" s="69">
        <v>3.3121968799999998E-2</v>
      </c>
      <c r="T80" s="69">
        <v>3.2569461000000001E-2</v>
      </c>
      <c r="U80" s="69">
        <v>3.2022499000000003E-2</v>
      </c>
      <c r="V80" s="69">
        <v>3.1481339499999997E-2</v>
      </c>
      <c r="W80" s="69">
        <v>3.09462073E-2</v>
      </c>
      <c r="X80" s="69">
        <v>3.0417297699999998E-2</v>
      </c>
      <c r="Y80" s="69">
        <v>2.9894778899999998E-2</v>
      </c>
      <c r="Z80" s="69">
        <v>2.9378794600000001E-2</v>
      </c>
      <c r="AA80" s="69">
        <v>2.8869465300000001E-2</v>
      </c>
      <c r="AB80" s="69">
        <v>2.8366891200000001E-2</v>
      </c>
      <c r="AC80" s="69">
        <v>2.7871153100000001E-2</v>
      </c>
      <c r="AD80" s="69">
        <v>2.7382314599999999E-2</v>
      </c>
      <c r="AE80" s="69">
        <v>2.6900423199999999E-2</v>
      </c>
      <c r="AF80" s="69">
        <v>2.64255124E-2</v>
      </c>
      <c r="AG80" s="69">
        <v>2.5957602100000001E-2</v>
      </c>
      <c r="AH80" s="69">
        <v>2.54967005E-2</v>
      </c>
      <c r="AI80" s="69">
        <v>2.5042805000000001E-2</v>
      </c>
      <c r="AJ80" s="69">
        <v>2.4595902900000001E-2</v>
      </c>
      <c r="AK80" s="69">
        <v>2.4155973099999999E-2</v>
      </c>
      <c r="AL80" s="69">
        <v>2.3722986099999999E-2</v>
      </c>
      <c r="AM80" s="69">
        <v>2.3296905400000002E-2</v>
      </c>
      <c r="AN80" s="69">
        <v>2.2877687899999999E-2</v>
      </c>
      <c r="AO80" s="69">
        <v>2.24652849E-2</v>
      </c>
      <c r="AP80" s="69">
        <v>2.2059642399999999E-2</v>
      </c>
      <c r="AQ80" s="69">
        <v>2.1660701899999999E-2</v>
      </c>
      <c r="AR80" s="69">
        <v>2.1268400600000001E-2</v>
      </c>
      <c r="AS80" s="69">
        <v>2.0882672500000001E-2</v>
      </c>
      <c r="AT80" s="69">
        <v>2.0503448000000001E-2</v>
      </c>
      <c r="AU80" s="69">
        <v>2.0130655000000001E-2</v>
      </c>
      <c r="AV80" s="69">
        <v>1.9764219E-2</v>
      </c>
      <c r="AW80" s="69">
        <v>1.9404063400000001E-2</v>
      </c>
      <c r="AX80" s="69">
        <v>1.9050109799999999E-2</v>
      </c>
      <c r="AY80" s="69">
        <v>1.8702278499999999E-2</v>
      </c>
      <c r="AZ80" s="69">
        <v>1.8360488500000001E-2</v>
      </c>
      <c r="BA80" s="69">
        <v>1.8024657600000001E-2</v>
      </c>
      <c r="BB80" s="69">
        <v>1.76947033E-2</v>
      </c>
      <c r="BC80" s="69">
        <v>1.7370542100000001E-2</v>
      </c>
      <c r="BD80" s="69">
        <v>1.7052090400000001E-2</v>
      </c>
      <c r="BE80" s="69">
        <v>1.6739264100000002E-2</v>
      </c>
      <c r="BF80" s="69">
        <v>1.6431979199999999E-2</v>
      </c>
      <c r="BG80" s="69">
        <v>1.6130151799999999E-2</v>
      </c>
      <c r="BH80" s="69">
        <v>1.5833697800000001E-2</v>
      </c>
      <c r="BI80" s="69">
        <v>1.55425337E-2</v>
      </c>
      <c r="BJ80" s="69">
        <v>1.52565763E-2</v>
      </c>
      <c r="BK80" s="69">
        <v>1.49757428E-2</v>
      </c>
      <c r="BL80" s="69">
        <v>1.46999507E-2</v>
      </c>
      <c r="BM80" s="69">
        <v>1.4429118600000001E-2</v>
      </c>
      <c r="BN80" s="69">
        <v>1.4163165199999999E-2</v>
      </c>
      <c r="BO80" s="69">
        <v>1.39020102E-2</v>
      </c>
      <c r="BP80" s="69">
        <v>1.3645574000000001E-2</v>
      </c>
      <c r="BQ80" s="69">
        <v>1.3393777900000001E-2</v>
      </c>
      <c r="BR80" s="69">
        <v>1.31465438E-2</v>
      </c>
      <c r="BS80" s="69">
        <v>1.2903794600000001E-2</v>
      </c>
      <c r="BT80" s="69">
        <v>1.2665454099999999E-2</v>
      </c>
      <c r="BU80" s="69">
        <v>1.2431447E-2</v>
      </c>
      <c r="BV80" s="69">
        <v>1.22016989E-2</v>
      </c>
      <c r="BW80" s="69">
        <v>1.19761365E-2</v>
      </c>
      <c r="BX80" s="69">
        <v>1.1754687200000001E-2</v>
      </c>
      <c r="BY80" s="69">
        <v>1.15372796E-2</v>
      </c>
      <c r="BZ80" s="69">
        <v>1.1323843300000001E-2</v>
      </c>
      <c r="CA80" s="69">
        <v>1.11143087E-2</v>
      </c>
      <c r="CB80" s="69">
        <v>1.0908607400000001E-2</v>
      </c>
      <c r="CC80" s="69">
        <v>1.0706671799999999E-2</v>
      </c>
      <c r="CD80" s="69">
        <v>1.0508435599999999E-2</v>
      </c>
      <c r="CE80" s="69">
        <v>1.03138333E-2</v>
      </c>
      <c r="CF80" s="69">
        <v>1.01228003E-2</v>
      </c>
      <c r="CG80" s="69">
        <v>9.9352732000000006E-3</v>
      </c>
      <c r="CH80" s="69">
        <v>9.7511895000000001E-3</v>
      </c>
      <c r="CI80" s="69">
        <v>9.5704876999999997E-3</v>
      </c>
      <c r="CJ80" s="69">
        <v>9.3931073999999996E-3</v>
      </c>
      <c r="CK80" s="69">
        <v>9.2189890000000004E-3</v>
      </c>
      <c r="CL80" s="69">
        <v>9.0480739999999997E-3</v>
      </c>
      <c r="CM80" s="69">
        <v>8.8803045999999997E-3</v>
      </c>
      <c r="CN80" s="69">
        <v>8.7156244000000001E-3</v>
      </c>
      <c r="CO80" s="69">
        <v>8.5539775000000005E-3</v>
      </c>
      <c r="CP80" s="69">
        <v>8.3953091999999993E-3</v>
      </c>
      <c r="CQ80" s="69">
        <v>8.2395656000000001E-3</v>
      </c>
      <c r="CR80" s="69">
        <v>8.0866937999999992E-3</v>
      </c>
      <c r="CS80" s="69">
        <v>7.9366417000000002E-3</v>
      </c>
      <c r="CT80" s="69">
        <v>7.7893581999999998E-3</v>
      </c>
      <c r="CU80" s="69">
        <v>7.6447929E-3</v>
      </c>
      <c r="CV80" s="69">
        <v>7.5028966000000004E-3</v>
      </c>
      <c r="CW80" s="69">
        <v>7.3636205000000001E-3</v>
      </c>
      <c r="CX80" s="69">
        <v>7.2269170000000002E-3</v>
      </c>
      <c r="CY80" s="69">
        <v>7.0927391999999999E-3</v>
      </c>
      <c r="CZ80" s="69">
        <v>6.9610410000000003E-3</v>
      </c>
      <c r="DA80" s="69">
        <v>6.8317771000000003E-3</v>
      </c>
      <c r="DB80" s="69">
        <v>6.7049031000000004E-3</v>
      </c>
      <c r="DC80" s="69">
        <v>6.5803753E-3</v>
      </c>
      <c r="DD80" s="69">
        <v>6.4581507999999996E-3</v>
      </c>
      <c r="DE80" s="69">
        <v>6.3381873999999996E-3</v>
      </c>
      <c r="DF80" s="69">
        <v>6.2204436999999998E-3</v>
      </c>
      <c r="DG80" s="69">
        <v>6.1048789999999997E-3</v>
      </c>
      <c r="DH80" s="69">
        <v>5.9914534E-3</v>
      </c>
      <c r="DI80" s="69">
        <v>5.8801277000000004E-3</v>
      </c>
      <c r="DJ80" s="69">
        <v>5.7708632000000003E-3</v>
      </c>
      <c r="DK80" s="69">
        <v>5.6636222000000002E-3</v>
      </c>
      <c r="DL80" s="69">
        <v>5.5583675000000004E-3</v>
      </c>
      <c r="DM80" s="69">
        <v>5.4550626000000003E-3</v>
      </c>
      <c r="DN80" s="69">
        <v>5.3536716999999998E-3</v>
      </c>
      <c r="DO80" s="69">
        <v>5.2541595000000002E-3</v>
      </c>
      <c r="DP80" s="69">
        <v>5.1564914999999998E-3</v>
      </c>
      <c r="DQ80" s="69">
        <v>5.0606337E-3</v>
      </c>
      <c r="DR80" s="69">
        <v>4.9665528000000002E-3</v>
      </c>
      <c r="DS80" s="69">
        <v>4.8742161999999999E-3</v>
      </c>
      <c r="DT80" s="69">
        <v>4.7835915999999996E-3</v>
      </c>
      <c r="DU80" s="69">
        <v>4.6946475000000003E-3</v>
      </c>
      <c r="DV80" s="69">
        <v>4.6073529000000002E-3</v>
      </c>
      <c r="DW80" s="69">
        <v>4.5216774000000001E-3</v>
      </c>
      <c r="DX80" s="69">
        <v>4.4375912000000003E-3</v>
      </c>
      <c r="DY80" s="69">
        <v>4.355065E-3</v>
      </c>
      <c r="DZ80" s="69">
        <v>4.2740699E-3</v>
      </c>
      <c r="EA80" s="69">
        <v>4.1945777000000004E-3</v>
      </c>
      <c r="EB80" s="69">
        <v>4.1165606000000002E-3</v>
      </c>
      <c r="EC80" s="69">
        <v>4.0399913999999999E-3</v>
      </c>
      <c r="ED80" s="69">
        <v>3.9648434000000001E-3</v>
      </c>
      <c r="EE80" s="69">
        <v>3.8910901999999999E-3</v>
      </c>
      <c r="EF80" s="69">
        <v>3.8187062999999999E-3</v>
      </c>
      <c r="EG80" s="69">
        <v>3.7476660999999998E-3</v>
      </c>
      <c r="EH80" s="69">
        <v>3.6779449000000001E-3</v>
      </c>
      <c r="EI80" s="69">
        <v>3.6095183E-3</v>
      </c>
      <c r="EJ80" s="69">
        <v>3.5423624E-3</v>
      </c>
      <c r="EK80" s="69">
        <v>3.4764536000000002E-3</v>
      </c>
      <c r="EL80" s="69">
        <v>3.4117688999999998E-3</v>
      </c>
      <c r="EM80" s="69">
        <v>3.3482856000000001E-3</v>
      </c>
      <c r="EN80" s="69">
        <v>3.2859816000000001E-3</v>
      </c>
      <c r="EO80" s="69">
        <v>3.2248349000000001E-3</v>
      </c>
      <c r="EP80" s="69">
        <v>3.1648242000000002E-3</v>
      </c>
      <c r="EQ80" s="69">
        <v>3.1059284000000001E-3</v>
      </c>
      <c r="ER80" s="69">
        <v>3.0481268999999998E-3</v>
      </c>
      <c r="ES80" s="69">
        <v>2.9913994000000002E-3</v>
      </c>
      <c r="ET80" s="69">
        <v>2.935726E-3</v>
      </c>
      <c r="EU80" s="69">
        <v>2.8810872000000001E-3</v>
      </c>
      <c r="EV80" s="69">
        <v>2.8274639E-3</v>
      </c>
      <c r="EW80" s="69">
        <v>2.7748371000000001E-3</v>
      </c>
      <c r="EX80" s="69">
        <v>2.7231884999999998E-3</v>
      </c>
      <c r="EY80" s="69">
        <v>2.6725E-3</v>
      </c>
      <c r="EZ80" s="69">
        <v>2.6227537E-3</v>
      </c>
      <c r="FA80" s="69">
        <v>2.5739321000000002E-3</v>
      </c>
      <c r="FB80" s="69">
        <v>2.5260181000000001E-3</v>
      </c>
      <c r="FC80" s="69">
        <v>2.4789949999999999E-3</v>
      </c>
      <c r="FD80" s="69">
        <v>2.4328460999999998E-3</v>
      </c>
      <c r="FE80" s="69">
        <v>2.3875552E-3</v>
      </c>
      <c r="FF80" s="69">
        <v>2.3431064999999999E-3</v>
      </c>
      <c r="FG80" s="69">
        <v>2.2994844000000002E-3</v>
      </c>
      <c r="FH80" s="69">
        <v>2.2566734E-3</v>
      </c>
      <c r="FI80" s="69">
        <v>2.2146585000000002E-3</v>
      </c>
      <c r="FJ80" s="69">
        <v>2.1734251000000001E-3</v>
      </c>
      <c r="FK80" s="69">
        <v>2.1329585000000001E-3</v>
      </c>
      <c r="FL80" s="69">
        <v>2.0932444999999999E-3</v>
      </c>
      <c r="FM80" s="69">
        <v>2.0542692000000001E-3</v>
      </c>
      <c r="FN80" s="69">
        <v>2.0160188999999999E-3</v>
      </c>
      <c r="FO80" s="69">
        <v>1.9784799999999999E-3</v>
      </c>
      <c r="FP80" s="69">
        <v>1.9416394999999999E-3</v>
      </c>
      <c r="FQ80" s="69">
        <v>1.9054842999999999E-3</v>
      </c>
    </row>
    <row r="81" spans="1:173" x14ac:dyDescent="0.25">
      <c r="A81" s="71">
        <v>79</v>
      </c>
      <c r="B81" s="69">
        <v>4.82653059E-2</v>
      </c>
      <c r="C81" s="69">
        <v>4.7631195899999999E-2</v>
      </c>
      <c r="D81" s="69">
        <v>4.6990857800000001E-2</v>
      </c>
      <c r="E81" s="69">
        <v>4.6345682800000003E-2</v>
      </c>
      <c r="F81" s="69">
        <v>4.5696951E-2</v>
      </c>
      <c r="G81" s="69">
        <v>4.5045838800000002E-2</v>
      </c>
      <c r="H81" s="69">
        <v>4.4393424799999998E-2</v>
      </c>
      <c r="I81" s="69">
        <v>4.37406963E-2</v>
      </c>
      <c r="J81" s="69">
        <v>4.3088555000000001E-2</v>
      </c>
      <c r="K81" s="69">
        <v>4.2437823100000001E-2</v>
      </c>
      <c r="L81" s="69">
        <v>4.1789248299999998E-2</v>
      </c>
      <c r="M81" s="69">
        <v>4.1143509199999997E-2</v>
      </c>
      <c r="N81" s="69">
        <v>4.0501220400000003E-2</v>
      </c>
      <c r="O81" s="69">
        <v>3.98629364E-2</v>
      </c>
      <c r="P81" s="69">
        <v>3.9229156899999999E-2</v>
      </c>
      <c r="Q81" s="69">
        <v>3.8600330099999997E-2</v>
      </c>
      <c r="R81" s="69">
        <v>3.7976857000000003E-2</v>
      </c>
      <c r="S81" s="69">
        <v>3.7359094900000001E-2</v>
      </c>
      <c r="T81" s="69">
        <v>3.6747360600000001E-2</v>
      </c>
      <c r="U81" s="69">
        <v>3.6141933699999997E-2</v>
      </c>
      <c r="V81" s="69">
        <v>3.5543059600000003E-2</v>
      </c>
      <c r="W81" s="69">
        <v>3.4950952200000003E-2</v>
      </c>
      <c r="X81" s="69">
        <v>3.43657962E-2</v>
      </c>
      <c r="Y81" s="69">
        <v>3.3787749800000003E-2</v>
      </c>
      <c r="Z81" s="69">
        <v>3.3216946900000002E-2</v>
      </c>
      <c r="AA81" s="69">
        <v>3.26534988E-2</v>
      </c>
      <c r="AB81" s="69">
        <v>3.2097496400000002E-2</v>
      </c>
      <c r="AC81" s="69">
        <v>3.1549012000000001E-2</v>
      </c>
      <c r="AD81" s="69">
        <v>3.10081005E-2</v>
      </c>
      <c r="AE81" s="69">
        <v>3.0474801499999999E-2</v>
      </c>
      <c r="AF81" s="69">
        <v>2.99491403E-2</v>
      </c>
      <c r="AG81" s="69">
        <v>2.9431129100000002E-2</v>
      </c>
      <c r="AH81" s="69">
        <v>2.8920768699999998E-2</v>
      </c>
      <c r="AI81" s="69">
        <v>2.8418048800000002E-2</v>
      </c>
      <c r="AJ81" s="69">
        <v>2.7922949999999998E-2</v>
      </c>
      <c r="AK81" s="69">
        <v>2.7435443600000001E-2</v>
      </c>
      <c r="AL81" s="69">
        <v>2.6955493600000002E-2</v>
      </c>
      <c r="AM81" s="69">
        <v>2.6483056500000001E-2</v>
      </c>
      <c r="AN81" s="69">
        <v>2.6018082599999999E-2</v>
      </c>
      <c r="AO81" s="69">
        <v>2.5560516700000001E-2</v>
      </c>
      <c r="AP81" s="69">
        <v>2.51102983E-2</v>
      </c>
      <c r="AQ81" s="69">
        <v>2.46673624E-2</v>
      </c>
      <c r="AR81" s="69">
        <v>2.4231640200000001E-2</v>
      </c>
      <c r="AS81" s="69">
        <v>2.3803059099999999E-2</v>
      </c>
      <c r="AT81" s="69">
        <v>2.3381543599999999E-2</v>
      </c>
      <c r="AU81" s="69">
        <v>2.2967015600000001E-2</v>
      </c>
      <c r="AV81" s="69">
        <v>2.2559394300000001E-2</v>
      </c>
      <c r="AW81" s="69">
        <v>2.21585974E-2</v>
      </c>
      <c r="AX81" s="69">
        <v>2.1764540499999999E-2</v>
      </c>
      <c r="AY81" s="69">
        <v>2.1377138E-2</v>
      </c>
      <c r="AZ81" s="69">
        <v>2.0996303000000001E-2</v>
      </c>
      <c r="BA81" s="69">
        <v>2.06219479E-2</v>
      </c>
      <c r="BB81" s="69">
        <v>2.0253983999999999E-2</v>
      </c>
      <c r="BC81" s="69">
        <v>1.98923225E-2</v>
      </c>
      <c r="BD81" s="69">
        <v>1.9536873900000001E-2</v>
      </c>
      <c r="BE81" s="69">
        <v>1.9187548700000001E-2</v>
      </c>
      <c r="BF81" s="69">
        <v>1.88442573E-2</v>
      </c>
      <c r="BG81" s="69">
        <v>1.8506910000000001E-2</v>
      </c>
      <c r="BH81" s="69">
        <v>1.8175417700000002E-2</v>
      </c>
      <c r="BI81" s="69">
        <v>1.7849691099999999E-2</v>
      </c>
      <c r="BJ81" s="69">
        <v>1.7529641700000001E-2</v>
      </c>
      <c r="BK81" s="69">
        <v>1.7215181199999999E-2</v>
      </c>
      <c r="BL81" s="69">
        <v>1.6906221999999999E-2</v>
      </c>
      <c r="BM81" s="69">
        <v>1.6602677199999999E-2</v>
      </c>
      <c r="BN81" s="69">
        <v>1.63044603E-2</v>
      </c>
      <c r="BO81" s="69">
        <v>1.6011485799999999E-2</v>
      </c>
      <c r="BP81" s="69">
        <v>1.5723668900000001E-2</v>
      </c>
      <c r="BQ81" s="69">
        <v>1.54409257E-2</v>
      </c>
      <c r="BR81" s="69">
        <v>1.5163173E-2</v>
      </c>
      <c r="BS81" s="69">
        <v>1.4890328600000001E-2</v>
      </c>
      <c r="BT81" s="69">
        <v>1.4622311299999999E-2</v>
      </c>
      <c r="BU81" s="69">
        <v>1.4359040700000001E-2</v>
      </c>
      <c r="BV81" s="69">
        <v>1.41004376E-2</v>
      </c>
      <c r="BW81" s="69">
        <v>1.38464235E-2</v>
      </c>
      <c r="BX81" s="69">
        <v>1.3596921200000001E-2</v>
      </c>
      <c r="BY81" s="69">
        <v>1.33518543E-2</v>
      </c>
      <c r="BZ81" s="69">
        <v>1.31111475E-2</v>
      </c>
      <c r="CA81" s="69">
        <v>1.2874726499999999E-2</v>
      </c>
      <c r="CB81" s="69">
        <v>1.2642518199999999E-2</v>
      </c>
      <c r="CC81" s="69">
        <v>1.2414450400000001E-2</v>
      </c>
      <c r="CD81" s="69">
        <v>1.21904519E-2</v>
      </c>
      <c r="CE81" s="69">
        <v>1.1970452600000001E-2</v>
      </c>
      <c r="CF81" s="69">
        <v>1.17543835E-2</v>
      </c>
      <c r="CG81" s="69">
        <v>1.1542176600000001E-2</v>
      </c>
      <c r="CH81" s="69">
        <v>1.13337649E-2</v>
      </c>
      <c r="CI81" s="69">
        <v>1.11290825E-2</v>
      </c>
      <c r="CJ81" s="69">
        <v>1.09280644E-2</v>
      </c>
      <c r="CK81" s="69">
        <v>1.0730646700000001E-2</v>
      </c>
      <c r="CL81" s="69">
        <v>1.0536766600000001E-2</v>
      </c>
      <c r="CM81" s="69">
        <v>1.0346362099999999E-2</v>
      </c>
      <c r="CN81" s="69">
        <v>1.01593723E-2</v>
      </c>
      <c r="CO81" s="69">
        <v>9.9757373000000007E-3</v>
      </c>
      <c r="CP81" s="69">
        <v>9.7953981999999995E-3</v>
      </c>
      <c r="CQ81" s="69">
        <v>9.6182969999999996E-3</v>
      </c>
      <c r="CR81" s="69">
        <v>9.4443765000000006E-3</v>
      </c>
      <c r="CS81" s="69">
        <v>9.2735808000000003E-3</v>
      </c>
      <c r="CT81" s="69">
        <v>9.1058547000000007E-3</v>
      </c>
      <c r="CU81" s="69">
        <v>8.9411439000000002E-3</v>
      </c>
      <c r="CV81" s="69">
        <v>8.7793950000000006E-3</v>
      </c>
      <c r="CW81" s="69">
        <v>8.6205556999999992E-3</v>
      </c>
      <c r="CX81" s="69">
        <v>8.4645743999999992E-3</v>
      </c>
      <c r="CY81" s="69">
        <v>8.3114003000000006E-3</v>
      </c>
      <c r="CZ81" s="69">
        <v>8.1609837000000008E-3</v>
      </c>
      <c r="DA81" s="69">
        <v>8.0132755E-3</v>
      </c>
      <c r="DB81" s="69">
        <v>7.8682275999999995E-3</v>
      </c>
      <c r="DC81" s="69">
        <v>7.7257927000000002E-3</v>
      </c>
      <c r="DD81" s="69">
        <v>7.5859242999999996E-3</v>
      </c>
      <c r="DE81" s="69">
        <v>7.4485766000000004E-3</v>
      </c>
      <c r="DF81" s="69">
        <v>7.3137046999999997E-3</v>
      </c>
      <c r="DG81" s="69">
        <v>7.1812645000000003E-3</v>
      </c>
      <c r="DH81" s="69">
        <v>7.0512125999999996E-3</v>
      </c>
      <c r="DI81" s="69">
        <v>6.9235062999999999E-3</v>
      </c>
      <c r="DJ81" s="69">
        <v>6.7981036999999996E-3</v>
      </c>
      <c r="DK81" s="69">
        <v>6.6749638000000002E-3</v>
      </c>
      <c r="DL81" s="69">
        <v>6.5540459000000004E-3</v>
      </c>
      <c r="DM81" s="69">
        <v>6.4353103999999998E-3</v>
      </c>
      <c r="DN81" s="69">
        <v>6.3187182000000001E-3</v>
      </c>
      <c r="DO81" s="69">
        <v>6.2042310000000002E-3</v>
      </c>
      <c r="DP81" s="69">
        <v>6.0918109999999999E-3</v>
      </c>
      <c r="DQ81" s="69">
        <v>5.9814211999999999E-3</v>
      </c>
      <c r="DR81" s="69">
        <v>5.8730253000000001E-3</v>
      </c>
      <c r="DS81" s="69">
        <v>5.7665874000000002E-3</v>
      </c>
      <c r="DT81" s="69">
        <v>5.6620725000000004E-3</v>
      </c>
      <c r="DU81" s="69">
        <v>5.5594460999999996E-3</v>
      </c>
      <c r="DV81" s="69">
        <v>5.4586742000000002E-3</v>
      </c>
      <c r="DW81" s="69">
        <v>5.3597235999999996E-3</v>
      </c>
      <c r="DX81" s="69">
        <v>5.2625616E-3</v>
      </c>
      <c r="DY81" s="69">
        <v>5.167156E-3</v>
      </c>
      <c r="DZ81" s="69">
        <v>5.0734752999999997E-3</v>
      </c>
      <c r="EA81" s="69">
        <v>4.9814884999999998E-3</v>
      </c>
      <c r="EB81" s="69">
        <v>4.8911650999999999E-3</v>
      </c>
      <c r="EC81" s="69">
        <v>4.8024753000000002E-3</v>
      </c>
      <c r="ED81" s="69">
        <v>4.7153895999999997E-3</v>
      </c>
      <c r="EE81" s="69">
        <v>4.6298792E-3</v>
      </c>
      <c r="EF81" s="69">
        <v>4.5459157E-3</v>
      </c>
      <c r="EG81" s="69">
        <v>4.4634712999999998E-3</v>
      </c>
      <c r="EH81" s="69">
        <v>4.3825187E-3</v>
      </c>
      <c r="EI81" s="69">
        <v>4.3030309000000001E-3</v>
      </c>
      <c r="EJ81" s="69">
        <v>4.2249816999999999E-3</v>
      </c>
      <c r="EK81" s="69">
        <v>4.1483450999999999E-3</v>
      </c>
      <c r="EL81" s="69">
        <v>4.0730955999999999E-3</v>
      </c>
      <c r="EM81" s="69">
        <v>3.9992083000000003E-3</v>
      </c>
      <c r="EN81" s="69">
        <v>3.9266585000000001E-3</v>
      </c>
      <c r="EO81" s="69">
        <v>3.8554222999999999E-3</v>
      </c>
      <c r="EP81" s="69">
        <v>3.7854758999999998E-3</v>
      </c>
      <c r="EQ81" s="69">
        <v>3.7167960000000001E-3</v>
      </c>
      <c r="ER81" s="69">
        <v>3.6493597999999999E-3</v>
      </c>
      <c r="ES81" s="69">
        <v>3.5831448999999998E-3</v>
      </c>
      <c r="ET81" s="69">
        <v>3.5181292000000001E-3</v>
      </c>
      <c r="EU81" s="69">
        <v>3.4542912E-3</v>
      </c>
      <c r="EV81" s="69">
        <v>3.3916095E-3</v>
      </c>
      <c r="EW81" s="69">
        <v>3.3300631999999999E-3</v>
      </c>
      <c r="EX81" s="69">
        <v>3.2696320000000002E-3</v>
      </c>
      <c r="EY81" s="69">
        <v>3.2102955999999999E-3</v>
      </c>
      <c r="EZ81" s="69">
        <v>3.1520342999999998E-3</v>
      </c>
      <c r="FA81" s="69">
        <v>3.0948286000000002E-3</v>
      </c>
      <c r="FB81" s="69">
        <v>3.0386596000000002E-3</v>
      </c>
      <c r="FC81" s="69">
        <v>2.9835083999999999E-3</v>
      </c>
      <c r="FD81" s="69">
        <v>2.9293567E-3</v>
      </c>
      <c r="FE81" s="69">
        <v>2.8761864999999999E-3</v>
      </c>
      <c r="FF81" s="69">
        <v>2.8239799999999998E-3</v>
      </c>
      <c r="FG81" s="69">
        <v>2.7727197000000001E-3</v>
      </c>
      <c r="FH81" s="69">
        <v>2.7223885999999998E-3</v>
      </c>
      <c r="FI81" s="69">
        <v>2.6729699000000002E-3</v>
      </c>
      <c r="FJ81" s="69">
        <v>2.6244470999999998E-3</v>
      </c>
      <c r="FK81" s="69">
        <v>2.5768039000000002E-3</v>
      </c>
      <c r="FL81" s="69">
        <v>2.5300245999999998E-3</v>
      </c>
      <c r="FM81" s="69">
        <v>2.4840933999999999E-3</v>
      </c>
      <c r="FN81" s="69">
        <v>2.4389949999999998E-3</v>
      </c>
      <c r="FO81" s="69">
        <v>2.3947144000000002E-3</v>
      </c>
      <c r="FP81" s="69">
        <v>2.3512367999999999E-3</v>
      </c>
      <c r="FQ81" s="69">
        <v>2.3085476E-3</v>
      </c>
    </row>
    <row r="82" spans="1:173" x14ac:dyDescent="0.25">
      <c r="A82" s="71">
        <v>80</v>
      </c>
      <c r="B82" s="69">
        <v>5.4005175400000001E-2</v>
      </c>
      <c r="C82" s="69">
        <v>5.3377137999999998E-2</v>
      </c>
      <c r="D82" s="69">
        <v>5.2737275200000003E-2</v>
      </c>
      <c r="E82" s="69">
        <v>5.2087394699999998E-2</v>
      </c>
      <c r="F82" s="69">
        <v>5.1429170599999997E-2</v>
      </c>
      <c r="G82" s="69">
        <v>5.0764150799999998E-2</v>
      </c>
      <c r="H82" s="69">
        <v>5.0093763899999998E-2</v>
      </c>
      <c r="I82" s="69">
        <v>4.9419326E-2</v>
      </c>
      <c r="J82" s="69">
        <v>4.8742048099999997E-2</v>
      </c>
      <c r="K82" s="69">
        <v>4.8063041600000002E-2</v>
      </c>
      <c r="L82" s="69">
        <v>4.7383325499999997E-2</v>
      </c>
      <c r="M82" s="69">
        <v>4.6703831899999999E-2</v>
      </c>
      <c r="N82" s="69">
        <v>4.60254119E-2</v>
      </c>
      <c r="O82" s="69">
        <v>4.5348841199999997E-2</v>
      </c>
      <c r="P82" s="69">
        <v>4.4674825100000003E-2</v>
      </c>
      <c r="Q82" s="69">
        <v>4.40040035E-2</v>
      </c>
      <c r="R82" s="69">
        <v>4.33369558E-2</v>
      </c>
      <c r="S82" s="69">
        <v>4.2674204700000003E-2</v>
      </c>
      <c r="T82" s="69">
        <v>4.2016221100000001E-2</v>
      </c>
      <c r="U82" s="69">
        <v>4.13634274E-2</v>
      </c>
      <c r="V82" s="69">
        <v>4.0716201299999998E-2</v>
      </c>
      <c r="W82" s="69">
        <v>4.0074879299999998E-2</v>
      </c>
      <c r="X82" s="69">
        <v>3.94397597E-2</v>
      </c>
      <c r="Y82" s="69">
        <v>3.8811105800000002E-2</v>
      </c>
      <c r="Z82" s="69">
        <v>3.8189148399999998E-2</v>
      </c>
      <c r="AA82" s="69">
        <v>3.7574088700000001E-2</v>
      </c>
      <c r="AB82" s="69">
        <v>3.69661004E-2</v>
      </c>
      <c r="AC82" s="69">
        <v>3.6365332E-2</v>
      </c>
      <c r="AD82" s="69">
        <v>3.5771909099999999E-2</v>
      </c>
      <c r="AE82" s="69">
        <v>3.51859359E-2</v>
      </c>
      <c r="AF82" s="69">
        <v>3.4607497399999999E-2</v>
      </c>
      <c r="AG82" s="69">
        <v>3.40366608E-2</v>
      </c>
      <c r="AH82" s="69">
        <v>3.3473477199999997E-2</v>
      </c>
      <c r="AI82" s="69">
        <v>3.2917982700000001E-2</v>
      </c>
      <c r="AJ82" s="69">
        <v>3.2370200199999997E-2</v>
      </c>
      <c r="AK82" s="69">
        <v>3.1830140200000002E-2</v>
      </c>
      <c r="AL82" s="69">
        <v>3.1297801899999998E-2</v>
      </c>
      <c r="AM82" s="69">
        <v>3.07731745E-2</v>
      </c>
      <c r="AN82" s="69">
        <v>3.0256238099999999E-2</v>
      </c>
      <c r="AO82" s="69">
        <v>2.9746964399999999E-2</v>
      </c>
      <c r="AP82" s="69">
        <v>2.9245317600000001E-2</v>
      </c>
      <c r="AQ82" s="69">
        <v>2.8751255100000001E-2</v>
      </c>
      <c r="AR82" s="69">
        <v>2.8264728400000001E-2</v>
      </c>
      <c r="AS82" s="69">
        <v>2.7785683299999999E-2</v>
      </c>
      <c r="AT82" s="69">
        <v>2.7314060899999999E-2</v>
      </c>
      <c r="AU82" s="69">
        <v>2.6849798000000001E-2</v>
      </c>
      <c r="AV82" s="69">
        <v>2.6392827399999999E-2</v>
      </c>
      <c r="AW82" s="69">
        <v>2.59430787E-2</v>
      </c>
      <c r="AX82" s="69">
        <v>2.5500478100000001E-2</v>
      </c>
      <c r="AY82" s="69">
        <v>2.50649498E-2</v>
      </c>
      <c r="AZ82" s="69">
        <v>2.4636415200000001E-2</v>
      </c>
      <c r="BA82" s="69">
        <v>2.42147939E-2</v>
      </c>
      <c r="BB82" s="69">
        <v>2.3800004E-2</v>
      </c>
      <c r="BC82" s="69">
        <v>2.3391961999999999E-2</v>
      </c>
      <c r="BD82" s="69">
        <v>2.2990583299999999E-2</v>
      </c>
      <c r="BE82" s="69">
        <v>2.2595782299999999E-2</v>
      </c>
      <c r="BF82" s="69">
        <v>2.2207472799999999E-2</v>
      </c>
      <c r="BG82" s="69">
        <v>2.1825568E-2</v>
      </c>
      <c r="BH82" s="69">
        <v>2.1449980600000002E-2</v>
      </c>
      <c r="BI82" s="69">
        <v>2.1080623100000001E-2</v>
      </c>
      <c r="BJ82" s="69">
        <v>2.0717408E-2</v>
      </c>
      <c r="BK82" s="69">
        <v>2.03602477E-2</v>
      </c>
      <c r="BL82" s="69">
        <v>2.0009054799999999E-2</v>
      </c>
      <c r="BM82" s="69">
        <v>1.9663742099999999E-2</v>
      </c>
      <c r="BN82" s="69">
        <v>1.93242229E-2</v>
      </c>
      <c r="BO82" s="69">
        <v>1.8990410499999999E-2</v>
      </c>
      <c r="BP82" s="69">
        <v>1.86622192E-2</v>
      </c>
      <c r="BQ82" s="69">
        <v>1.8339563600000001E-2</v>
      </c>
      <c r="BR82" s="69">
        <v>1.8022358799999999E-2</v>
      </c>
      <c r="BS82" s="69">
        <v>1.7710520800000001E-2</v>
      </c>
      <c r="BT82" s="69">
        <v>1.7403966199999999E-2</v>
      </c>
      <c r="BU82" s="69">
        <v>1.7102612400000002E-2</v>
      </c>
      <c r="BV82" s="69">
        <v>1.6806377500000001E-2</v>
      </c>
      <c r="BW82" s="69">
        <v>1.65151807E-2</v>
      </c>
      <c r="BX82" s="69">
        <v>1.62289418E-2</v>
      </c>
      <c r="BY82" s="69">
        <v>1.5947581499999999E-2</v>
      </c>
      <c r="BZ82" s="69">
        <v>1.56710215E-2</v>
      </c>
      <c r="CA82" s="69">
        <v>1.53991845E-2</v>
      </c>
      <c r="CB82" s="69">
        <v>1.51319939E-2</v>
      </c>
      <c r="CC82" s="69">
        <v>1.48693743E-2</v>
      </c>
      <c r="CD82" s="69">
        <v>1.46112511E-2</v>
      </c>
      <c r="CE82" s="69">
        <v>1.43575508E-2</v>
      </c>
      <c r="CF82" s="69">
        <v>1.41082007E-2</v>
      </c>
      <c r="CG82" s="69">
        <v>1.3863129199999999E-2</v>
      </c>
      <c r="CH82" s="69">
        <v>1.36222659E-2</v>
      </c>
      <c r="CI82" s="69">
        <v>1.3385540899999999E-2</v>
      </c>
      <c r="CJ82" s="69">
        <v>1.3152885600000001E-2</v>
      </c>
      <c r="CK82" s="69">
        <v>1.2924232399999999E-2</v>
      </c>
      <c r="CL82" s="69">
        <v>1.26995146E-2</v>
      </c>
      <c r="CM82" s="69">
        <v>1.2478666500000001E-2</v>
      </c>
      <c r="CN82" s="69">
        <v>1.2261623399999999E-2</v>
      </c>
      <c r="CO82" s="69">
        <v>1.2048321400000001E-2</v>
      </c>
      <c r="CP82" s="69">
        <v>1.1838697800000001E-2</v>
      </c>
      <c r="CQ82" s="69">
        <v>1.16326907E-2</v>
      </c>
      <c r="CR82" s="69">
        <v>1.1430239199999999E-2</v>
      </c>
      <c r="CS82" s="69">
        <v>1.12312834E-2</v>
      </c>
      <c r="CT82" s="69">
        <v>1.1035764199999999E-2</v>
      </c>
      <c r="CU82" s="69">
        <v>1.08436235E-2</v>
      </c>
      <c r="CV82" s="69">
        <v>1.06548041E-2</v>
      </c>
      <c r="CW82" s="69">
        <v>1.0469249700000001E-2</v>
      </c>
      <c r="CX82" s="69">
        <v>1.0286904899999999E-2</v>
      </c>
      <c r="CY82" s="69">
        <v>1.0107715099999999E-2</v>
      </c>
      <c r="CZ82" s="69">
        <v>9.9316267999999992E-3</v>
      </c>
      <c r="DA82" s="69">
        <v>9.7585871000000005E-3</v>
      </c>
      <c r="DB82" s="69">
        <v>9.5885441000000005E-3</v>
      </c>
      <c r="DC82" s="69">
        <v>9.4214465999999993E-3</v>
      </c>
      <c r="DD82" s="69">
        <v>9.2572444999999993E-3</v>
      </c>
      <c r="DE82" s="69">
        <v>9.0958883000000004E-3</v>
      </c>
      <c r="DF82" s="69">
        <v>8.9373292999999996E-3</v>
      </c>
      <c r="DG82" s="69">
        <v>8.7815197000000005E-3</v>
      </c>
      <c r="DH82" s="69">
        <v>8.6284124000000004E-3</v>
      </c>
      <c r="DI82" s="69">
        <v>8.4779612000000001E-3</v>
      </c>
      <c r="DJ82" s="69">
        <v>8.3301204E-3</v>
      </c>
      <c r="DK82" s="69">
        <v>8.1848454999999994E-3</v>
      </c>
      <c r="DL82" s="69">
        <v>8.0420922999999995E-3</v>
      </c>
      <c r="DM82" s="69">
        <v>7.9018175E-3</v>
      </c>
      <c r="DN82" s="69">
        <v>7.7639785999999997E-3</v>
      </c>
      <c r="DO82" s="69">
        <v>7.6285338000000001E-3</v>
      </c>
      <c r="DP82" s="69">
        <v>7.4954417999999997E-3</v>
      </c>
      <c r="DQ82" s="69">
        <v>7.3646620999999997E-3</v>
      </c>
      <c r="DR82" s="69">
        <v>7.2361550999999998E-3</v>
      </c>
      <c r="DS82" s="69">
        <v>7.1098814999999999E-3</v>
      </c>
      <c r="DT82" s="69">
        <v>6.9858028000000004E-3</v>
      </c>
      <c r="DU82" s="69">
        <v>6.8638813999999998E-3</v>
      </c>
      <c r="DV82" s="69">
        <v>6.7440798999999999E-3</v>
      </c>
      <c r="DW82" s="69">
        <v>6.6263618999999998E-3</v>
      </c>
      <c r="DX82" s="69">
        <v>6.5106913000000004E-3</v>
      </c>
      <c r="DY82" s="69">
        <v>6.3970329000000003E-3</v>
      </c>
      <c r="DZ82" s="69">
        <v>6.2853518000000001E-3</v>
      </c>
      <c r="EA82" s="69">
        <v>6.1756140999999999E-3</v>
      </c>
      <c r="EB82" s="69">
        <v>6.0677860000000004E-3</v>
      </c>
      <c r="EC82" s="69">
        <v>5.9618346999999999E-3</v>
      </c>
      <c r="ED82" s="69">
        <v>5.8577276000000003E-3</v>
      </c>
      <c r="EE82" s="69">
        <v>5.7554327999999998E-3</v>
      </c>
      <c r="EF82" s="69">
        <v>5.6549191999999996E-3</v>
      </c>
      <c r="EG82" s="69">
        <v>5.5561556999999999E-3</v>
      </c>
      <c r="EH82" s="69">
        <v>5.4591120999999999E-3</v>
      </c>
      <c r="EI82" s="69">
        <v>5.3637588E-3</v>
      </c>
      <c r="EJ82" s="69">
        <v>5.2700663E-3</v>
      </c>
      <c r="EK82" s="69">
        <v>5.1780059999999998E-3</v>
      </c>
      <c r="EL82" s="69">
        <v>5.0875495E-3</v>
      </c>
      <c r="EM82" s="69">
        <v>4.9986691999999999E-3</v>
      </c>
      <c r="EN82" s="69">
        <v>4.9113376000000002E-3</v>
      </c>
      <c r="EO82" s="69">
        <v>4.8255279999999999E-3</v>
      </c>
      <c r="EP82" s="69">
        <v>4.7412139000000001E-3</v>
      </c>
      <c r="EQ82" s="69">
        <v>4.6583694E-3</v>
      </c>
      <c r="ER82" s="69">
        <v>4.5769690000000002E-3</v>
      </c>
      <c r="ES82" s="69">
        <v>4.4969878000000003E-3</v>
      </c>
      <c r="ET82" s="69">
        <v>4.4184009999999998E-3</v>
      </c>
      <c r="EU82" s="69">
        <v>4.3411845000000003E-3</v>
      </c>
      <c r="EV82" s="69">
        <v>4.2653144000000002E-3</v>
      </c>
      <c r="EW82" s="69">
        <v>4.1907675000000004E-3</v>
      </c>
      <c r="EX82" s="69">
        <v>4.1175205999999997E-3</v>
      </c>
      <c r="EY82" s="69">
        <v>4.0455513999999998E-3</v>
      </c>
      <c r="EZ82" s="69">
        <v>3.9748374999999999E-3</v>
      </c>
      <c r="FA82" s="69">
        <v>3.9053572E-3</v>
      </c>
      <c r="FB82" s="69">
        <v>3.8370890000000001E-3</v>
      </c>
      <c r="FC82" s="69">
        <v>3.7700119000000001E-3</v>
      </c>
      <c r="FD82" s="69">
        <v>3.7041052000000001E-3</v>
      </c>
      <c r="FE82" s="69">
        <v>3.6393484999999999E-3</v>
      </c>
      <c r="FF82" s="69">
        <v>3.5757218999999999E-3</v>
      </c>
      <c r="FG82" s="69">
        <v>3.5132055999999999E-3</v>
      </c>
      <c r="FH82" s="69">
        <v>3.4517803999999999E-3</v>
      </c>
      <c r="FI82" s="69">
        <v>3.3914273999999999E-3</v>
      </c>
      <c r="FJ82" s="69">
        <v>3.3321278000000001E-3</v>
      </c>
      <c r="FK82" s="69">
        <v>3.2738632999999998E-3</v>
      </c>
      <c r="FL82" s="69">
        <v>3.2166159999999998E-3</v>
      </c>
      <c r="FM82" s="69">
        <v>3.1603680999999998E-3</v>
      </c>
      <c r="FN82" s="69">
        <v>3.1051021999999998E-3</v>
      </c>
      <c r="FO82" s="69">
        <v>3.0508012999999998E-3</v>
      </c>
      <c r="FP82" s="69">
        <v>2.9974484999999999E-3</v>
      </c>
      <c r="FQ82" s="69">
        <v>2.9450273999999999E-3</v>
      </c>
    </row>
    <row r="83" spans="1:173" x14ac:dyDescent="0.25">
      <c r="A83" s="71">
        <v>81</v>
      </c>
      <c r="B83" s="69">
        <v>6.0884801500000002E-2</v>
      </c>
      <c r="C83" s="69">
        <v>6.0270493100000003E-2</v>
      </c>
      <c r="D83" s="69">
        <v>5.9638706999999999E-2</v>
      </c>
      <c r="E83" s="69">
        <v>5.8991621100000002E-2</v>
      </c>
      <c r="F83" s="69">
        <v>5.83312624E-2</v>
      </c>
      <c r="G83" s="69">
        <v>5.7659514199999998E-2</v>
      </c>
      <c r="H83" s="69">
        <v>5.6978123399999997E-2</v>
      </c>
      <c r="I83" s="69">
        <v>5.6288707899999998E-2</v>
      </c>
      <c r="J83" s="69">
        <v>5.55927638E-2</v>
      </c>
      <c r="K83" s="69">
        <v>5.4891672099999997E-2</v>
      </c>
      <c r="L83" s="69">
        <v>5.4186705799999998E-2</v>
      </c>
      <c r="M83" s="69">
        <v>5.3479036399999999E-2</v>
      </c>
      <c r="N83" s="69">
        <v>5.2769740199999998E-2</v>
      </c>
      <c r="O83" s="69">
        <v>5.2059804500000001E-2</v>
      </c>
      <c r="P83" s="69">
        <v>5.1350133499999999E-2</v>
      </c>
      <c r="Q83" s="69">
        <v>5.06415536E-2</v>
      </c>
      <c r="R83" s="69">
        <v>4.9934818700000001E-2</v>
      </c>
      <c r="S83" s="69">
        <v>4.9230615700000001E-2</v>
      </c>
      <c r="T83" s="69">
        <v>4.8529568500000002E-2</v>
      </c>
      <c r="U83" s="69">
        <v>4.7832242900000002E-2</v>
      </c>
      <c r="V83" s="69">
        <v>4.71391507E-2</v>
      </c>
      <c r="W83" s="69">
        <v>4.6450753499999997E-2</v>
      </c>
      <c r="X83" s="69">
        <v>4.5767466800000003E-2</v>
      </c>
      <c r="Y83" s="69">
        <v>4.5089663000000002E-2</v>
      </c>
      <c r="Z83" s="69">
        <v>4.44176747E-2</v>
      </c>
      <c r="AA83" s="69">
        <v>4.3751798199999997E-2</v>
      </c>
      <c r="AB83" s="69">
        <v>4.3092295599999997E-2</v>
      </c>
      <c r="AC83" s="69">
        <v>4.2439398099999998E-2</v>
      </c>
      <c r="AD83" s="69">
        <v>4.1793308100000003E-2</v>
      </c>
      <c r="AE83" s="69">
        <v>4.1154201500000001E-2</v>
      </c>
      <c r="AF83" s="69">
        <v>4.0522229899999998E-2</v>
      </c>
      <c r="AG83" s="69">
        <v>3.9897522599999999E-2</v>
      </c>
      <c r="AH83" s="69">
        <v>3.9280188200000003E-2</v>
      </c>
      <c r="AI83" s="69">
        <v>3.8670316699999999E-2</v>
      </c>
      <c r="AJ83" s="69">
        <v>3.8067980699999997E-2</v>
      </c>
      <c r="AK83" s="69">
        <v>3.7473237100000001E-2</v>
      </c>
      <c r="AL83" s="69">
        <v>3.6886128400000003E-2</v>
      </c>
      <c r="AM83" s="69">
        <v>3.63066836E-2</v>
      </c>
      <c r="AN83" s="69">
        <v>3.5734920000000003E-2</v>
      </c>
      <c r="AO83" s="69">
        <v>3.5170843799999997E-2</v>
      </c>
      <c r="AP83" s="69">
        <v>3.46144512E-2</v>
      </c>
      <c r="AQ83" s="69">
        <v>3.4065729400000001E-2</v>
      </c>
      <c r="AR83" s="69">
        <v>3.3524657100000001E-2</v>
      </c>
      <c r="AS83" s="69">
        <v>3.2991205900000001E-2</v>
      </c>
      <c r="AT83" s="69">
        <v>3.2465340299999999E-2</v>
      </c>
      <c r="AU83" s="69">
        <v>3.1947019100000001E-2</v>
      </c>
      <c r="AV83" s="69">
        <v>3.1436195200000003E-2</v>
      </c>
      <c r="AW83" s="69">
        <v>3.0932816799999999E-2</v>
      </c>
      <c r="AX83" s="69">
        <v>3.0436827699999999E-2</v>
      </c>
      <c r="AY83" s="69">
        <v>2.99481677E-2</v>
      </c>
      <c r="AZ83" s="69">
        <v>2.9466773000000002E-2</v>
      </c>
      <c r="BA83" s="69">
        <v>2.8992576799999999E-2</v>
      </c>
      <c r="BB83" s="69">
        <v>2.8525509500000001E-2</v>
      </c>
      <c r="BC83" s="69">
        <v>2.80654992E-2</v>
      </c>
      <c r="BD83" s="69">
        <v>2.76124718E-2</v>
      </c>
      <c r="BE83" s="69">
        <v>2.7166351299999999E-2</v>
      </c>
      <c r="BF83" s="69">
        <v>2.6727060399999999E-2</v>
      </c>
      <c r="BG83" s="69">
        <v>2.6294520200000001E-2</v>
      </c>
      <c r="BH83" s="69">
        <v>2.58686508E-2</v>
      </c>
      <c r="BI83" s="69">
        <v>2.5449371500000002E-2</v>
      </c>
      <c r="BJ83" s="69">
        <v>2.5036600799999999E-2</v>
      </c>
      <c r="BK83" s="69">
        <v>2.4630256499999999E-2</v>
      </c>
      <c r="BL83" s="69">
        <v>2.4230256200000001E-2</v>
      </c>
      <c r="BM83" s="69">
        <v>2.3836517099999999E-2</v>
      </c>
      <c r="BN83" s="69">
        <v>2.34489565E-2</v>
      </c>
      <c r="BO83" s="69">
        <v>2.3067491200000002E-2</v>
      </c>
      <c r="BP83" s="69">
        <v>2.2692038599999999E-2</v>
      </c>
      <c r="BQ83" s="69">
        <v>2.2322515800000001E-2</v>
      </c>
      <c r="BR83" s="69">
        <v>2.1958840600000001E-2</v>
      </c>
      <c r="BS83" s="69">
        <v>2.16009307E-2</v>
      </c>
      <c r="BT83" s="69">
        <v>2.1248704600000001E-2</v>
      </c>
      <c r="BU83" s="69">
        <v>2.0902080999999999E-2</v>
      </c>
      <c r="BV83" s="69">
        <v>2.0560979199999999E-2</v>
      </c>
      <c r="BW83" s="69">
        <v>2.0225318999999999E-2</v>
      </c>
      <c r="BX83" s="69">
        <v>1.9895020999999999E-2</v>
      </c>
      <c r="BY83" s="69">
        <v>1.95700062E-2</v>
      </c>
      <c r="BZ83" s="69">
        <v>1.9250196599999998E-2</v>
      </c>
      <c r="CA83" s="69">
        <v>1.8935514600000002E-2</v>
      </c>
      <c r="CB83" s="69">
        <v>1.86258836E-2</v>
      </c>
      <c r="CC83" s="69">
        <v>1.83212276E-2</v>
      </c>
      <c r="CD83" s="69">
        <v>1.8021471599999998E-2</v>
      </c>
      <c r="CE83" s="69">
        <v>1.7726541200000001E-2</v>
      </c>
      <c r="CF83" s="69">
        <v>1.7436362899999999E-2</v>
      </c>
      <c r="CG83" s="69">
        <v>1.7150864200000001E-2</v>
      </c>
      <c r="CH83" s="69">
        <v>1.68699733E-2</v>
      </c>
      <c r="CI83" s="69">
        <v>1.6593619300000001E-2</v>
      </c>
      <c r="CJ83" s="69">
        <v>1.63217321E-2</v>
      </c>
      <c r="CK83" s="69">
        <v>1.60542425E-2</v>
      </c>
      <c r="CL83" s="69">
        <v>1.5791082500000001E-2</v>
      </c>
      <c r="CM83" s="69">
        <v>1.5532184399999999E-2</v>
      </c>
      <c r="CN83" s="69">
        <v>1.5277481900000001E-2</v>
      </c>
      <c r="CO83" s="69">
        <v>1.50269093E-2</v>
      </c>
      <c r="CP83" s="69">
        <v>1.47804019E-2</v>
      </c>
      <c r="CQ83" s="69">
        <v>1.45378959E-2</v>
      </c>
      <c r="CR83" s="69">
        <v>1.4299328300000001E-2</v>
      </c>
      <c r="CS83" s="69">
        <v>1.4064637E-2</v>
      </c>
      <c r="CT83" s="69">
        <v>1.3833760800000001E-2</v>
      </c>
      <c r="CU83" s="69">
        <v>1.36066394E-2</v>
      </c>
      <c r="CV83" s="69">
        <v>1.3383213200000001E-2</v>
      </c>
      <c r="CW83" s="69">
        <v>1.3163423699999999E-2</v>
      </c>
      <c r="CX83" s="69">
        <v>1.2947213000000001E-2</v>
      </c>
      <c r="CY83" s="69">
        <v>1.2734524299999999E-2</v>
      </c>
      <c r="CZ83" s="69">
        <v>1.2525301399999999E-2</v>
      </c>
      <c r="DA83" s="69">
        <v>1.2319488999999999E-2</v>
      </c>
      <c r="DB83" s="69">
        <v>1.21170327E-2</v>
      </c>
      <c r="DC83" s="69">
        <v>1.19178789E-2</v>
      </c>
      <c r="DD83" s="69">
        <v>1.1721974600000001E-2</v>
      </c>
      <c r="DE83" s="69">
        <v>1.1529268000000001E-2</v>
      </c>
      <c r="DF83" s="69">
        <v>1.13397076E-2</v>
      </c>
      <c r="DG83" s="69">
        <v>1.1153243E-2</v>
      </c>
      <c r="DH83" s="69">
        <v>1.0969824499999999E-2</v>
      </c>
      <c r="DI83" s="69">
        <v>1.07894032E-2</v>
      </c>
      <c r="DJ83" s="69">
        <v>1.0611930699999999E-2</v>
      </c>
      <c r="DK83" s="69">
        <v>1.0437359699999999E-2</v>
      </c>
      <c r="DL83" s="69">
        <v>1.02656434E-2</v>
      </c>
      <c r="DM83" s="69">
        <v>1.0096735799999999E-2</v>
      </c>
      <c r="DN83" s="69">
        <v>9.9305915000000005E-3</v>
      </c>
      <c r="DO83" s="69">
        <v>9.7671661000000003E-3</v>
      </c>
      <c r="DP83" s="69">
        <v>9.6064154000000002E-3</v>
      </c>
      <c r="DQ83" s="69">
        <v>9.4482964000000003E-3</v>
      </c>
      <c r="DR83" s="69">
        <v>9.2927665000000007E-3</v>
      </c>
      <c r="DS83" s="69">
        <v>9.1397838000000006E-3</v>
      </c>
      <c r="DT83" s="69">
        <v>8.9893070000000002E-3</v>
      </c>
      <c r="DU83" s="69">
        <v>8.8412956000000001E-3</v>
      </c>
      <c r="DV83" s="69">
        <v>8.6957096000000005E-3</v>
      </c>
      <c r="DW83" s="69">
        <v>8.5525095999999991E-3</v>
      </c>
      <c r="DX83" s="69">
        <v>8.4116571000000008E-3</v>
      </c>
      <c r="DY83" s="69">
        <v>8.2731139000000002E-3</v>
      </c>
      <c r="DZ83" s="69">
        <v>8.1368424999999998E-3</v>
      </c>
      <c r="EA83" s="69">
        <v>8.0028061000000008E-3</v>
      </c>
      <c r="EB83" s="69">
        <v>7.8709682E-3</v>
      </c>
      <c r="EC83" s="69">
        <v>7.7412933000000003E-3</v>
      </c>
      <c r="ED83" s="69">
        <v>7.6137460999999998E-3</v>
      </c>
      <c r="EE83" s="69">
        <v>7.4882919999999997E-3</v>
      </c>
      <c r="EF83" s="69">
        <v>7.3648969999999996E-3</v>
      </c>
      <c r="EG83" s="69">
        <v>7.2435275000000002E-3</v>
      </c>
      <c r="EH83" s="69">
        <v>7.1241506000000003E-3</v>
      </c>
      <c r="EI83" s="69">
        <v>7.0067339000000001E-3</v>
      </c>
      <c r="EJ83" s="69">
        <v>6.8912453000000004E-3</v>
      </c>
      <c r="EK83" s="69">
        <v>6.7776535000000004E-3</v>
      </c>
      <c r="EL83" s="69">
        <v>6.6659275999999996E-3</v>
      </c>
      <c r="EM83" s="69">
        <v>6.5560371000000003E-3</v>
      </c>
      <c r="EN83" s="69">
        <v>6.4479521000000003E-3</v>
      </c>
      <c r="EO83" s="69">
        <v>6.3416432000000002E-3</v>
      </c>
      <c r="EP83" s="69">
        <v>6.2370812999999999E-3</v>
      </c>
      <c r="EQ83" s="69">
        <v>6.1342378999999997E-3</v>
      </c>
      <c r="ER83" s="69">
        <v>6.0330851000000001E-3</v>
      </c>
      <c r="ES83" s="69">
        <v>5.9335951000000003E-3</v>
      </c>
      <c r="ET83" s="69">
        <v>5.8357408999999997E-3</v>
      </c>
      <c r="EU83" s="69">
        <v>5.7394956E-3</v>
      </c>
      <c r="EV83" s="69">
        <v>5.6448330000000001E-3</v>
      </c>
      <c r="EW83" s="69">
        <v>5.5517272999999999E-3</v>
      </c>
      <c r="EX83" s="69">
        <v>5.4601529000000001E-3</v>
      </c>
      <c r="EY83" s="69">
        <v>5.3700848999999997E-3</v>
      </c>
      <c r="EZ83" s="69">
        <v>5.2814986000000001E-3</v>
      </c>
      <c r="FA83" s="69">
        <v>5.1943696999999997E-3</v>
      </c>
      <c r="FB83" s="69">
        <v>5.1086745000000003E-3</v>
      </c>
      <c r="FC83" s="69">
        <v>5.0243893000000003E-3</v>
      </c>
      <c r="FD83" s="69">
        <v>4.9414912999999998E-3</v>
      </c>
      <c r="FE83" s="69">
        <v>4.8599576E-3</v>
      </c>
      <c r="FF83" s="69">
        <v>4.7797658999999999E-3</v>
      </c>
      <c r="FG83" s="69">
        <v>4.7008941999999998E-3</v>
      </c>
      <c r="FH83" s="69">
        <v>4.6233209999999997E-3</v>
      </c>
      <c r="FI83" s="69">
        <v>4.5470249000000001E-3</v>
      </c>
      <c r="FJ83" s="69">
        <v>4.4719850000000004E-3</v>
      </c>
      <c r="FK83" s="69">
        <v>4.3981806999999996E-3</v>
      </c>
      <c r="FL83" s="69">
        <v>4.3255918000000004E-3</v>
      </c>
      <c r="FM83" s="69">
        <v>4.2541983000000004E-3</v>
      </c>
      <c r="FN83" s="69">
        <v>4.1839807000000001E-3</v>
      </c>
      <c r="FO83" s="69">
        <v>4.1149196999999997E-3</v>
      </c>
      <c r="FP83" s="69">
        <v>4.0469961999999998E-3</v>
      </c>
      <c r="FQ83" s="69">
        <v>3.9801916000000003E-3</v>
      </c>
    </row>
    <row r="84" spans="1:173" x14ac:dyDescent="0.25">
      <c r="A84" s="71">
        <v>82</v>
      </c>
      <c r="B84" s="69">
        <v>6.8064118000000007E-2</v>
      </c>
      <c r="C84" s="69">
        <v>6.7412734200000005E-2</v>
      </c>
      <c r="D84" s="69">
        <v>6.6742202099999995E-2</v>
      </c>
      <c r="E84" s="69">
        <v>6.6054821700000002E-2</v>
      </c>
      <c r="F84" s="69">
        <v>6.5352734800000006E-2</v>
      </c>
      <c r="G84" s="69">
        <v>6.4637933499999994E-2</v>
      </c>
      <c r="H84" s="69">
        <v>6.39122674E-2</v>
      </c>
      <c r="I84" s="69">
        <v>6.3177451400000001E-2</v>
      </c>
      <c r="J84" s="69">
        <v>6.2435072699999997E-2</v>
      </c>
      <c r="K84" s="69">
        <v>6.16865989E-2</v>
      </c>
      <c r="L84" s="69">
        <v>6.0933384399999999E-2</v>
      </c>
      <c r="M84" s="69">
        <v>6.0176677499999998E-2</v>
      </c>
      <c r="N84" s="69">
        <v>5.9417626899999999E-2</v>
      </c>
      <c r="O84" s="69">
        <v>5.8657288500000002E-2</v>
      </c>
      <c r="P84" s="69">
        <v>5.78966307E-2</v>
      </c>
      <c r="Q84" s="69">
        <v>5.7136540800000003E-2</v>
      </c>
      <c r="R84" s="69">
        <v>5.6377830099999998E-2</v>
      </c>
      <c r="S84" s="69">
        <v>5.56212393E-2</v>
      </c>
      <c r="T84" s="69">
        <v>5.4867443199999998E-2</v>
      </c>
      <c r="U84" s="69">
        <v>5.4117055499999997E-2</v>
      </c>
      <c r="V84" s="69">
        <v>5.3370633100000002E-2</v>
      </c>
      <c r="W84" s="69">
        <v>5.26286802E-2</v>
      </c>
      <c r="X84" s="69">
        <v>5.1891652000000003E-2</v>
      </c>
      <c r="Y84" s="69">
        <v>5.1159958700000001E-2</v>
      </c>
      <c r="Z84" s="69">
        <v>5.0433968199999998E-2</v>
      </c>
      <c r="AA84" s="69">
        <v>4.9714010000000003E-2</v>
      </c>
      <c r="AB84" s="69">
        <v>4.9000377599999999E-2</v>
      </c>
      <c r="AC84" s="69">
        <v>4.8293331500000002E-2</v>
      </c>
      <c r="AD84" s="69">
        <v>4.7593101700000001E-2</v>
      </c>
      <c r="AE84" s="69">
        <v>4.689989E-2</v>
      </c>
      <c r="AF84" s="69">
        <v>4.6213872400000001E-2</v>
      </c>
      <c r="AG84" s="69">
        <v>4.5535200900000003E-2</v>
      </c>
      <c r="AH84" s="69">
        <v>4.4864005800000002E-2</v>
      </c>
      <c r="AI84" s="69">
        <v>4.4200396900000001E-2</v>
      </c>
      <c r="AJ84" s="69">
        <v>4.3544465900000003E-2</v>
      </c>
      <c r="AK84" s="69">
        <v>4.2896287200000001E-2</v>
      </c>
      <c r="AL84" s="69">
        <v>4.2255919599999997E-2</v>
      </c>
      <c r="AM84" s="69">
        <v>4.1623408000000001E-2</v>
      </c>
      <c r="AN84" s="69">
        <v>4.0998783900000002E-2</v>
      </c>
      <c r="AO84" s="69">
        <v>4.0382067100000002E-2</v>
      </c>
      <c r="AP84" s="69">
        <v>3.97732664E-2</v>
      </c>
      <c r="AQ84" s="69">
        <v>3.9172380700000002E-2</v>
      </c>
      <c r="AR84" s="69">
        <v>3.8579399799999997E-2</v>
      </c>
      <c r="AS84" s="69">
        <v>3.79943056E-2</v>
      </c>
      <c r="AT84" s="69">
        <v>3.7417072099999997E-2</v>
      </c>
      <c r="AU84" s="69">
        <v>3.6847666799999998E-2</v>
      </c>
      <c r="AV84" s="69">
        <v>3.6286051E-2</v>
      </c>
      <c r="AW84" s="69">
        <v>3.5732180600000003E-2</v>
      </c>
      <c r="AX84" s="69">
        <v>3.5186006399999997E-2</v>
      </c>
      <c r="AY84" s="69">
        <v>3.4647474800000001E-2</v>
      </c>
      <c r="AZ84" s="69">
        <v>3.4116528E-2</v>
      </c>
      <c r="BA84" s="69">
        <v>3.3593104800000002E-2</v>
      </c>
      <c r="BB84" s="69">
        <v>3.3077140900000003E-2</v>
      </c>
      <c r="BC84" s="69">
        <v>3.2568568899999997E-2</v>
      </c>
      <c r="BD84" s="69">
        <v>3.2067319099999998E-2</v>
      </c>
      <c r="BE84" s="69">
        <v>3.1573319500000002E-2</v>
      </c>
      <c r="BF84" s="69">
        <v>3.1086496299999999E-2</v>
      </c>
      <c r="BG84" s="69">
        <v>3.0606774E-2</v>
      </c>
      <c r="BH84" s="69">
        <v>3.0134075499999999E-2</v>
      </c>
      <c r="BI84" s="69">
        <v>2.9668322800000001E-2</v>
      </c>
      <c r="BJ84" s="69">
        <v>2.9209436599999999E-2</v>
      </c>
      <c r="BK84" s="69">
        <v>2.8757337099999999E-2</v>
      </c>
      <c r="BL84" s="69">
        <v>2.8311943499999999E-2</v>
      </c>
      <c r="BM84" s="69">
        <v>2.7873174699999999E-2</v>
      </c>
      <c r="BN84" s="69">
        <v>2.7440949199999998E-2</v>
      </c>
      <c r="BO84" s="69">
        <v>2.70151852E-2</v>
      </c>
      <c r="BP84" s="69">
        <v>2.65958008E-2</v>
      </c>
      <c r="BQ84" s="69">
        <v>2.6182714100000001E-2</v>
      </c>
      <c r="BR84" s="69">
        <v>2.5775843199999999E-2</v>
      </c>
      <c r="BS84" s="69">
        <v>2.5375106599999999E-2</v>
      </c>
      <c r="BT84" s="69">
        <v>2.49804226E-2</v>
      </c>
      <c r="BU84" s="69">
        <v>2.4591710100000001E-2</v>
      </c>
      <c r="BV84" s="69">
        <v>2.4208888500000001E-2</v>
      </c>
      <c r="BW84" s="69">
        <v>2.38318774E-2</v>
      </c>
      <c r="BX84" s="69">
        <v>2.3460596800000001E-2</v>
      </c>
      <c r="BY84" s="69">
        <v>2.3094967599999999E-2</v>
      </c>
      <c r="BZ84" s="69">
        <v>2.2734910899999999E-2</v>
      </c>
      <c r="CA84" s="69">
        <v>2.23803487E-2</v>
      </c>
      <c r="CB84" s="69">
        <v>2.20312033E-2</v>
      </c>
      <c r="CC84" s="69">
        <v>2.1687398199999999E-2</v>
      </c>
      <c r="CD84" s="69">
        <v>2.1348856999999999E-2</v>
      </c>
      <c r="CE84" s="69">
        <v>2.1015504500000001E-2</v>
      </c>
      <c r="CF84" s="69">
        <v>2.0687266100000001E-2</v>
      </c>
      <c r="CG84" s="69">
        <v>2.03640678E-2</v>
      </c>
      <c r="CH84" s="69">
        <v>2.0045836599999999E-2</v>
      </c>
      <c r="CI84" s="69">
        <v>1.9732500199999999E-2</v>
      </c>
      <c r="CJ84" s="69">
        <v>1.9423987100000002E-2</v>
      </c>
      <c r="CK84" s="69">
        <v>1.9120226600000002E-2</v>
      </c>
      <c r="CL84" s="69">
        <v>1.8821148999999999E-2</v>
      </c>
      <c r="CM84" s="69">
        <v>1.8526685099999999E-2</v>
      </c>
      <c r="CN84" s="69">
        <v>1.8236766799999998E-2</v>
      </c>
      <c r="CO84" s="69">
        <v>1.7951326699999999E-2</v>
      </c>
      <c r="CP84" s="69">
        <v>1.7670298399999999E-2</v>
      </c>
      <c r="CQ84" s="69">
        <v>1.7393616099999998E-2</v>
      </c>
      <c r="CR84" s="69">
        <v>1.71212151E-2</v>
      </c>
      <c r="CS84" s="69">
        <v>1.68530312E-2</v>
      </c>
      <c r="CT84" s="69">
        <v>1.6589001400000001E-2</v>
      </c>
      <c r="CU84" s="69">
        <v>1.63290632E-2</v>
      </c>
      <c r="CV84" s="69">
        <v>1.6073155299999999E-2</v>
      </c>
      <c r="CW84" s="69">
        <v>1.5821216799999999E-2</v>
      </c>
      <c r="CX84" s="69">
        <v>1.5573188E-2</v>
      </c>
      <c r="CY84" s="69">
        <v>1.53290098E-2</v>
      </c>
      <c r="CZ84" s="69">
        <v>1.5088623900000001E-2</v>
      </c>
      <c r="DA84" s="69">
        <v>1.4851972999999999E-2</v>
      </c>
      <c r="DB84" s="69">
        <v>1.4619000300000001E-2</v>
      </c>
      <c r="DC84" s="69">
        <v>1.438965E-2</v>
      </c>
      <c r="DD84" s="69">
        <v>1.4163867199999999E-2</v>
      </c>
      <c r="DE84" s="69">
        <v>1.39415974E-2</v>
      </c>
      <c r="DF84" s="69">
        <v>1.37227871E-2</v>
      </c>
      <c r="DG84" s="69">
        <v>1.35073837E-2</v>
      </c>
      <c r="DH84" s="69">
        <v>1.32953351E-2</v>
      </c>
      <c r="DI84" s="69">
        <v>1.308659E-2</v>
      </c>
      <c r="DJ84" s="69">
        <v>1.2881098000000001E-2</v>
      </c>
      <c r="DK84" s="69">
        <v>1.26788092E-2</v>
      </c>
      <c r="DL84" s="69">
        <v>1.2479674600000001E-2</v>
      </c>
      <c r="DM84" s="69">
        <v>1.22836458E-2</v>
      </c>
      <c r="DN84" s="69">
        <v>1.20906752E-2</v>
      </c>
      <c r="DO84" s="69">
        <v>1.1900715799999999E-2</v>
      </c>
      <c r="DP84" s="69">
        <v>1.17137214E-2</v>
      </c>
      <c r="DQ84" s="69">
        <v>1.1529646399999999E-2</v>
      </c>
      <c r="DR84" s="69">
        <v>1.13484459E-2</v>
      </c>
      <c r="DS84" s="69">
        <v>1.1170075599999999E-2</v>
      </c>
      <c r="DT84" s="69">
        <v>1.0994492E-2</v>
      </c>
      <c r="DU84" s="69">
        <v>1.0821651999999999E-2</v>
      </c>
      <c r="DV84" s="69">
        <v>1.0651513499999999E-2</v>
      </c>
      <c r="DW84" s="69">
        <v>1.04840347E-2</v>
      </c>
      <c r="DX84" s="69">
        <v>1.03191746E-2</v>
      </c>
      <c r="DY84" s="69">
        <v>1.01568927E-2</v>
      </c>
      <c r="DZ84" s="69">
        <v>9.9971491999999995E-3</v>
      </c>
      <c r="EA84" s="69">
        <v>9.8399048000000003E-3</v>
      </c>
      <c r="EB84" s="69">
        <v>9.6851209999999997E-3</v>
      </c>
      <c r="EC84" s="69">
        <v>9.5327595999999994E-3</v>
      </c>
      <c r="ED84" s="69">
        <v>9.3827831E-3</v>
      </c>
      <c r="EE84" s="69">
        <v>9.2351546E-3</v>
      </c>
      <c r="EF84" s="69">
        <v>9.0898378000000002E-3</v>
      </c>
      <c r="EG84" s="69">
        <v>8.9467968000000002E-3</v>
      </c>
      <c r="EH84" s="69">
        <v>8.8059963000000005E-3</v>
      </c>
      <c r="EI84" s="69">
        <v>8.6674015999999993E-3</v>
      </c>
      <c r="EJ84" s="69">
        <v>8.5309784999999996E-3</v>
      </c>
      <c r="EK84" s="69">
        <v>8.3966931999999994E-3</v>
      </c>
      <c r="EL84" s="69">
        <v>8.2645125999999992E-3</v>
      </c>
      <c r="EM84" s="69">
        <v>8.1344039E-3</v>
      </c>
      <c r="EN84" s="69">
        <v>8.0063350999999994E-3</v>
      </c>
      <c r="EO84" s="69">
        <v>7.8802743000000001E-3</v>
      </c>
      <c r="EP84" s="69">
        <v>7.7561903999999997E-3</v>
      </c>
      <c r="EQ84" s="69">
        <v>7.6340525999999999E-3</v>
      </c>
      <c r="ER84" s="69">
        <v>7.5138306999999998E-3</v>
      </c>
      <c r="ES84" s="69">
        <v>7.3954948000000001E-3</v>
      </c>
      <c r="ET84" s="69">
        <v>7.2790156E-3</v>
      </c>
      <c r="EU84" s="69">
        <v>7.1643642000000004E-3</v>
      </c>
      <c r="EV84" s="69">
        <v>7.0515120999999998E-3</v>
      </c>
      <c r="EW84" s="69">
        <v>6.9404313E-3</v>
      </c>
      <c r="EX84" s="69">
        <v>6.8310942000000003E-3</v>
      </c>
      <c r="EY84" s="69">
        <v>6.7234736999999996E-3</v>
      </c>
      <c r="EZ84" s="69">
        <v>6.6175428999999996E-3</v>
      </c>
      <c r="FA84" s="69">
        <v>6.5132755000000004E-3</v>
      </c>
      <c r="FB84" s="69">
        <v>6.4106455999999997E-3</v>
      </c>
      <c r="FC84" s="69">
        <v>6.3096276000000001E-3</v>
      </c>
      <c r="FD84" s="69">
        <v>6.2101964000000004E-3</v>
      </c>
      <c r="FE84" s="69">
        <v>6.1123273000000004E-3</v>
      </c>
      <c r="FF84" s="69">
        <v>6.0159957000000003E-3</v>
      </c>
      <c r="FG84" s="69">
        <v>5.9211778E-3</v>
      </c>
      <c r="FH84" s="69">
        <v>5.8278499000000003E-3</v>
      </c>
      <c r="FI84" s="69">
        <v>5.7359886999999998E-3</v>
      </c>
      <c r="FJ84" s="69">
        <v>5.6455712999999999E-3</v>
      </c>
      <c r="FK84" s="69">
        <v>5.5565752000000003E-3</v>
      </c>
      <c r="FL84" s="69">
        <v>5.4689780000000002E-3</v>
      </c>
      <c r="FM84" s="69">
        <v>5.3827581000000001E-3</v>
      </c>
      <c r="FN84" s="69">
        <v>5.2978938E-3</v>
      </c>
      <c r="FO84" s="69">
        <v>5.2143639000000004E-3</v>
      </c>
      <c r="FP84" s="69">
        <v>5.1321474999999998E-3</v>
      </c>
      <c r="FQ84" s="69">
        <v>5.0512242000000001E-3</v>
      </c>
    </row>
    <row r="85" spans="1:173" x14ac:dyDescent="0.25">
      <c r="A85" s="71">
        <v>83</v>
      </c>
      <c r="B85" s="69">
        <v>7.6342881000000001E-2</v>
      </c>
      <c r="C85" s="69">
        <v>7.5711893599999996E-2</v>
      </c>
      <c r="D85" s="69">
        <v>7.5055350399999998E-2</v>
      </c>
      <c r="E85" s="69">
        <v>7.4375956699999995E-2</v>
      </c>
      <c r="F85" s="69">
        <v>7.3676241500000003E-2</v>
      </c>
      <c r="G85" s="69">
        <v>7.2958565700000005E-2</v>
      </c>
      <c r="H85" s="69">
        <v>7.2225129599999993E-2</v>
      </c>
      <c r="I85" s="69">
        <v>7.1477980900000002E-2</v>
      </c>
      <c r="J85" s="69">
        <v>7.0719022399999998E-2</v>
      </c>
      <c r="K85" s="69">
        <v>6.9950019799999999E-2</v>
      </c>
      <c r="L85" s="69">
        <v>6.9172609400000001E-2</v>
      </c>
      <c r="M85" s="69">
        <v>6.8388305600000004E-2</v>
      </c>
      <c r="N85" s="69">
        <v>6.7598507700000005E-2</v>
      </c>
      <c r="O85" s="69">
        <v>6.6804507400000004E-2</v>
      </c>
      <c r="P85" s="69">
        <v>6.6007495299999996E-2</v>
      </c>
      <c r="Q85" s="69">
        <v>6.5208566999999995E-2</v>
      </c>
      <c r="R85" s="69">
        <v>6.4408729600000006E-2</v>
      </c>
      <c r="S85" s="69">
        <v>6.36089076E-2</v>
      </c>
      <c r="T85" s="69">
        <v>6.2809947899999996E-2</v>
      </c>
      <c r="U85" s="69">
        <v>6.2012625600000003E-2</v>
      </c>
      <c r="V85" s="69">
        <v>6.1217648499999999E-2</v>
      </c>
      <c r="W85" s="69">
        <v>6.0425662400000003E-2</v>
      </c>
      <c r="X85" s="69">
        <v>5.9637254600000002E-2</v>
      </c>
      <c r="Y85" s="69">
        <v>5.8852958699999999E-2</v>
      </c>
      <c r="Z85" s="69">
        <v>5.8073258500000002E-2</v>
      </c>
      <c r="AA85" s="69">
        <v>5.7298591099999997E-2</v>
      </c>
      <c r="AB85" s="69">
        <v>5.6529350999999999E-2</v>
      </c>
      <c r="AC85" s="69">
        <v>5.5765892499999997E-2</v>
      </c>
      <c r="AD85" s="69">
        <v>5.5008533399999997E-2</v>
      </c>
      <c r="AE85" s="69">
        <v>5.4257557400000003E-2</v>
      </c>
      <c r="AF85" s="69">
        <v>5.35132169E-2</v>
      </c>
      <c r="AG85" s="69">
        <v>5.2775734999999997E-2</v>
      </c>
      <c r="AH85" s="69">
        <v>5.2045308200000001E-2</v>
      </c>
      <c r="AI85" s="69">
        <v>5.1322108300000002E-2</v>
      </c>
      <c r="AJ85" s="69">
        <v>5.0606284299999998E-2</v>
      </c>
      <c r="AK85" s="69">
        <v>4.9897964500000003E-2</v>
      </c>
      <c r="AL85" s="69">
        <v>4.9197257500000001E-2</v>
      </c>
      <c r="AM85" s="69">
        <v>4.8504254699999999E-2</v>
      </c>
      <c r="AN85" s="69">
        <v>4.7819030700000001E-2</v>
      </c>
      <c r="AO85" s="69">
        <v>4.7141645699999998E-2</v>
      </c>
      <c r="AP85" s="69">
        <v>4.6472145899999998E-2</v>
      </c>
      <c r="AQ85" s="69">
        <v>4.5810564900000003E-2</v>
      </c>
      <c r="AR85" s="69">
        <v>4.5156925100000002E-2</v>
      </c>
      <c r="AS85" s="69">
        <v>4.4511238100000003E-2</v>
      </c>
      <c r="AT85" s="69">
        <v>4.3873506200000002E-2</v>
      </c>
      <c r="AU85" s="69">
        <v>4.3243722700000001E-2</v>
      </c>
      <c r="AV85" s="69">
        <v>4.2621873099999999E-2</v>
      </c>
      <c r="AW85" s="69">
        <v>4.2007935500000003E-2</v>
      </c>
      <c r="AX85" s="69">
        <v>4.1401881600000003E-2</v>
      </c>
      <c r="AY85" s="69">
        <v>4.0803676900000002E-2</v>
      </c>
      <c r="AZ85" s="69">
        <v>4.0213281599999998E-2</v>
      </c>
      <c r="BA85" s="69">
        <v>3.9630651099999997E-2</v>
      </c>
      <c r="BB85" s="69">
        <v>3.9055736100000002E-2</v>
      </c>
      <c r="BC85" s="69">
        <v>3.8488483499999997E-2</v>
      </c>
      <c r="BD85" s="69">
        <v>3.7928836799999997E-2</v>
      </c>
      <c r="BE85" s="69">
        <v>3.7376736100000002E-2</v>
      </c>
      <c r="BF85" s="69">
        <v>3.6832118499999997E-2</v>
      </c>
      <c r="BG85" s="69">
        <v>3.6294919000000002E-2</v>
      </c>
      <c r="BH85" s="69">
        <v>3.5765070000000003E-2</v>
      </c>
      <c r="BI85" s="69">
        <v>3.5242502100000003E-2</v>
      </c>
      <c r="BJ85" s="69">
        <v>3.4727144199999997E-2</v>
      </c>
      <c r="BK85" s="69">
        <v>3.4218923599999999E-2</v>
      </c>
      <c r="BL85" s="69">
        <v>3.37177663E-2</v>
      </c>
      <c r="BM85" s="69">
        <v>3.32235975E-2</v>
      </c>
      <c r="BN85" s="69">
        <v>3.2736341100000003E-2</v>
      </c>
      <c r="BO85" s="69">
        <v>3.2255920600000001E-2</v>
      </c>
      <c r="BP85" s="69">
        <v>3.17822585E-2</v>
      </c>
      <c r="BQ85" s="69">
        <v>3.1315277199999998E-2</v>
      </c>
      <c r="BR85" s="69">
        <v>3.08548986E-2</v>
      </c>
      <c r="BS85" s="69">
        <v>3.0401044299999999E-2</v>
      </c>
      <c r="BT85" s="69">
        <v>2.9953635900000001E-2</v>
      </c>
      <c r="BU85" s="69">
        <v>2.9512594900000001E-2</v>
      </c>
      <c r="BV85" s="69">
        <v>2.9077842900000001E-2</v>
      </c>
      <c r="BW85" s="69">
        <v>2.86493016E-2</v>
      </c>
      <c r="BX85" s="69">
        <v>2.82268928E-2</v>
      </c>
      <c r="BY85" s="69">
        <v>2.78105388E-2</v>
      </c>
      <c r="BZ85" s="69">
        <v>2.7400161999999999E-2</v>
      </c>
      <c r="CA85" s="69">
        <v>2.6995685200000001E-2</v>
      </c>
      <c r="CB85" s="69">
        <v>2.6597031899999998E-2</v>
      </c>
      <c r="CC85" s="69">
        <v>2.6204125700000001E-2</v>
      </c>
      <c r="CD85" s="69">
        <v>2.58168909E-2</v>
      </c>
      <c r="CE85" s="69">
        <v>2.5435252299999999E-2</v>
      </c>
      <c r="CF85" s="69">
        <v>2.5059135400000002E-2</v>
      </c>
      <c r="CG85" s="69">
        <v>2.4688465999999999E-2</v>
      </c>
      <c r="CH85" s="69">
        <v>2.4323171000000001E-2</v>
      </c>
      <c r="CI85" s="69">
        <v>2.3963177400000001E-2</v>
      </c>
      <c r="CJ85" s="69">
        <v>2.3608413299999999E-2</v>
      </c>
      <c r="CK85" s="69">
        <v>2.32588073E-2</v>
      </c>
      <c r="CL85" s="69">
        <v>2.29142887E-2</v>
      </c>
      <c r="CM85" s="69">
        <v>2.25747876E-2</v>
      </c>
      <c r="CN85" s="69">
        <v>2.2240234800000001E-2</v>
      </c>
      <c r="CO85" s="69">
        <v>2.1910561700000001E-2</v>
      </c>
      <c r="CP85" s="69">
        <v>2.15857006E-2</v>
      </c>
      <c r="CQ85" s="69">
        <v>2.1265584600000002E-2</v>
      </c>
      <c r="CR85" s="69">
        <v>2.0950147400000001E-2</v>
      </c>
      <c r="CS85" s="69">
        <v>2.0639323399999999E-2</v>
      </c>
      <c r="CT85" s="69">
        <v>2.0333047999999999E-2</v>
      </c>
      <c r="CU85" s="69">
        <v>2.0031257300000001E-2</v>
      </c>
      <c r="CV85" s="69">
        <v>1.97338879E-2</v>
      </c>
      <c r="CW85" s="69">
        <v>1.9440877499999999E-2</v>
      </c>
      <c r="CX85" s="69">
        <v>1.9152164499999999E-2</v>
      </c>
      <c r="CY85" s="69">
        <v>1.8867687800000001E-2</v>
      </c>
      <c r="CZ85" s="69">
        <v>1.8587387300000001E-2</v>
      </c>
      <c r="DA85" s="69">
        <v>1.8311203799999998E-2</v>
      </c>
      <c r="DB85" s="69">
        <v>1.8039078399999998E-2</v>
      </c>
      <c r="DC85" s="69">
        <v>1.77709533E-2</v>
      </c>
      <c r="DD85" s="69">
        <v>1.7506771300000001E-2</v>
      </c>
      <c r="DE85" s="69">
        <v>1.7246476100000002E-2</v>
      </c>
      <c r="DF85" s="69">
        <v>1.6990011900000001E-2</v>
      </c>
      <c r="DG85" s="69">
        <v>1.6737323799999999E-2</v>
      </c>
      <c r="DH85" s="69">
        <v>1.6488357499999998E-2</v>
      </c>
      <c r="DI85" s="69">
        <v>1.62430597E-2</v>
      </c>
      <c r="DJ85" s="69">
        <v>1.6001377399999999E-2</v>
      </c>
      <c r="DK85" s="69">
        <v>1.5763258499999998E-2</v>
      </c>
      <c r="DL85" s="69">
        <v>1.5528651799999999E-2</v>
      </c>
      <c r="DM85" s="69">
        <v>1.5297506400000001E-2</v>
      </c>
      <c r="DN85" s="69">
        <v>1.5069772299999999E-2</v>
      </c>
      <c r="DO85" s="69">
        <v>1.48454003E-2</v>
      </c>
      <c r="DP85" s="69">
        <v>1.46243417E-2</v>
      </c>
      <c r="DQ85" s="69">
        <v>1.44065484E-2</v>
      </c>
      <c r="DR85" s="69">
        <v>1.41919731E-2</v>
      </c>
      <c r="DS85" s="69">
        <v>1.3980569199999999E-2</v>
      </c>
      <c r="DT85" s="69">
        <v>1.3772290499999999E-2</v>
      </c>
      <c r="DU85" s="69">
        <v>1.3567091700000001E-2</v>
      </c>
      <c r="DV85" s="69">
        <v>1.3364928E-2</v>
      </c>
      <c r="DW85" s="69">
        <v>1.31657553E-2</v>
      </c>
      <c r="DX85" s="69">
        <v>1.296953E-2</v>
      </c>
      <c r="DY85" s="69">
        <v>1.27762091E-2</v>
      </c>
      <c r="DZ85" s="69">
        <v>1.25857503E-2</v>
      </c>
      <c r="EA85" s="69">
        <v>1.23981119E-2</v>
      </c>
      <c r="EB85" s="69">
        <v>1.2213252799999999E-2</v>
      </c>
      <c r="EC85" s="69">
        <v>1.2031132199999999E-2</v>
      </c>
      <c r="ED85" s="69">
        <v>1.18517104E-2</v>
      </c>
      <c r="EE85" s="69">
        <v>1.16749477E-2</v>
      </c>
      <c r="EF85" s="69">
        <v>1.15008053E-2</v>
      </c>
      <c r="EG85" s="69">
        <v>1.1329245E-2</v>
      </c>
      <c r="EH85" s="69">
        <v>1.11602288E-2</v>
      </c>
      <c r="EI85" s="69">
        <v>1.09937195E-2</v>
      </c>
      <c r="EJ85" s="69">
        <v>1.08296804E-2</v>
      </c>
      <c r="EK85" s="69">
        <v>1.0668075399999999E-2</v>
      </c>
      <c r="EL85" s="69">
        <v>1.05088686E-2</v>
      </c>
      <c r="EM85" s="69">
        <v>1.0352025000000001E-2</v>
      </c>
      <c r="EN85" s="69">
        <v>1.0197509800000001E-2</v>
      </c>
      <c r="EO85" s="69">
        <v>1.0045288899999999E-2</v>
      </c>
      <c r="EP85" s="69">
        <v>9.8953285999999994E-3</v>
      </c>
      <c r="EQ85" s="69">
        <v>9.7475957000000002E-3</v>
      </c>
      <c r="ER85" s="69">
        <v>9.6020574000000008E-3</v>
      </c>
      <c r="ES85" s="69">
        <v>9.4586814000000002E-3</v>
      </c>
      <c r="ET85" s="69">
        <v>9.3174360999999997E-3</v>
      </c>
      <c r="EU85" s="69">
        <v>9.1782899000000008E-3</v>
      </c>
      <c r="EV85" s="69">
        <v>9.0412120999999995E-3</v>
      </c>
      <c r="EW85" s="69">
        <v>8.9061721999999996E-3</v>
      </c>
      <c r="EX85" s="69">
        <v>8.7731401999999997E-3</v>
      </c>
      <c r="EY85" s="69">
        <v>8.6420864000000003E-3</v>
      </c>
      <c r="EZ85" s="69">
        <v>8.5129817999999996E-3</v>
      </c>
      <c r="FA85" s="69">
        <v>8.3857975999999997E-3</v>
      </c>
      <c r="FB85" s="69">
        <v>8.2605054999999993E-3</v>
      </c>
      <c r="FC85" s="69">
        <v>8.1370776000000006E-3</v>
      </c>
      <c r="FD85" s="69">
        <v>8.0154865000000002E-3</v>
      </c>
      <c r="FE85" s="69">
        <v>7.8957048999999998E-3</v>
      </c>
      <c r="FF85" s="69">
        <v>7.7777061999999998E-3</v>
      </c>
      <c r="FG85" s="69">
        <v>7.6614639999999998E-3</v>
      </c>
      <c r="FH85" s="69">
        <v>7.5469524999999997E-3</v>
      </c>
      <c r="FI85" s="69">
        <v>7.4341460999999996E-3</v>
      </c>
      <c r="FJ85" s="69">
        <v>7.3230194999999998E-3</v>
      </c>
      <c r="FK85" s="69">
        <v>7.2135478999999997E-3</v>
      </c>
      <c r="FL85" s="69">
        <v>7.1057070000000002E-3</v>
      </c>
      <c r="FM85" s="69">
        <v>6.9994725000000002E-3</v>
      </c>
      <c r="FN85" s="69">
        <v>6.8948207000000001E-3</v>
      </c>
      <c r="FO85" s="69">
        <v>6.7917282000000004E-3</v>
      </c>
      <c r="FP85" s="69">
        <v>6.6901718999999998E-3</v>
      </c>
      <c r="FQ85" s="69">
        <v>6.5901290999999997E-3</v>
      </c>
    </row>
    <row r="86" spans="1:173" x14ac:dyDescent="0.25">
      <c r="A86" s="71">
        <v>84</v>
      </c>
      <c r="B86" s="69">
        <v>8.5992041599999999E-2</v>
      </c>
      <c r="C86" s="69">
        <v>8.5312538899999998E-2</v>
      </c>
      <c r="D86" s="69">
        <v>8.4606159599999994E-2</v>
      </c>
      <c r="E86" s="69">
        <v>8.3875699900000003E-2</v>
      </c>
      <c r="F86" s="69">
        <v>8.31237737E-2</v>
      </c>
      <c r="G86" s="69">
        <v>8.2352821600000001E-2</v>
      </c>
      <c r="H86" s="69">
        <v>8.1565118399999997E-2</v>
      </c>
      <c r="I86" s="69">
        <v>8.0762782300000002E-2</v>
      </c>
      <c r="J86" s="69">
        <v>7.9947782100000003E-2</v>
      </c>
      <c r="K86" s="69">
        <v>7.9121946400000004E-2</v>
      </c>
      <c r="L86" s="69">
        <v>7.8286970400000003E-2</v>
      </c>
      <c r="M86" s="69">
        <v>7.7444424600000006E-2</v>
      </c>
      <c r="N86" s="69">
        <v>7.6595761700000001E-2</v>
      </c>
      <c r="O86" s="69">
        <v>7.5742323599999994E-2</v>
      </c>
      <c r="P86" s="69">
        <v>7.4885348800000001E-2</v>
      </c>
      <c r="Q86" s="69">
        <v>7.4025978699999995E-2</v>
      </c>
      <c r="R86" s="69">
        <v>7.3165263699999997E-2</v>
      </c>
      <c r="S86" s="69">
        <v>7.2304169500000001E-2</v>
      </c>
      <c r="T86" s="69">
        <v>7.1443582399999997E-2</v>
      </c>
      <c r="U86" s="69">
        <v>7.0584315100000003E-2</v>
      </c>
      <c r="V86" s="69">
        <v>6.9727110999999994E-2</v>
      </c>
      <c r="W86" s="69">
        <v>6.8872649899999999E-2</v>
      </c>
      <c r="X86" s="69">
        <v>6.8021551599999994E-2</v>
      </c>
      <c r="Y86" s="69">
        <v>6.7174380899999997E-2</v>
      </c>
      <c r="Z86" s="69">
        <v>6.6331650800000003E-2</v>
      </c>
      <c r="AA86" s="69">
        <v>6.5493826699999994E-2</v>
      </c>
      <c r="AB86" s="69">
        <v>6.4661329899999995E-2</v>
      </c>
      <c r="AC86" s="69">
        <v>6.3834540400000001E-2</v>
      </c>
      <c r="AD86" s="69">
        <v>6.3013800300000006E-2</v>
      </c>
      <c r="AE86" s="69">
        <v>6.2199416600000001E-2</v>
      </c>
      <c r="AF86" s="69">
        <v>6.1391663800000003E-2</v>
      </c>
      <c r="AG86" s="69">
        <v>6.0590786100000002E-2</v>
      </c>
      <c r="AH86" s="69">
        <v>5.97970003E-2</v>
      </c>
      <c r="AI86" s="69">
        <v>5.9010497299999999E-2</v>
      </c>
      <c r="AJ86" s="69">
        <v>5.8231444299999997E-2</v>
      </c>
      <c r="AK86" s="69">
        <v>5.7459986900000003E-2</v>
      </c>
      <c r="AL86" s="69">
        <v>5.6696250500000003E-2</v>
      </c>
      <c r="AM86" s="69">
        <v>5.5940341900000003E-2</v>
      </c>
      <c r="AN86" s="69">
        <v>5.5192351000000001E-2</v>
      </c>
      <c r="AO86" s="69">
        <v>5.4452351900000001E-2</v>
      </c>
      <c r="AP86" s="69">
        <v>5.37204046E-2</v>
      </c>
      <c r="AQ86" s="69">
        <v>5.2996555399999999E-2</v>
      </c>
      <c r="AR86" s="69">
        <v>5.2280839000000003E-2</v>
      </c>
      <c r="AS86" s="69">
        <v>5.1573278700000003E-2</v>
      </c>
      <c r="AT86" s="69">
        <v>5.0873887499999999E-2</v>
      </c>
      <c r="AU86" s="69">
        <v>5.0182669399999998E-2</v>
      </c>
      <c r="AV86" s="69">
        <v>4.9499619799999998E-2</v>
      </c>
      <c r="AW86" s="69">
        <v>4.88247261E-2</v>
      </c>
      <c r="AX86" s="69">
        <v>4.8157968799999999E-2</v>
      </c>
      <c r="AY86" s="69">
        <v>4.7499322099999998E-2</v>
      </c>
      <c r="AZ86" s="69">
        <v>4.6848753899999998E-2</v>
      </c>
      <c r="BA86" s="69">
        <v>4.62062273E-2</v>
      </c>
      <c r="BB86" s="69">
        <v>4.5571700100000001E-2</v>
      </c>
      <c r="BC86" s="69">
        <v>4.4945126100000003E-2</v>
      </c>
      <c r="BD86" s="69">
        <v>4.4326454799999998E-2</v>
      </c>
      <c r="BE86" s="69">
        <v>4.3715632400000003E-2</v>
      </c>
      <c r="BF86" s="69">
        <v>4.3112601899999999E-2</v>
      </c>
      <c r="BG86" s="69">
        <v>4.2517303300000003E-2</v>
      </c>
      <c r="BH86" s="69">
        <v>4.1929674200000003E-2</v>
      </c>
      <c r="BI86" s="69">
        <v>4.1349649799999999E-2</v>
      </c>
      <c r="BJ86" s="69">
        <v>4.0777163300000002E-2</v>
      </c>
      <c r="BK86" s="69">
        <v>4.0212146400000003E-2</v>
      </c>
      <c r="BL86" s="69">
        <v>3.9654528799999998E-2</v>
      </c>
      <c r="BM86" s="69">
        <v>3.9104239200000002E-2</v>
      </c>
      <c r="BN86" s="69">
        <v>3.8561205000000001E-2</v>
      </c>
      <c r="BO86" s="69">
        <v>3.8025352700000001E-2</v>
      </c>
      <c r="BP86" s="69">
        <v>3.7496607899999999E-2</v>
      </c>
      <c r="BQ86" s="69">
        <v>3.6974895399999999E-2</v>
      </c>
      <c r="BR86" s="69">
        <v>3.6460139799999999E-2</v>
      </c>
      <c r="BS86" s="69">
        <v>3.5952264999999997E-2</v>
      </c>
      <c r="BT86" s="69">
        <v>3.5451194499999998E-2</v>
      </c>
      <c r="BU86" s="69">
        <v>3.4956851800000001E-2</v>
      </c>
      <c r="BV86" s="69">
        <v>3.4469160200000001E-2</v>
      </c>
      <c r="BW86" s="69">
        <v>3.3988043000000003E-2</v>
      </c>
      <c r="BX86" s="69">
        <v>3.35134235E-2</v>
      </c>
      <c r="BY86" s="69">
        <v>3.3045225099999999E-2</v>
      </c>
      <c r="BZ86" s="69">
        <v>3.2583371299999997E-2</v>
      </c>
      <c r="CA86" s="69">
        <v>3.2127785999999998E-2</v>
      </c>
      <c r="CB86" s="69">
        <v>3.1678393399999998E-2</v>
      </c>
      <c r="CC86" s="69">
        <v>3.1235117900000001E-2</v>
      </c>
      <c r="CD86" s="69">
        <v>3.07978842E-2</v>
      </c>
      <c r="CE86" s="69">
        <v>3.0366617799999999E-2</v>
      </c>
      <c r="CF86" s="69">
        <v>2.9941244299999999E-2</v>
      </c>
      <c r="CG86" s="69">
        <v>2.9521689899999998E-2</v>
      </c>
      <c r="CH86" s="69">
        <v>2.9107881400000001E-2</v>
      </c>
      <c r="CI86" s="69">
        <v>2.86997461E-2</v>
      </c>
      <c r="CJ86" s="69">
        <v>2.8297211900000001E-2</v>
      </c>
      <c r="CK86" s="69">
        <v>2.7900207100000001E-2</v>
      </c>
      <c r="CL86" s="69">
        <v>2.7508660899999999E-2</v>
      </c>
      <c r="CM86" s="69">
        <v>2.7122502900000001E-2</v>
      </c>
      <c r="CN86" s="69">
        <v>2.6741663499999999E-2</v>
      </c>
      <c r="CO86" s="69">
        <v>2.6366073800000001E-2</v>
      </c>
      <c r="CP86" s="69">
        <v>2.59956652E-2</v>
      </c>
      <c r="CQ86" s="69">
        <v>2.56303703E-2</v>
      </c>
      <c r="CR86" s="69">
        <v>2.5270121900000001E-2</v>
      </c>
      <c r="CS86" s="69">
        <v>2.4914853899999999E-2</v>
      </c>
      <c r="CT86" s="69">
        <v>2.4564500600000001E-2</v>
      </c>
      <c r="CU86" s="69">
        <v>2.42189971E-2</v>
      </c>
      <c r="CV86" s="69">
        <v>2.3878279200000001E-2</v>
      </c>
      <c r="CW86" s="69">
        <v>2.3542283399999999E-2</v>
      </c>
      <c r="CX86" s="69">
        <v>2.3210946999999999E-2</v>
      </c>
      <c r="CY86" s="69">
        <v>2.2884207899999998E-2</v>
      </c>
      <c r="CZ86" s="69">
        <v>2.2562004600000001E-2</v>
      </c>
      <c r="DA86" s="69">
        <v>2.2244276699999999E-2</v>
      </c>
      <c r="DB86" s="69">
        <v>2.1930964000000001E-2</v>
      </c>
      <c r="DC86" s="69">
        <v>2.1622007299999999E-2</v>
      </c>
      <c r="DD86" s="69">
        <v>2.1317348100000001E-2</v>
      </c>
      <c r="DE86" s="69">
        <v>2.10169285E-2</v>
      </c>
      <c r="DF86" s="69">
        <v>2.0720691499999999E-2</v>
      </c>
      <c r="DG86" s="69">
        <v>2.04285804E-2</v>
      </c>
      <c r="DH86" s="69">
        <v>2.0140539499999999E-2</v>
      </c>
      <c r="DI86" s="69">
        <v>1.98565138E-2</v>
      </c>
      <c r="DJ86" s="69">
        <v>1.9576448699999999E-2</v>
      </c>
      <c r="DK86" s="69">
        <v>1.9300290599999999E-2</v>
      </c>
      <c r="DL86" s="69">
        <v>1.90279865E-2</v>
      </c>
      <c r="DM86" s="69">
        <v>1.8759483699999999E-2</v>
      </c>
      <c r="DN86" s="69">
        <v>1.8494730800000001E-2</v>
      </c>
      <c r="DO86" s="69">
        <v>1.8233676399999999E-2</v>
      </c>
      <c r="DP86" s="69">
        <v>1.7976270200000002E-2</v>
      </c>
      <c r="DQ86" s="69">
        <v>1.77224624E-2</v>
      </c>
      <c r="DR86" s="69">
        <v>1.7472203799999999E-2</v>
      </c>
      <c r="DS86" s="69">
        <v>1.7225445799999999E-2</v>
      </c>
      <c r="DT86" s="69">
        <v>1.6982140499999999E-2</v>
      </c>
      <c r="DU86" s="69">
        <v>1.6742240700000001E-2</v>
      </c>
      <c r="DV86" s="69">
        <v>1.65056996E-2</v>
      </c>
      <c r="DW86" s="69">
        <v>1.6272471199999999E-2</v>
      </c>
      <c r="DX86" s="69">
        <v>1.6042509900000002E-2</v>
      </c>
      <c r="DY86" s="69">
        <v>1.5815770900000001E-2</v>
      </c>
      <c r="DZ86" s="69">
        <v>1.5592209900000001E-2</v>
      </c>
      <c r="EA86" s="69">
        <v>1.53717831E-2</v>
      </c>
      <c r="EB86" s="69">
        <v>1.51544473E-2</v>
      </c>
      <c r="EC86" s="69">
        <v>1.4940160100000001E-2</v>
      </c>
      <c r="ED86" s="69">
        <v>1.4728879300000001E-2</v>
      </c>
      <c r="EE86" s="69">
        <v>1.45205636E-2</v>
      </c>
      <c r="EF86" s="69">
        <v>1.43151719E-2</v>
      </c>
      <c r="EG86" s="69">
        <v>1.4112663900000001E-2</v>
      </c>
      <c r="EH86" s="69">
        <v>1.3912999699999999E-2</v>
      </c>
      <c r="EI86" s="69">
        <v>1.37161401E-2</v>
      </c>
      <c r="EJ86" s="69">
        <v>1.35220463E-2</v>
      </c>
      <c r="EK86" s="69">
        <v>1.33306799E-2</v>
      </c>
      <c r="EL86" s="69">
        <v>1.31420032E-2</v>
      </c>
      <c r="EM86" s="69">
        <v>1.2955978999999999E-2</v>
      </c>
      <c r="EN86" s="69">
        <v>1.27725705E-2</v>
      </c>
      <c r="EO86" s="69">
        <v>1.25917414E-2</v>
      </c>
      <c r="EP86" s="69">
        <v>1.2413456E-2</v>
      </c>
      <c r="EQ86" s="69">
        <v>1.22376789E-2</v>
      </c>
      <c r="ER86" s="69">
        <v>1.2064375299999999E-2</v>
      </c>
      <c r="ES86" s="69">
        <v>1.1893510899999999E-2</v>
      </c>
      <c r="ET86" s="69">
        <v>1.17250518E-2</v>
      </c>
      <c r="EU86" s="69">
        <v>1.1558964499999999E-2</v>
      </c>
      <c r="EV86" s="69">
        <v>1.1395216099999999E-2</v>
      </c>
      <c r="EW86" s="69">
        <v>1.1233774E-2</v>
      </c>
      <c r="EX86" s="69">
        <v>1.10746061E-2</v>
      </c>
      <c r="EY86" s="69">
        <v>1.0917680799999999E-2</v>
      </c>
      <c r="EZ86" s="69">
        <v>1.07629669E-2</v>
      </c>
      <c r="FA86" s="69">
        <v>1.0610433400000001E-2</v>
      </c>
      <c r="FB86" s="69">
        <v>1.04600501E-2</v>
      </c>
      <c r="FC86" s="69">
        <v>1.0311786999999999E-2</v>
      </c>
      <c r="FD86" s="69">
        <v>1.01656145E-2</v>
      </c>
      <c r="FE86" s="69">
        <v>1.0021503399999999E-2</v>
      </c>
      <c r="FF86" s="69">
        <v>9.8794248999999994E-3</v>
      </c>
      <c r="FG86" s="69">
        <v>9.7393507999999993E-3</v>
      </c>
      <c r="FH86" s="69">
        <v>9.6012530000000006E-3</v>
      </c>
      <c r="FI86" s="69">
        <v>9.4651037999999993E-3</v>
      </c>
      <c r="FJ86" s="69">
        <v>9.3308760999999997E-3</v>
      </c>
      <c r="FK86" s="69">
        <v>9.1985430999999996E-3</v>
      </c>
      <c r="FL86" s="69">
        <v>9.0680780999999998E-3</v>
      </c>
      <c r="FM86" s="69">
        <v>8.9394551999999999E-3</v>
      </c>
      <c r="FN86" s="69">
        <v>8.8126485000000008E-3</v>
      </c>
      <c r="FO86" s="69">
        <v>8.6876326E-3</v>
      </c>
      <c r="FP86" s="69">
        <v>8.5643825000000003E-3</v>
      </c>
      <c r="FQ86" s="69">
        <v>8.4428734999999998E-3</v>
      </c>
    </row>
    <row r="87" spans="1:173" x14ac:dyDescent="0.25">
      <c r="A87" s="71">
        <v>85</v>
      </c>
      <c r="B87" s="69">
        <v>9.7780558700000006E-2</v>
      </c>
      <c r="C87" s="69">
        <v>9.6967818100000006E-2</v>
      </c>
      <c r="D87" s="69">
        <v>9.6134124200000004E-2</v>
      </c>
      <c r="E87" s="69">
        <v>9.5281871899999995E-2</v>
      </c>
      <c r="F87" s="69">
        <v>9.4413292100000004E-2</v>
      </c>
      <c r="G87" s="69">
        <v>9.3530460999999995E-2</v>
      </c>
      <c r="H87" s="69">
        <v>9.2635308499999999E-2</v>
      </c>
      <c r="I87" s="69">
        <v>9.1729626199999997E-2</v>
      </c>
      <c r="J87" s="69">
        <v>9.0815075800000006E-2</v>
      </c>
      <c r="K87" s="69">
        <v>8.9893196600000003E-2</v>
      </c>
      <c r="L87" s="69">
        <v>8.8965413199999996E-2</v>
      </c>
      <c r="M87" s="69">
        <v>8.80330421E-2</v>
      </c>
      <c r="N87" s="69">
        <v>8.7097299399999994E-2</v>
      </c>
      <c r="O87" s="69">
        <v>8.6159306399999996E-2</v>
      </c>
      <c r="P87" s="69">
        <v>8.5220096100000003E-2</v>
      </c>
      <c r="Q87" s="69">
        <v>8.4280619299999998E-2</v>
      </c>
      <c r="R87" s="69">
        <v>8.3341749500000006E-2</v>
      </c>
      <c r="S87" s="69">
        <v>8.2404288699999995E-2</v>
      </c>
      <c r="T87" s="69">
        <v>8.1468972000000001E-2</v>
      </c>
      <c r="U87" s="69">
        <v>8.0536472200000001E-2</v>
      </c>
      <c r="V87" s="69">
        <v>7.9607404300000004E-2</v>
      </c>
      <c r="W87" s="69">
        <v>7.8682329499999995E-2</v>
      </c>
      <c r="X87" s="69">
        <v>7.7761758900000005E-2</v>
      </c>
      <c r="Y87" s="69">
        <v>7.6846157200000001E-2</v>
      </c>
      <c r="Z87" s="69">
        <v>7.5935946099999999E-2</v>
      </c>
      <c r="AA87" s="69">
        <v>7.5031507400000003E-2</v>
      </c>
      <c r="AB87" s="69">
        <v>7.4133185599999998E-2</v>
      </c>
      <c r="AC87" s="69">
        <v>7.3241291299999997E-2</v>
      </c>
      <c r="AD87" s="69">
        <v>7.2356102899999997E-2</v>
      </c>
      <c r="AE87" s="69">
        <v>7.1477869799999996E-2</v>
      </c>
      <c r="AF87" s="69">
        <v>7.0606814000000004E-2</v>
      </c>
      <c r="AG87" s="69">
        <v>6.9743132499999999E-2</v>
      </c>
      <c r="AH87" s="69">
        <v>6.8886999099999999E-2</v>
      </c>
      <c r="AI87" s="69">
        <v>6.80385659E-2</v>
      </c>
      <c r="AJ87" s="69">
        <v>6.7197965499999998E-2</v>
      </c>
      <c r="AK87" s="69">
        <v>6.6365312300000007E-2</v>
      </c>
      <c r="AL87" s="69">
        <v>6.55407036E-2</v>
      </c>
      <c r="AM87" s="69">
        <v>6.4724221400000004E-2</v>
      </c>
      <c r="AN87" s="69">
        <v>6.3915933499999994E-2</v>
      </c>
      <c r="AO87" s="69">
        <v>6.3115894300000003E-2</v>
      </c>
      <c r="AP87" s="69">
        <v>6.2324146499999997E-2</v>
      </c>
      <c r="AQ87" s="69">
        <v>6.1540721299999997E-2</v>
      </c>
      <c r="AR87" s="69">
        <v>6.0765640000000003E-2</v>
      </c>
      <c r="AS87" s="69">
        <v>5.99989145E-2</v>
      </c>
      <c r="AT87" s="69">
        <v>5.9240548099999998E-2</v>
      </c>
      <c r="AU87" s="69">
        <v>5.84905363E-2</v>
      </c>
      <c r="AV87" s="69">
        <v>5.7748867299999999E-2</v>
      </c>
      <c r="AW87" s="69">
        <v>5.7015522899999997E-2</v>
      </c>
      <c r="AX87" s="69">
        <v>5.6290478800000002E-2</v>
      </c>
      <c r="AY87" s="69">
        <v>5.5573705299999998E-2</v>
      </c>
      <c r="AZ87" s="69">
        <v>5.4865167700000002E-2</v>
      </c>
      <c r="BA87" s="69">
        <v>5.4164826800000003E-2</v>
      </c>
      <c r="BB87" s="69">
        <v>5.3472639299999999E-2</v>
      </c>
      <c r="BC87" s="69">
        <v>5.2788558100000001E-2</v>
      </c>
      <c r="BD87" s="69">
        <v>5.2112532900000001E-2</v>
      </c>
      <c r="BE87" s="69">
        <v>5.1444510200000002E-2</v>
      </c>
      <c r="BF87" s="69">
        <v>5.0784434000000003E-2</v>
      </c>
      <c r="BG87" s="69">
        <v>5.0132245499999999E-2</v>
      </c>
      <c r="BH87" s="69">
        <v>4.9487884000000003E-2</v>
      </c>
      <c r="BI87" s="69">
        <v>4.8851286799999998E-2</v>
      </c>
      <c r="BJ87" s="69">
        <v>4.8222389400000003E-2</v>
      </c>
      <c r="BK87" s="69">
        <v>4.7601125899999999E-2</v>
      </c>
      <c r="BL87" s="69">
        <v>4.6987428800000001E-2</v>
      </c>
      <c r="BM87" s="69">
        <v>4.6381229699999998E-2</v>
      </c>
      <c r="BN87" s="69">
        <v>4.5782459099999999E-2</v>
      </c>
      <c r="BO87" s="69">
        <v>4.51910466E-2</v>
      </c>
      <c r="BP87" s="69">
        <v>4.4606921100000002E-2</v>
      </c>
      <c r="BQ87" s="69">
        <v>4.40300109E-2</v>
      </c>
      <c r="BR87" s="69">
        <v>4.3460243799999999E-2</v>
      </c>
      <c r="BS87" s="69">
        <v>4.2897547199999997E-2</v>
      </c>
      <c r="BT87" s="69">
        <v>4.23418484E-2</v>
      </c>
      <c r="BU87" s="69">
        <v>4.1793074100000001E-2</v>
      </c>
      <c r="BV87" s="69">
        <v>4.1251151200000002E-2</v>
      </c>
      <c r="BW87" s="69">
        <v>4.0716006499999999E-2</v>
      </c>
      <c r="BX87" s="69">
        <v>4.0187566700000003E-2</v>
      </c>
      <c r="BY87" s="69">
        <v>3.9665758699999998E-2</v>
      </c>
      <c r="BZ87" s="69">
        <v>3.91505095E-2</v>
      </c>
      <c r="CA87" s="69">
        <v>3.8641746300000002E-2</v>
      </c>
      <c r="CB87" s="69">
        <v>3.8139396499999999E-2</v>
      </c>
      <c r="CC87" s="69">
        <v>3.7643387899999999E-2</v>
      </c>
      <c r="CD87" s="69">
        <v>3.7153648400000003E-2</v>
      </c>
      <c r="CE87" s="69">
        <v>3.6670106500000001E-2</v>
      </c>
      <c r="CF87" s="69">
        <v>3.6192690899999998E-2</v>
      </c>
      <c r="CG87" s="69">
        <v>3.5721330900000001E-2</v>
      </c>
      <c r="CH87" s="69">
        <v>3.5255956099999999E-2</v>
      </c>
      <c r="CI87" s="69">
        <v>3.4796496500000003E-2</v>
      </c>
      <c r="CJ87" s="69">
        <v>3.4342882800000002E-2</v>
      </c>
      <c r="CK87" s="69">
        <v>3.3895046200000001E-2</v>
      </c>
      <c r="CL87" s="69">
        <v>3.3452918200000001E-2</v>
      </c>
      <c r="CM87" s="69">
        <v>3.3016430999999999E-2</v>
      </c>
      <c r="CN87" s="69">
        <v>3.2585517299999998E-2</v>
      </c>
      <c r="CO87" s="69">
        <v>3.21601106E-2</v>
      </c>
      <c r="CP87" s="69">
        <v>3.1740144599999999E-2</v>
      </c>
      <c r="CQ87" s="69">
        <v>3.1325553800000003E-2</v>
      </c>
      <c r="CR87" s="69">
        <v>3.0916273300000002E-2</v>
      </c>
      <c r="CS87" s="69">
        <v>3.0512238800000001E-2</v>
      </c>
      <c r="CT87" s="69">
        <v>3.01133866E-2</v>
      </c>
      <c r="CU87" s="69">
        <v>2.9719653499999998E-2</v>
      </c>
      <c r="CV87" s="69">
        <v>2.9330977000000001E-2</v>
      </c>
      <c r="CW87" s="69">
        <v>2.8947295299999998E-2</v>
      </c>
      <c r="CX87" s="69">
        <v>2.8568547199999999E-2</v>
      </c>
      <c r="CY87" s="69">
        <v>2.8194672E-2</v>
      </c>
      <c r="CZ87" s="69">
        <v>2.7825609800000001E-2</v>
      </c>
      <c r="DA87" s="69">
        <v>2.7461301099999998E-2</v>
      </c>
      <c r="DB87" s="69">
        <v>2.7101687199999999E-2</v>
      </c>
      <c r="DC87" s="69">
        <v>2.674671E-2</v>
      </c>
      <c r="DD87" s="69">
        <v>2.6396312000000002E-2</v>
      </c>
      <c r="DE87" s="69">
        <v>2.6050436400000002E-2</v>
      </c>
      <c r="DF87" s="69">
        <v>2.57090268E-2</v>
      </c>
      <c r="DG87" s="69">
        <v>2.5372027700000001E-2</v>
      </c>
      <c r="DH87" s="69">
        <v>2.5039384099999999E-2</v>
      </c>
      <c r="DI87" s="69">
        <v>2.4711041400000001E-2</v>
      </c>
      <c r="DJ87" s="69">
        <v>2.4386946100000001E-2</v>
      </c>
      <c r="DK87" s="69">
        <v>2.4067044700000002E-2</v>
      </c>
      <c r="DL87" s="69">
        <v>2.3751284800000001E-2</v>
      </c>
      <c r="DM87" s="69">
        <v>2.3439614399999999E-2</v>
      </c>
      <c r="DN87" s="69">
        <v>2.31319821E-2</v>
      </c>
      <c r="DO87" s="69">
        <v>2.2828337099999998E-2</v>
      </c>
      <c r="DP87" s="69">
        <v>2.2528629200000001E-2</v>
      </c>
      <c r="DQ87" s="69">
        <v>2.2232808600000001E-2</v>
      </c>
      <c r="DR87" s="69">
        <v>2.19408265E-2</v>
      </c>
      <c r="DS87" s="69">
        <v>2.1652634300000001E-2</v>
      </c>
      <c r="DT87" s="69">
        <v>2.13681841E-2</v>
      </c>
      <c r="DU87" s="69">
        <v>2.1087428500000002E-2</v>
      </c>
      <c r="DV87" s="69">
        <v>2.08103208E-2</v>
      </c>
      <c r="DW87" s="69">
        <v>2.0536814699999999E-2</v>
      </c>
      <c r="DX87" s="69">
        <v>2.0266864499999999E-2</v>
      </c>
      <c r="DY87" s="69">
        <v>2.0000425200000001E-2</v>
      </c>
      <c r="DZ87" s="69">
        <v>1.9737451999999999E-2</v>
      </c>
      <c r="EA87" s="69">
        <v>1.9477900900000001E-2</v>
      </c>
      <c r="EB87" s="69">
        <v>1.9221728399999999E-2</v>
      </c>
      <c r="EC87" s="69">
        <v>1.8968891500000001E-2</v>
      </c>
      <c r="ED87" s="69">
        <v>1.8719347599999998E-2</v>
      </c>
      <c r="EE87" s="69">
        <v>1.8473054799999999E-2</v>
      </c>
      <c r="EF87" s="69">
        <v>1.8229971500000001E-2</v>
      </c>
      <c r="EG87" s="69">
        <v>1.7990056899999999E-2</v>
      </c>
      <c r="EH87" s="69">
        <v>1.7753270500000001E-2</v>
      </c>
      <c r="EI87" s="69">
        <v>1.7519572099999998E-2</v>
      </c>
      <c r="EJ87" s="69">
        <v>1.7288922500000001E-2</v>
      </c>
      <c r="EK87" s="69">
        <v>1.7061282399999999E-2</v>
      </c>
      <c r="EL87" s="69">
        <v>1.68366135E-2</v>
      </c>
      <c r="EM87" s="69">
        <v>1.6614877600000001E-2</v>
      </c>
      <c r="EN87" s="69">
        <v>1.6396037200000001E-2</v>
      </c>
      <c r="EO87" s="69">
        <v>1.6180054999999999E-2</v>
      </c>
      <c r="EP87" s="69">
        <v>1.5966894499999999E-2</v>
      </c>
      <c r="EQ87" s="69">
        <v>1.5756519300000001E-2</v>
      </c>
      <c r="ER87" s="69">
        <v>1.55488938E-2</v>
      </c>
      <c r="ES87" s="69">
        <v>1.5343982500000001E-2</v>
      </c>
      <c r="ET87" s="69">
        <v>1.51417506E-2</v>
      </c>
      <c r="EU87" s="69">
        <v>1.49421637E-2</v>
      </c>
      <c r="EV87" s="69">
        <v>1.47451875E-2</v>
      </c>
      <c r="EW87" s="69">
        <v>1.4550788699999999E-2</v>
      </c>
      <c r="EX87" s="69">
        <v>1.4358933799999999E-2</v>
      </c>
      <c r="EY87" s="69">
        <v>1.41695903E-2</v>
      </c>
      <c r="EZ87" s="69">
        <v>1.3982725600000001E-2</v>
      </c>
      <c r="FA87" s="69">
        <v>1.37983078E-2</v>
      </c>
      <c r="FB87" s="69">
        <v>1.3616305299999999E-2</v>
      </c>
      <c r="FC87" s="69">
        <v>1.3436686999999999E-2</v>
      </c>
      <c r="FD87" s="69">
        <v>1.3259422E-2</v>
      </c>
      <c r="FE87" s="69">
        <v>1.3084480000000001E-2</v>
      </c>
      <c r="FF87" s="69">
        <v>1.2911830900000001E-2</v>
      </c>
      <c r="FG87" s="69">
        <v>1.27414451E-2</v>
      </c>
      <c r="FH87" s="69">
        <v>1.25732933E-2</v>
      </c>
      <c r="FI87" s="69">
        <v>1.2407346499999999E-2</v>
      </c>
      <c r="FJ87" s="69">
        <v>1.2243576399999999E-2</v>
      </c>
      <c r="FK87" s="69">
        <v>1.20819546E-2</v>
      </c>
      <c r="FL87" s="69">
        <v>1.19224533E-2</v>
      </c>
      <c r="FM87" s="69">
        <v>1.17650451E-2</v>
      </c>
      <c r="FN87" s="69">
        <v>1.1609702899999999E-2</v>
      </c>
      <c r="FO87" s="69">
        <v>1.1456399799999999E-2</v>
      </c>
      <c r="FP87" s="69">
        <v>1.1305109299999999E-2</v>
      </c>
      <c r="FQ87" s="69">
        <v>1.1155805499999999E-2</v>
      </c>
    </row>
    <row r="88" spans="1:173" x14ac:dyDescent="0.25">
      <c r="A88" s="71">
        <v>86</v>
      </c>
      <c r="B88" s="69">
        <v>0.10859254660000001</v>
      </c>
      <c r="C88" s="69">
        <v>0.1078894502</v>
      </c>
      <c r="D88" s="69">
        <v>0.1071536116</v>
      </c>
      <c r="E88" s="69">
        <v>0.1063881215</v>
      </c>
      <c r="F88" s="69">
        <v>0.10559587550000001</v>
      </c>
      <c r="G88" s="69">
        <v>0.1047795822</v>
      </c>
      <c r="H88" s="69">
        <v>0.1039417727</v>
      </c>
      <c r="I88" s="69">
        <v>0.1030848093</v>
      </c>
      <c r="J88" s="69">
        <v>0.1022108941</v>
      </c>
      <c r="K88" s="69">
        <v>0.101322078</v>
      </c>
      <c r="L88" s="69">
        <v>0.1004202688</v>
      </c>
      <c r="M88" s="69">
        <v>9.95072392E-2</v>
      </c>
      <c r="N88" s="69">
        <v>9.8584635300000001E-2</v>
      </c>
      <c r="O88" s="69">
        <v>9.7653983599999994E-2</v>
      </c>
      <c r="P88" s="69">
        <v>9.6716698399999995E-2</v>
      </c>
      <c r="Q88" s="69">
        <v>9.5774089100000001E-2</v>
      </c>
      <c r="R88" s="69">
        <v>9.4827366400000002E-2</v>
      </c>
      <c r="S88" s="69">
        <v>9.3877648600000002E-2</v>
      </c>
      <c r="T88" s="69">
        <v>9.2925968100000006E-2</v>
      </c>
      <c r="U88" s="69">
        <v>9.1973276500000006E-2</v>
      </c>
      <c r="V88" s="69">
        <v>9.1020450099999997E-2</v>
      </c>
      <c r="W88" s="69">
        <v>9.0068295199999995E-2</v>
      </c>
      <c r="X88" s="69">
        <v>8.9117552500000002E-2</v>
      </c>
      <c r="Y88" s="69">
        <v>8.8168901999999993E-2</v>
      </c>
      <c r="Z88" s="69">
        <v>8.7222966700000001E-2</v>
      </c>
      <c r="AA88" s="69">
        <v>8.6280316900000001E-2</v>
      </c>
      <c r="AB88" s="69">
        <v>8.5341473900000006E-2</v>
      </c>
      <c r="AC88" s="69">
        <v>8.4406913299999997E-2</v>
      </c>
      <c r="AD88" s="69">
        <v>8.3477068500000001E-2</v>
      </c>
      <c r="AE88" s="69">
        <v>8.2552333199999994E-2</v>
      </c>
      <c r="AF88" s="69">
        <v>8.1633065099999999E-2</v>
      </c>
      <c r="AG88" s="69">
        <v>8.0719587699999998E-2</v>
      </c>
      <c r="AH88" s="69">
        <v>7.9812193300000001E-2</v>
      </c>
      <c r="AI88" s="69">
        <v>7.8911145099999996E-2</v>
      </c>
      <c r="AJ88" s="69">
        <v>7.8016679300000003E-2</v>
      </c>
      <c r="AK88" s="69">
        <v>7.7129007299999996E-2</v>
      </c>
      <c r="AL88" s="69">
        <v>7.6248317400000001E-2</v>
      </c>
      <c r="AM88" s="69">
        <v>7.5374776599999999E-2</v>
      </c>
      <c r="AN88" s="69">
        <v>7.4508532200000005E-2</v>
      </c>
      <c r="AO88" s="69">
        <v>7.3649713199999994E-2</v>
      </c>
      <c r="AP88" s="69">
        <v>7.2798431900000002E-2</v>
      </c>
      <c r="AQ88" s="69">
        <v>7.1954784999999993E-2</v>
      </c>
      <c r="AR88" s="69">
        <v>7.1118854999999995E-2</v>
      </c>
      <c r="AS88" s="69">
        <v>7.0290710899999997E-2</v>
      </c>
      <c r="AT88" s="69">
        <v>6.9470409999999996E-2</v>
      </c>
      <c r="AU88" s="69">
        <v>6.8657997900000003E-2</v>
      </c>
      <c r="AV88" s="69">
        <v>6.7853510199999995E-2</v>
      </c>
      <c r="AW88" s="69">
        <v>6.7056972899999998E-2</v>
      </c>
      <c r="AX88" s="69">
        <v>6.6268403200000006E-2</v>
      </c>
      <c r="AY88" s="69">
        <v>6.5487810499999993E-2</v>
      </c>
      <c r="AZ88" s="69">
        <v>6.4715196599999997E-2</v>
      </c>
      <c r="BA88" s="69">
        <v>6.3950556699999994E-2</v>
      </c>
      <c r="BB88" s="69">
        <v>6.3193879800000005E-2</v>
      </c>
      <c r="BC88" s="69">
        <v>6.2445148999999998E-2</v>
      </c>
      <c r="BD88" s="69">
        <v>6.1704342699999998E-2</v>
      </c>
      <c r="BE88" s="69">
        <v>6.0971434099999999E-2</v>
      </c>
      <c r="BF88" s="69">
        <v>6.0246392400000001E-2</v>
      </c>
      <c r="BG88" s="69">
        <v>5.9529182600000001E-2</v>
      </c>
      <c r="BH88" s="69">
        <v>5.8819766400000001E-2</v>
      </c>
      <c r="BI88" s="69">
        <v>5.8118101999999998E-2</v>
      </c>
      <c r="BJ88" s="69">
        <v>5.74241448E-2</v>
      </c>
      <c r="BK88" s="69">
        <v>5.6737847500000001E-2</v>
      </c>
      <c r="BL88" s="69">
        <v>5.6059160300000001E-2</v>
      </c>
      <c r="BM88" s="69">
        <v>5.5388031400000003E-2</v>
      </c>
      <c r="BN88" s="69">
        <v>5.4724407000000003E-2</v>
      </c>
      <c r="BO88" s="69">
        <v>5.40682314E-2</v>
      </c>
      <c r="BP88" s="69">
        <v>5.3419447600000003E-2</v>
      </c>
      <c r="BQ88" s="69">
        <v>5.2777997E-2</v>
      </c>
      <c r="BR88" s="69">
        <v>5.2143819899999999E-2</v>
      </c>
      <c r="BS88" s="69">
        <v>5.15168555E-2</v>
      </c>
      <c r="BT88" s="69">
        <v>5.0897042099999998E-2</v>
      </c>
      <c r="BU88" s="69">
        <v>5.0284317000000002E-2</v>
      </c>
      <c r="BV88" s="69">
        <v>4.9678617199999997E-2</v>
      </c>
      <c r="BW88" s="69">
        <v>4.9079878600000001E-2</v>
      </c>
      <c r="BX88" s="69">
        <v>4.84880372E-2</v>
      </c>
      <c r="BY88" s="69">
        <v>4.7903028E-2</v>
      </c>
      <c r="BZ88" s="69">
        <v>4.7324786200000003E-2</v>
      </c>
      <c r="CA88" s="69">
        <v>4.6753246499999998E-2</v>
      </c>
      <c r="CB88" s="69">
        <v>4.6188343399999998E-2</v>
      </c>
      <c r="CC88" s="69">
        <v>4.5630011499999998E-2</v>
      </c>
      <c r="CD88" s="69">
        <v>4.5078185200000002E-2</v>
      </c>
      <c r="CE88" s="69">
        <v>4.4532798999999998E-2</v>
      </c>
      <c r="CF88" s="69">
        <v>4.3993787399999998E-2</v>
      </c>
      <c r="CG88" s="69">
        <v>4.3461085099999998E-2</v>
      </c>
      <c r="CH88" s="69">
        <v>4.29346268E-2</v>
      </c>
      <c r="CI88" s="69">
        <v>4.2414347599999999E-2</v>
      </c>
      <c r="CJ88" s="69">
        <v>4.1900182600000002E-2</v>
      </c>
      <c r="CK88" s="69">
        <v>4.1392067400000003E-2</v>
      </c>
      <c r="CL88" s="69">
        <v>4.0889937699999997E-2</v>
      </c>
      <c r="CM88" s="69">
        <v>4.0393729699999999E-2</v>
      </c>
      <c r="CN88" s="69">
        <v>3.9903379699999998E-2</v>
      </c>
      <c r="CO88" s="69">
        <v>3.9418824499999998E-2</v>
      </c>
      <c r="CP88" s="69">
        <v>3.89400014E-2</v>
      </c>
      <c r="CQ88" s="69">
        <v>3.8466847800000002E-2</v>
      </c>
      <c r="CR88" s="69">
        <v>3.7999301899999997E-2</v>
      </c>
      <c r="CS88" s="69">
        <v>3.75373019E-2</v>
      </c>
      <c r="CT88" s="69">
        <v>3.7080786900000003E-2</v>
      </c>
      <c r="CU88" s="69">
        <v>3.6629696099999998E-2</v>
      </c>
      <c r="CV88" s="69">
        <v>3.6183969199999999E-2</v>
      </c>
      <c r="CW88" s="69">
        <v>3.5743546700000003E-2</v>
      </c>
      <c r="CX88" s="69">
        <v>3.5308369300000003E-2</v>
      </c>
      <c r="CY88" s="69">
        <v>3.4878378100000003E-2</v>
      </c>
      <c r="CZ88" s="69">
        <v>3.4453514999999997E-2</v>
      </c>
      <c r="DA88" s="69">
        <v>3.4033722099999997E-2</v>
      </c>
      <c r="DB88" s="69">
        <v>3.3618942399999997E-2</v>
      </c>
      <c r="DC88" s="69">
        <v>3.3209118900000001E-2</v>
      </c>
      <c r="DD88" s="69">
        <v>3.2804195600000002E-2</v>
      </c>
      <c r="DE88" s="69">
        <v>3.2404116699999999E-2</v>
      </c>
      <c r="DF88" s="69">
        <v>3.2008826999999997E-2</v>
      </c>
      <c r="DG88" s="69">
        <v>3.1618271900000001E-2</v>
      </c>
      <c r="DH88" s="69">
        <v>3.1232397299999999E-2</v>
      </c>
      <c r="DI88" s="69">
        <v>3.0851149500000001E-2</v>
      </c>
      <c r="DJ88" s="69">
        <v>3.0474475500000001E-2</v>
      </c>
      <c r="DK88" s="69">
        <v>3.0102322599999998E-2</v>
      </c>
      <c r="DL88" s="69">
        <v>2.9734638899999999E-2</v>
      </c>
      <c r="DM88" s="69">
        <v>2.93713728E-2</v>
      </c>
      <c r="DN88" s="69">
        <v>2.9012473300000001E-2</v>
      </c>
      <c r="DO88" s="69">
        <v>2.86578899E-2</v>
      </c>
      <c r="DP88" s="69">
        <v>2.8307572600000001E-2</v>
      </c>
      <c r="DQ88" s="69">
        <v>2.7961472000000001E-2</v>
      </c>
      <c r="DR88" s="69">
        <v>2.7619539200000001E-2</v>
      </c>
      <c r="DS88" s="69">
        <v>2.7281725600000001E-2</v>
      </c>
      <c r="DT88" s="69">
        <v>2.6947983299999999E-2</v>
      </c>
      <c r="DU88" s="69">
        <v>2.6618264999999999E-2</v>
      </c>
      <c r="DV88" s="69">
        <v>2.6292523700000001E-2</v>
      </c>
      <c r="DW88" s="69">
        <v>2.5970712900000002E-2</v>
      </c>
      <c r="DX88" s="69">
        <v>2.5652786699999999E-2</v>
      </c>
      <c r="DY88" s="69">
        <v>2.5338699700000002E-2</v>
      </c>
      <c r="DZ88" s="69">
        <v>2.5028406900000001E-2</v>
      </c>
      <c r="EA88" s="69">
        <v>2.47218638E-2</v>
      </c>
      <c r="EB88" s="69">
        <v>2.4419026399999998E-2</v>
      </c>
      <c r="EC88" s="69">
        <v>2.4119851300000002E-2</v>
      </c>
      <c r="ED88" s="69">
        <v>2.3824295299999999E-2</v>
      </c>
      <c r="EE88" s="69">
        <v>2.3532315799999998E-2</v>
      </c>
      <c r="EF88" s="69">
        <v>2.3243870900000001E-2</v>
      </c>
      <c r="EG88" s="69">
        <v>2.2958918799999999E-2</v>
      </c>
      <c r="EH88" s="69">
        <v>2.2677418299999998E-2</v>
      </c>
      <c r="EI88" s="69">
        <v>2.2399328699999999E-2</v>
      </c>
      <c r="EJ88" s="69">
        <v>2.2124609699999999E-2</v>
      </c>
      <c r="EK88" s="69">
        <v>2.1853221499999999E-2</v>
      </c>
      <c r="EL88" s="69">
        <v>2.1585124599999998E-2</v>
      </c>
      <c r="EM88" s="69">
        <v>2.13202802E-2</v>
      </c>
      <c r="EN88" s="69">
        <v>2.1058649700000001E-2</v>
      </c>
      <c r="EO88" s="69">
        <v>2.0800195E-2</v>
      </c>
      <c r="EP88" s="69">
        <v>2.0544878400000001E-2</v>
      </c>
      <c r="EQ88" s="69">
        <v>2.0292662699999998E-2</v>
      </c>
      <c r="ER88" s="69">
        <v>2.0043511E-2</v>
      </c>
      <c r="ES88" s="69">
        <v>1.9797387E-2</v>
      </c>
      <c r="ET88" s="69">
        <v>1.9554254699999999E-2</v>
      </c>
      <c r="EU88" s="69">
        <v>1.93140784E-2</v>
      </c>
      <c r="EV88" s="69">
        <v>1.9076823E-2</v>
      </c>
      <c r="EW88" s="69">
        <v>1.8842453700000001E-2</v>
      </c>
      <c r="EX88" s="69">
        <v>1.8610936099999999E-2</v>
      </c>
      <c r="EY88" s="69">
        <v>1.8382236199999999E-2</v>
      </c>
      <c r="EZ88" s="69">
        <v>1.8156320300000001E-2</v>
      </c>
      <c r="FA88" s="69">
        <v>1.79331553E-2</v>
      </c>
      <c r="FB88" s="69">
        <v>1.7712708300000001E-2</v>
      </c>
      <c r="FC88" s="69">
        <v>1.74949467E-2</v>
      </c>
      <c r="FD88" s="69">
        <v>1.72798386E-2</v>
      </c>
      <c r="FE88" s="69">
        <v>1.7067352099999999E-2</v>
      </c>
      <c r="FF88" s="69">
        <v>1.6857455899999998E-2</v>
      </c>
      <c r="FG88" s="69">
        <v>1.6650119000000001E-2</v>
      </c>
      <c r="FH88" s="69">
        <v>1.64453107E-2</v>
      </c>
      <c r="FI88" s="69">
        <v>1.6243000699999999E-2</v>
      </c>
      <c r="FJ88" s="69">
        <v>1.6043159099999999E-2</v>
      </c>
      <c r="FK88" s="69">
        <v>1.5845756200000002E-2</v>
      </c>
      <c r="FL88" s="69">
        <v>1.56507629E-2</v>
      </c>
      <c r="FM88" s="69">
        <v>1.545815E-2</v>
      </c>
      <c r="FN88" s="69">
        <v>1.5267889200000001E-2</v>
      </c>
      <c r="FO88" s="69">
        <v>1.5079952000000001E-2</v>
      </c>
      <c r="FP88" s="69">
        <v>1.48943107E-2</v>
      </c>
      <c r="FQ88" s="69">
        <v>1.47109374E-2</v>
      </c>
    </row>
    <row r="89" spans="1:173" x14ac:dyDescent="0.25">
      <c r="A89" s="71">
        <v>87</v>
      </c>
      <c r="B89" s="69">
        <v>0.1219722478</v>
      </c>
      <c r="C89" s="69">
        <v>0.1212379398</v>
      </c>
      <c r="D89" s="69">
        <v>0.12046990339999999</v>
      </c>
      <c r="E89" s="69">
        <v>0.1196712451</v>
      </c>
      <c r="F89" s="69">
        <v>0.11884487470000001</v>
      </c>
      <c r="G89" s="69">
        <v>0.11799351499999999</v>
      </c>
      <c r="H89" s="69">
        <v>0.1171197105</v>
      </c>
      <c r="I89" s="69">
        <v>0.11622583710000001</v>
      </c>
      <c r="J89" s="69">
        <v>0.1153141104</v>
      </c>
      <c r="K89" s="69">
        <v>0.1143865952</v>
      </c>
      <c r="L89" s="69">
        <v>0.1134452136</v>
      </c>
      <c r="M89" s="69">
        <v>0.1124917532</v>
      </c>
      <c r="N89" s="69">
        <v>0.1115278752</v>
      </c>
      <c r="O89" s="69">
        <v>0.11055512200000001</v>
      </c>
      <c r="P89" s="69">
        <v>0.10957492420000001</v>
      </c>
      <c r="Q89" s="69">
        <v>0.1085886081</v>
      </c>
      <c r="R89" s="69">
        <v>0.1075974015</v>
      </c>
      <c r="S89" s="69">
        <v>0.1066024408</v>
      </c>
      <c r="T89" s="69">
        <v>0.1056047762</v>
      </c>
      <c r="U89" s="69">
        <v>0.104605378</v>
      </c>
      <c r="V89" s="69">
        <v>0.1036051412</v>
      </c>
      <c r="W89" s="69">
        <v>0.1026048911</v>
      </c>
      <c r="X89" s="69">
        <v>0.1016053879</v>
      </c>
      <c r="Y89" s="69">
        <v>0.1006073306</v>
      </c>
      <c r="Z89" s="69">
        <v>9.9611361999999995E-2</v>
      </c>
      <c r="AA89" s="69">
        <v>9.8618071900000007E-2</v>
      </c>
      <c r="AB89" s="69">
        <v>9.7628001199999995E-2</v>
      </c>
      <c r="AC89" s="69">
        <v>9.6641644999999998E-2</v>
      </c>
      <c r="AD89" s="69">
        <v>9.5659456200000006E-2</v>
      </c>
      <c r="AE89" s="69">
        <v>9.4681848099999993E-2</v>
      </c>
      <c r="AF89" s="69">
        <v>9.3709197399999999E-2</v>
      </c>
      <c r="AG89" s="69">
        <v>9.2741846899999994E-2</v>
      </c>
      <c r="AH89" s="69">
        <v>9.1780107900000005E-2</v>
      </c>
      <c r="AI89" s="69">
        <v>9.0824262099999997E-2</v>
      </c>
      <c r="AJ89" s="69">
        <v>8.9874564500000004E-2</v>
      </c>
      <c r="AK89" s="69">
        <v>8.8931244800000003E-2</v>
      </c>
      <c r="AL89" s="69">
        <v>8.7994509100000007E-2</v>
      </c>
      <c r="AM89" s="69">
        <v>8.70645424E-2</v>
      </c>
      <c r="AN89" s="69">
        <v>8.6141509300000002E-2</v>
      </c>
      <c r="AO89" s="69">
        <v>8.5225556100000002E-2</v>
      </c>
      <c r="AP89" s="69">
        <v>8.4316812000000005E-2</v>
      </c>
      <c r="AQ89" s="69">
        <v>8.3415390300000003E-2</v>
      </c>
      <c r="AR89" s="69">
        <v>8.2521389700000003E-2</v>
      </c>
      <c r="AS89" s="69">
        <v>8.1634895200000002E-2</v>
      </c>
      <c r="AT89" s="69">
        <v>8.0755979699999994E-2</v>
      </c>
      <c r="AU89" s="69">
        <v>7.9884704299999998E-2</v>
      </c>
      <c r="AV89" s="69">
        <v>7.9021119299999998E-2</v>
      </c>
      <c r="AW89" s="69">
        <v>7.81652657E-2</v>
      </c>
      <c r="AX89" s="69">
        <v>7.7317174899999994E-2</v>
      </c>
      <c r="AY89" s="69">
        <v>7.6476870399999994E-2</v>
      </c>
      <c r="AZ89" s="69">
        <v>7.5644367599999998E-2</v>
      </c>
      <c r="BA89" s="69">
        <v>7.4819675299999999E-2</v>
      </c>
      <c r="BB89" s="69">
        <v>7.4002795499999996E-2</v>
      </c>
      <c r="BC89" s="69">
        <v>7.3193724399999993E-2</v>
      </c>
      <c r="BD89" s="69">
        <v>7.2392452400000001E-2</v>
      </c>
      <c r="BE89" s="69">
        <v>7.1598965299999998E-2</v>
      </c>
      <c r="BF89" s="69">
        <v>7.0813243999999997E-2</v>
      </c>
      <c r="BG89" s="69">
        <v>7.0035265299999996E-2</v>
      </c>
      <c r="BH89" s="69">
        <v>6.92650021E-2</v>
      </c>
      <c r="BI89" s="69">
        <v>6.8502423800000004E-2</v>
      </c>
      <c r="BJ89" s="69">
        <v>6.7747496500000004E-2</v>
      </c>
      <c r="BK89" s="69">
        <v>6.7000183500000005E-2</v>
      </c>
      <c r="BL89" s="69">
        <v>6.6260445200000004E-2</v>
      </c>
      <c r="BM89" s="69">
        <v>6.5528239899999993E-2</v>
      </c>
      <c r="BN89" s="69">
        <v>6.4803523399999993E-2</v>
      </c>
      <c r="BO89" s="69">
        <v>6.4086249600000006E-2</v>
      </c>
      <c r="BP89" s="69">
        <v>6.3376370799999998E-2</v>
      </c>
      <c r="BQ89" s="69">
        <v>6.2673837299999993E-2</v>
      </c>
      <c r="BR89" s="69">
        <v>6.19785983E-2</v>
      </c>
      <c r="BS89" s="69">
        <v>6.1290601600000001E-2</v>
      </c>
      <c r="BT89" s="69">
        <v>6.0609793600000003E-2</v>
      </c>
      <c r="BU89" s="69">
        <v>5.9936120099999997E-2</v>
      </c>
      <c r="BV89" s="69">
        <v>5.9269525699999999E-2</v>
      </c>
      <c r="BW89" s="69">
        <v>5.8609954200000002E-2</v>
      </c>
      <c r="BX89" s="69">
        <v>5.7957348800000003E-2</v>
      </c>
      <c r="BY89" s="69">
        <v>5.73116522E-2</v>
      </c>
      <c r="BZ89" s="69">
        <v>5.6672806399999998E-2</v>
      </c>
      <c r="CA89" s="69">
        <v>5.60407531E-2</v>
      </c>
      <c r="CB89" s="69">
        <v>5.5415433600000001E-2</v>
      </c>
      <c r="CC89" s="69">
        <v>5.4796788999999999E-2</v>
      </c>
      <c r="CD89" s="69">
        <v>5.4184759999999998E-2</v>
      </c>
      <c r="CE89" s="69">
        <v>5.3579287199999999E-2</v>
      </c>
      <c r="CF89" s="69">
        <v>5.2980311400000001E-2</v>
      </c>
      <c r="CG89" s="69">
        <v>5.2387772800000003E-2</v>
      </c>
      <c r="CH89" s="69">
        <v>5.1801612099999998E-2</v>
      </c>
      <c r="CI89" s="69">
        <v>5.1221769700000003E-2</v>
      </c>
      <c r="CJ89" s="69">
        <v>5.06481862E-2</v>
      </c>
      <c r="CK89" s="69">
        <v>5.0080802399999999E-2</v>
      </c>
      <c r="CL89" s="69">
        <v>4.9519558999999998E-2</v>
      </c>
      <c r="CM89" s="69">
        <v>4.8964397E-2</v>
      </c>
      <c r="CN89" s="69">
        <v>4.84152578E-2</v>
      </c>
      <c r="CO89" s="69">
        <v>4.7872082599999997E-2</v>
      </c>
      <c r="CP89" s="69">
        <v>4.7334813099999998E-2</v>
      </c>
      <c r="CQ89" s="69">
        <v>4.6803391299999997E-2</v>
      </c>
      <c r="CR89" s="69">
        <v>4.6277759500000001E-2</v>
      </c>
      <c r="CS89" s="69">
        <v>4.5757859999999997E-2</v>
      </c>
      <c r="CT89" s="69">
        <v>4.5243635900000002E-2</v>
      </c>
      <c r="CU89" s="69">
        <v>4.4735030100000003E-2</v>
      </c>
      <c r="CV89" s="69">
        <v>4.4231986399999999E-2</v>
      </c>
      <c r="CW89" s="69">
        <v>4.3734448500000002E-2</v>
      </c>
      <c r="CX89" s="69">
        <v>4.3242360600000002E-2</v>
      </c>
      <c r="CY89" s="69">
        <v>4.2755667499999997E-2</v>
      </c>
      <c r="CZ89" s="69">
        <v>4.2274314200000003E-2</v>
      </c>
      <c r="DA89" s="69">
        <v>4.1798245900000003E-2</v>
      </c>
      <c r="DB89" s="69">
        <v>4.1327408599999997E-2</v>
      </c>
      <c r="DC89" s="69">
        <v>4.0861748400000002E-2</v>
      </c>
      <c r="DD89" s="69">
        <v>4.04012121E-2</v>
      </c>
      <c r="DE89" s="69">
        <v>3.9945746499999997E-2</v>
      </c>
      <c r="DF89" s="69">
        <v>3.94952992E-2</v>
      </c>
      <c r="DG89" s="69">
        <v>3.9049818200000003E-2</v>
      </c>
      <c r="DH89" s="69">
        <v>3.8609251599999998E-2</v>
      </c>
      <c r="DI89" s="69">
        <v>3.8173548199999997E-2</v>
      </c>
      <c r="DJ89" s="69">
        <v>3.7742657300000003E-2</v>
      </c>
      <c r="DK89" s="69">
        <v>3.73165284E-2</v>
      </c>
      <c r="DL89" s="69">
        <v>3.6895111600000002E-2</v>
      </c>
      <c r="DM89" s="69">
        <v>3.64783573E-2</v>
      </c>
      <c r="DN89" s="69">
        <v>3.6066216499999998E-2</v>
      </c>
      <c r="DO89" s="69">
        <v>3.5658640599999999E-2</v>
      </c>
      <c r="DP89" s="69">
        <v>3.5255581199999997E-2</v>
      </c>
      <c r="DQ89" s="69">
        <v>3.48569907E-2</v>
      </c>
      <c r="DR89" s="69">
        <v>3.44628217E-2</v>
      </c>
      <c r="DS89" s="69">
        <v>3.4073027300000003E-2</v>
      </c>
      <c r="DT89" s="69">
        <v>3.3687560999999998E-2</v>
      </c>
      <c r="DU89" s="69">
        <v>3.3306376800000002E-2</v>
      </c>
      <c r="DV89" s="69">
        <v>3.2929429000000003E-2</v>
      </c>
      <c r="DW89" s="69">
        <v>3.2556672500000002E-2</v>
      </c>
      <c r="DX89" s="69">
        <v>3.2188062500000003E-2</v>
      </c>
      <c r="DY89" s="69">
        <v>3.1823554699999999E-2</v>
      </c>
      <c r="DZ89" s="69">
        <v>3.1463105099999999E-2</v>
      </c>
      <c r="EA89" s="69">
        <v>3.1106670400000001E-2</v>
      </c>
      <c r="EB89" s="69">
        <v>3.0754207299999999E-2</v>
      </c>
      <c r="EC89" s="69">
        <v>3.0405673300000002E-2</v>
      </c>
      <c r="ED89" s="69">
        <v>3.00610262E-2</v>
      </c>
      <c r="EE89" s="69">
        <v>2.9720224E-2</v>
      </c>
      <c r="EF89" s="69">
        <v>2.9383225400000001E-2</v>
      </c>
      <c r="EG89" s="69">
        <v>2.9049989299999999E-2</v>
      </c>
      <c r="EH89" s="69">
        <v>2.8720475200000001E-2</v>
      </c>
      <c r="EI89" s="69">
        <v>2.8394642800000001E-2</v>
      </c>
      <c r="EJ89" s="69">
        <v>2.80724524E-2</v>
      </c>
      <c r="EK89" s="69">
        <v>2.7753864499999999E-2</v>
      </c>
      <c r="EL89" s="69">
        <v>2.74388401E-2</v>
      </c>
      <c r="EM89" s="69">
        <v>2.7127340600000001E-2</v>
      </c>
      <c r="EN89" s="69">
        <v>2.6819327699999999E-2</v>
      </c>
      <c r="EO89" s="69">
        <v>2.6514763600000001E-2</v>
      </c>
      <c r="EP89" s="69">
        <v>2.6213610799999999E-2</v>
      </c>
      <c r="EQ89" s="69">
        <v>2.5915832199999999E-2</v>
      </c>
      <c r="ER89" s="69">
        <v>2.5621391E-2</v>
      </c>
      <c r="ES89" s="69">
        <v>2.5330251000000002E-2</v>
      </c>
      <c r="ET89" s="69">
        <v>2.5042376200000001E-2</v>
      </c>
      <c r="EU89" s="69">
        <v>2.47577309E-2</v>
      </c>
      <c r="EV89" s="69">
        <v>2.4476279900000002E-2</v>
      </c>
      <c r="EW89" s="69">
        <v>2.4197988199999999E-2</v>
      </c>
      <c r="EX89" s="69">
        <v>2.39228215E-2</v>
      </c>
      <c r="EY89" s="69">
        <v>2.3650745399999999E-2</v>
      </c>
      <c r="EZ89" s="69">
        <v>2.3381726200000001E-2</v>
      </c>
      <c r="FA89" s="69">
        <v>2.3115730399999999E-2</v>
      </c>
      <c r="FB89" s="69">
        <v>2.2852724899999999E-2</v>
      </c>
      <c r="FC89" s="69">
        <v>2.2592676799999999E-2</v>
      </c>
      <c r="FD89" s="69">
        <v>2.2335553800000001E-2</v>
      </c>
      <c r="FE89" s="69">
        <v>2.2081323699999999E-2</v>
      </c>
      <c r="FF89" s="69">
        <v>2.1829954700000001E-2</v>
      </c>
      <c r="FG89" s="69">
        <v>2.1581415400000001E-2</v>
      </c>
      <c r="FH89" s="69">
        <v>2.13356746E-2</v>
      </c>
      <c r="FI89" s="69">
        <v>2.1092701700000001E-2</v>
      </c>
      <c r="FJ89" s="69">
        <v>2.0852466E-2</v>
      </c>
      <c r="FK89" s="69">
        <v>2.06149375E-2</v>
      </c>
      <c r="FL89" s="69">
        <v>2.0380086299999999E-2</v>
      </c>
      <c r="FM89" s="69">
        <v>2.0147882900000001E-2</v>
      </c>
      <c r="FN89" s="69">
        <v>1.9918298000000001E-2</v>
      </c>
      <c r="FO89" s="69">
        <v>1.9691302800000001E-2</v>
      </c>
      <c r="FP89" s="69">
        <v>1.9466868700000001E-2</v>
      </c>
      <c r="FQ89" s="69">
        <v>1.9244967299999999E-2</v>
      </c>
    </row>
    <row r="90" spans="1:173" x14ac:dyDescent="0.25">
      <c r="A90" s="71">
        <v>88</v>
      </c>
      <c r="B90" s="69">
        <v>0.1360658522</v>
      </c>
      <c r="C90" s="69">
        <v>0.13549396629999999</v>
      </c>
      <c r="D90" s="69">
        <v>0.1348743516</v>
      </c>
      <c r="E90" s="69">
        <v>0.13421087910000001</v>
      </c>
      <c r="F90" s="69">
        <v>0.13350719189999999</v>
      </c>
      <c r="G90" s="69">
        <v>0.13276671440000001</v>
      </c>
      <c r="H90" s="69">
        <v>0.13199266109999999</v>
      </c>
      <c r="I90" s="69">
        <v>0.13118804619999999</v>
      </c>
      <c r="J90" s="69">
        <v>0.13035569289999999</v>
      </c>
      <c r="K90" s="69">
        <v>0.12949824300000001</v>
      </c>
      <c r="L90" s="69">
        <v>0.12861816570000001</v>
      </c>
      <c r="M90" s="69">
        <v>0.12771776739999999</v>
      </c>
      <c r="N90" s="69">
        <v>0.1267992</v>
      </c>
      <c r="O90" s="69">
        <v>0.1258644696</v>
      </c>
      <c r="P90" s="69">
        <v>0.1249154452</v>
      </c>
      <c r="Q90" s="69">
        <v>0.1239538662</v>
      </c>
      <c r="R90" s="69">
        <v>0.1229813505</v>
      </c>
      <c r="S90" s="69">
        <v>0.1219994017</v>
      </c>
      <c r="T90" s="69">
        <v>0.12100941599999999</v>
      </c>
      <c r="U90" s="69">
        <v>0.1200126891</v>
      </c>
      <c r="V90" s="69">
        <v>0.1190104226</v>
      </c>
      <c r="W90" s="69">
        <v>0.1180037297</v>
      </c>
      <c r="X90" s="69">
        <v>0.1169936412</v>
      </c>
      <c r="Y90" s="69">
        <v>0.1159811107</v>
      </c>
      <c r="Z90" s="69">
        <v>0.1149670198</v>
      </c>
      <c r="AA90" s="69">
        <v>0.1139521828</v>
      </c>
      <c r="AB90" s="69">
        <v>0.1129373514</v>
      </c>
      <c r="AC90" s="69">
        <v>0.1119232186</v>
      </c>
      <c r="AD90" s="69">
        <v>0.11091042280000001</v>
      </c>
      <c r="AE90" s="69">
        <v>0.10989955179999999</v>
      </c>
      <c r="AF90" s="69">
        <v>0.1088911461</v>
      </c>
      <c r="AG90" s="69">
        <v>0.1078857018</v>
      </c>
      <c r="AH90" s="69">
        <v>0.1068836745</v>
      </c>
      <c r="AI90" s="69">
        <v>0.10588548139999999</v>
      </c>
      <c r="AJ90" s="69">
        <v>0.10489150429999999</v>
      </c>
      <c r="AK90" s="69">
        <v>0.1039020921</v>
      </c>
      <c r="AL90" s="69">
        <v>0.10291756320000001</v>
      </c>
      <c r="AM90" s="69">
        <v>0.1019382075</v>
      </c>
      <c r="AN90" s="69">
        <v>0.1009642885</v>
      </c>
      <c r="AO90" s="69">
        <v>9.9996045399999997E-2</v>
      </c>
      <c r="AP90" s="69">
        <v>9.9033694399999997E-2</v>
      </c>
      <c r="AQ90" s="69">
        <v>9.8077431000000007E-2</v>
      </c>
      <c r="AR90" s="69">
        <v>9.7127430900000006E-2</v>
      </c>
      <c r="AS90" s="69">
        <v>9.6183851900000006E-2</v>
      </c>
      <c r="AT90" s="69">
        <v>9.5246834700000005E-2</v>
      </c>
      <c r="AU90" s="69">
        <v>9.4316504800000006E-2</v>
      </c>
      <c r="AV90" s="69">
        <v>9.3392973300000001E-2</v>
      </c>
      <c r="AW90" s="69">
        <v>9.2476337699999994E-2</v>
      </c>
      <c r="AX90" s="69">
        <v>9.1566683400000001E-2</v>
      </c>
      <c r="AY90" s="69">
        <v>9.0664084399999997E-2</v>
      </c>
      <c r="AZ90" s="69">
        <v>8.9768604099999996E-2</v>
      </c>
      <c r="BA90" s="69">
        <v>8.8880296100000006E-2</v>
      </c>
      <c r="BB90" s="69">
        <v>8.79992052E-2</v>
      </c>
      <c r="BC90" s="69">
        <v>8.7125367600000003E-2</v>
      </c>
      <c r="BD90" s="69">
        <v>8.6258812000000004E-2</v>
      </c>
      <c r="BE90" s="69">
        <v>8.5399559999999999E-2</v>
      </c>
      <c r="BF90" s="69">
        <v>8.4547626599999995E-2</v>
      </c>
      <c r="BG90" s="69">
        <v>8.37030208E-2</v>
      </c>
      <c r="BH90" s="69">
        <v>8.2865746000000004E-2</v>
      </c>
      <c r="BI90" s="69">
        <v>8.2035800699999994E-2</v>
      </c>
      <c r="BJ90" s="69">
        <v>8.1213178400000002E-2</v>
      </c>
      <c r="BK90" s="69">
        <v>8.0397868400000003E-2</v>
      </c>
      <c r="BL90" s="69">
        <v>7.9589856099999995E-2</v>
      </c>
      <c r="BM90" s="69">
        <v>7.8789123200000005E-2</v>
      </c>
      <c r="BN90" s="69">
        <v>7.7995647799999998E-2</v>
      </c>
      <c r="BO90" s="69">
        <v>7.72094054E-2</v>
      </c>
      <c r="BP90" s="69">
        <v>7.6430368400000004E-2</v>
      </c>
      <c r="BQ90" s="69">
        <v>7.56585065E-2</v>
      </c>
      <c r="BR90" s="69">
        <v>7.4893787399999995E-2</v>
      </c>
      <c r="BS90" s="69">
        <v>7.4136176400000003E-2</v>
      </c>
      <c r="BT90" s="69">
        <v>7.3385636899999995E-2</v>
      </c>
      <c r="BU90" s="69">
        <v>7.2642130599999993E-2</v>
      </c>
      <c r="BV90" s="69">
        <v>7.1905617599999999E-2</v>
      </c>
      <c r="BW90" s="69">
        <v>7.1176056299999999E-2</v>
      </c>
      <c r="BX90" s="69">
        <v>7.0453403999999997E-2</v>
      </c>
      <c r="BY90" s="69">
        <v>6.9737616899999993E-2</v>
      </c>
      <c r="BZ90" s="69">
        <v>6.9028649999999997E-2</v>
      </c>
      <c r="CA90" s="69">
        <v>6.8326457199999996E-2</v>
      </c>
      <c r="CB90" s="69">
        <v>6.7630991799999998E-2</v>
      </c>
      <c r="CC90" s="69">
        <v>6.6942206300000001E-2</v>
      </c>
      <c r="CD90" s="69">
        <v>6.6260052299999997E-2</v>
      </c>
      <c r="CE90" s="69">
        <v>6.5584481200000003E-2</v>
      </c>
      <c r="CF90" s="69">
        <v>6.4915443500000003E-2</v>
      </c>
      <c r="CG90" s="69">
        <v>6.4252889600000002E-2</v>
      </c>
      <c r="CH90" s="69">
        <v>6.35967692E-2</v>
      </c>
      <c r="CI90" s="69">
        <v>6.2947032E-2</v>
      </c>
      <c r="CJ90" s="69">
        <v>6.2303627299999997E-2</v>
      </c>
      <c r="CK90" s="69">
        <v>6.1666503999999997E-2</v>
      </c>
      <c r="CL90" s="69">
        <v>6.1035611199999999E-2</v>
      </c>
      <c r="CM90" s="69">
        <v>6.0410897700000001E-2</v>
      </c>
      <c r="CN90" s="69">
        <v>5.9792312100000002E-2</v>
      </c>
      <c r="CO90" s="69">
        <v>5.9179803199999999E-2</v>
      </c>
      <c r="CP90" s="69">
        <v>5.85733196E-2</v>
      </c>
      <c r="CQ90" s="69">
        <v>5.7972810100000001E-2</v>
      </c>
      <c r="CR90" s="69">
        <v>5.7378223300000003E-2</v>
      </c>
      <c r="CS90" s="69">
        <v>5.6789508299999999E-2</v>
      </c>
      <c r="CT90" s="69">
        <v>5.6206613799999999E-2</v>
      </c>
      <c r="CU90" s="69">
        <v>5.5629488999999997E-2</v>
      </c>
      <c r="CV90" s="69">
        <v>5.5058083100000002E-2</v>
      </c>
      <c r="CW90" s="69">
        <v>5.4492345499999997E-2</v>
      </c>
      <c r="CX90" s="69">
        <v>5.3932225799999997E-2</v>
      </c>
      <c r="CY90" s="69">
        <v>5.3377673700000003E-2</v>
      </c>
      <c r="CZ90" s="69">
        <v>5.2828639300000001E-2</v>
      </c>
      <c r="DA90" s="69">
        <v>5.2285072799999999E-2</v>
      </c>
      <c r="DB90" s="69">
        <v>5.1746924600000001E-2</v>
      </c>
      <c r="DC90" s="69">
        <v>5.1214145599999997E-2</v>
      </c>
      <c r="DD90" s="69">
        <v>5.0686686600000003E-2</v>
      </c>
      <c r="DE90" s="69">
        <v>5.0164499000000001E-2</v>
      </c>
      <c r="DF90" s="69">
        <v>4.9647534299999997E-2</v>
      </c>
      <c r="DG90" s="69">
        <v>4.9135744299999999E-2</v>
      </c>
      <c r="DH90" s="69">
        <v>4.8629081300000002E-2</v>
      </c>
      <c r="DI90" s="69">
        <v>4.8127497499999998E-2</v>
      </c>
      <c r="DJ90" s="69">
        <v>4.7630945799999998E-2</v>
      </c>
      <c r="DK90" s="69">
        <v>4.7139379199999998E-2</v>
      </c>
      <c r="DL90" s="69">
        <v>4.6652751200000002E-2</v>
      </c>
      <c r="DM90" s="69">
        <v>4.61710153E-2</v>
      </c>
      <c r="DN90" s="69">
        <v>4.5694125699999998E-2</v>
      </c>
      <c r="DO90" s="69">
        <v>4.5222036700000003E-2</v>
      </c>
      <c r="DP90" s="69">
        <v>4.4754703E-2</v>
      </c>
      <c r="DQ90" s="69">
        <v>4.4292079599999999E-2</v>
      </c>
      <c r="DR90" s="69">
        <v>4.38341218E-2</v>
      </c>
      <c r="DS90" s="69">
        <v>4.3380785400000003E-2</v>
      </c>
      <c r="DT90" s="69">
        <v>4.2932026399999997E-2</v>
      </c>
      <c r="DU90" s="69">
        <v>4.24878011E-2</v>
      </c>
      <c r="DV90" s="69">
        <v>4.2048066299999999E-2</v>
      </c>
      <c r="DW90" s="69">
        <v>4.1612779099999997E-2</v>
      </c>
      <c r="DX90" s="69">
        <v>4.1181896799999999E-2</v>
      </c>
      <c r="DY90" s="69">
        <v>4.0755377199999998E-2</v>
      </c>
      <c r="DZ90" s="69">
        <v>4.0333178300000001E-2</v>
      </c>
      <c r="EA90" s="69">
        <v>3.9915258600000003E-2</v>
      </c>
      <c r="EB90" s="69">
        <v>3.95015768E-2</v>
      </c>
      <c r="EC90" s="69">
        <v>3.9092092100000003E-2</v>
      </c>
      <c r="ED90" s="69">
        <v>3.8686763899999997E-2</v>
      </c>
      <c r="EE90" s="69">
        <v>3.8285551899999999E-2</v>
      </c>
      <c r="EF90" s="69">
        <v>3.7888416299999998E-2</v>
      </c>
      <c r="EG90" s="69">
        <v>3.74953175E-2</v>
      </c>
      <c r="EH90" s="69">
        <v>3.7106216400000003E-2</v>
      </c>
      <c r="EI90" s="69">
        <v>3.6721073999999999E-2</v>
      </c>
      <c r="EJ90" s="69">
        <v>3.6339851899999998E-2</v>
      </c>
      <c r="EK90" s="69">
        <v>3.5962511799999999E-2</v>
      </c>
      <c r="EL90" s="69">
        <v>3.5589015799999998E-2</v>
      </c>
      <c r="EM90" s="69">
        <v>3.5219326400000001E-2</v>
      </c>
      <c r="EN90" s="69">
        <v>3.4853406400000002E-2</v>
      </c>
      <c r="EO90" s="69">
        <v>3.4491218900000002E-2</v>
      </c>
      <c r="EP90" s="69">
        <v>3.4132727299999999E-2</v>
      </c>
      <c r="EQ90" s="69">
        <v>3.3777895400000001E-2</v>
      </c>
      <c r="ER90" s="69">
        <v>3.3426687199999999E-2</v>
      </c>
      <c r="ES90" s="69">
        <v>3.3079067199999999E-2</v>
      </c>
      <c r="ET90" s="69">
        <v>3.2735E-2</v>
      </c>
      <c r="EU90" s="69">
        <v>3.2394450700000001E-2</v>
      </c>
      <c r="EV90" s="69">
        <v>3.2057384600000002E-2</v>
      </c>
      <c r="EW90" s="69">
        <v>3.1723767399999998E-2</v>
      </c>
      <c r="EX90" s="69">
        <v>3.1393564999999998E-2</v>
      </c>
      <c r="EY90" s="69">
        <v>3.10667437E-2</v>
      </c>
      <c r="EZ90" s="69">
        <v>3.074327E-2</v>
      </c>
      <c r="FA90" s="69">
        <v>3.0423110900000001E-2</v>
      </c>
      <c r="FB90" s="69">
        <v>3.0106233600000001E-2</v>
      </c>
      <c r="FC90" s="69">
        <v>2.9792605400000002E-2</v>
      </c>
      <c r="FD90" s="69">
        <v>2.94821943E-2</v>
      </c>
      <c r="FE90" s="69">
        <v>2.91749681E-2</v>
      </c>
      <c r="FF90" s="69">
        <v>2.8870895399999999E-2</v>
      </c>
      <c r="FG90" s="69">
        <v>2.85699448E-2</v>
      </c>
      <c r="FH90" s="69">
        <v>2.82720851E-2</v>
      </c>
      <c r="FI90" s="69">
        <v>2.79772857E-2</v>
      </c>
      <c r="FJ90" s="69">
        <v>2.7685516100000002E-2</v>
      </c>
      <c r="FK90" s="69">
        <v>2.7396746E-2</v>
      </c>
      <c r="FL90" s="69">
        <v>2.7110945599999998E-2</v>
      </c>
      <c r="FM90" s="69">
        <v>2.6828085099999999E-2</v>
      </c>
      <c r="FN90" s="69">
        <v>2.6548135300000001E-2</v>
      </c>
      <c r="FO90" s="69">
        <v>2.6271066999999999E-2</v>
      </c>
      <c r="FP90" s="69">
        <v>2.59968514E-2</v>
      </c>
      <c r="FQ90" s="69">
        <v>2.5725459999999999E-2</v>
      </c>
    </row>
    <row r="91" spans="1:173" x14ac:dyDescent="0.25">
      <c r="A91" s="71">
        <v>89</v>
      </c>
      <c r="B91" s="69">
        <v>0.15137940110000001</v>
      </c>
      <c r="C91" s="69">
        <v>0.150823977</v>
      </c>
      <c r="D91" s="69">
        <v>0.1502192409</v>
      </c>
      <c r="E91" s="69">
        <v>0.14956907659999999</v>
      </c>
      <c r="F91" s="69">
        <v>0.14887713899999999</v>
      </c>
      <c r="G91" s="69">
        <v>0.14814686360000001</v>
      </c>
      <c r="H91" s="69">
        <v>0.14738147609999999</v>
      </c>
      <c r="I91" s="69">
        <v>0.14658400199999999</v>
      </c>
      <c r="J91" s="69">
        <v>0.1457572761</v>
      </c>
      <c r="K91" s="69">
        <v>0.14490395249999999</v>
      </c>
      <c r="L91" s="69">
        <v>0.14402651350000001</v>
      </c>
      <c r="M91" s="69">
        <v>0.14312727929999999</v>
      </c>
      <c r="N91" s="69">
        <v>0.1422084163</v>
      </c>
      <c r="O91" s="69">
        <v>0.14127194630000001</v>
      </c>
      <c r="P91" s="69">
        <v>0.14031975460000001</v>
      </c>
      <c r="Q91" s="69">
        <v>0.13935359780000001</v>
      </c>
      <c r="R91" s="69">
        <v>0.13837511180000001</v>
      </c>
      <c r="S91" s="69">
        <v>0.1373858188</v>
      </c>
      <c r="T91" s="69">
        <v>0.13638713459999999</v>
      </c>
      <c r="U91" s="69">
        <v>0.135380375</v>
      </c>
      <c r="V91" s="69">
        <v>0.13436676189999999</v>
      </c>
      <c r="W91" s="69">
        <v>0.1333474298</v>
      </c>
      <c r="X91" s="69">
        <v>0.13232343099999999</v>
      </c>
      <c r="Y91" s="69">
        <v>0.13129574099999999</v>
      </c>
      <c r="Z91" s="69">
        <v>0.13026526350000001</v>
      </c>
      <c r="AA91" s="69">
        <v>0.1292328354</v>
      </c>
      <c r="AB91" s="69">
        <v>0.12819923089999999</v>
      </c>
      <c r="AC91" s="69">
        <v>0.1271651657</v>
      </c>
      <c r="AD91" s="69">
        <v>0.1261313013</v>
      </c>
      <c r="AE91" s="69">
        <v>0.12509824820000001</v>
      </c>
      <c r="AF91" s="69">
        <v>0.1240665696</v>
      </c>
      <c r="AG91" s="69">
        <v>0.1230367849</v>
      </c>
      <c r="AH91" s="69">
        <v>0.122009372</v>
      </c>
      <c r="AI91" s="69">
        <v>0.1209847708</v>
      </c>
      <c r="AJ91" s="69">
        <v>0.1199633858</v>
      </c>
      <c r="AK91" s="69">
        <v>0.1189455881</v>
      </c>
      <c r="AL91" s="69">
        <v>0.1179317183</v>
      </c>
      <c r="AM91" s="69">
        <v>0.11692208799999999</v>
      </c>
      <c r="AN91" s="69">
        <v>0.1159169827</v>
      </c>
      <c r="AO91" s="69">
        <v>0.11491666270000001</v>
      </c>
      <c r="AP91" s="69">
        <v>0.1139213657</v>
      </c>
      <c r="AQ91" s="69">
        <v>0.11293130780000001</v>
      </c>
      <c r="AR91" s="69">
        <v>0.1119466854</v>
      </c>
      <c r="AS91" s="69">
        <v>0.1109676766</v>
      </c>
      <c r="AT91" s="69">
        <v>0.10999444229999999</v>
      </c>
      <c r="AU91" s="69">
        <v>0.1090271277</v>
      </c>
      <c r="AV91" s="69">
        <v>0.108065863</v>
      </c>
      <c r="AW91" s="69">
        <v>0.1071107651</v>
      </c>
      <c r="AX91" s="69">
        <v>0.1061619382</v>
      </c>
      <c r="AY91" s="69">
        <v>0.1052194747</v>
      </c>
      <c r="AZ91" s="69">
        <v>0.1042834561</v>
      </c>
      <c r="BA91" s="69">
        <v>0.10335395410000001</v>
      </c>
      <c r="BB91" s="69">
        <v>0.1024310308</v>
      </c>
      <c r="BC91" s="69">
        <v>0.1015147398</v>
      </c>
      <c r="BD91" s="69">
        <v>0.10060512670000001</v>
      </c>
      <c r="BE91" s="69">
        <v>9.9702229700000006E-2</v>
      </c>
      <c r="BF91" s="69">
        <v>9.8806080300000002E-2</v>
      </c>
      <c r="BG91" s="69">
        <v>9.7916703499999994E-2</v>
      </c>
      <c r="BH91" s="69">
        <v>9.7034118399999994E-2</v>
      </c>
      <c r="BI91" s="69">
        <v>9.6158338999999995E-2</v>
      </c>
      <c r="BJ91" s="69">
        <v>9.5289374100000004E-2</v>
      </c>
      <c r="BK91" s="69">
        <v>9.4427227899999994E-2</v>
      </c>
      <c r="BL91" s="69">
        <v>9.3571900299999997E-2</v>
      </c>
      <c r="BM91" s="69">
        <v>9.2723387500000004E-2</v>
      </c>
      <c r="BN91" s="69">
        <v>9.1881681899999998E-2</v>
      </c>
      <c r="BO91" s="69">
        <v>9.1046772600000006E-2</v>
      </c>
      <c r="BP91" s="69">
        <v>9.0218645700000002E-2</v>
      </c>
      <c r="BQ91" s="69">
        <v>8.9397284399999999E-2</v>
      </c>
      <c r="BR91" s="69">
        <v>8.85826693E-2</v>
      </c>
      <c r="BS91" s="69">
        <v>8.77747787E-2</v>
      </c>
      <c r="BT91" s="69">
        <v>8.6973588700000007E-2</v>
      </c>
      <c r="BU91" s="69">
        <v>8.6179073300000006E-2</v>
      </c>
      <c r="BV91" s="69">
        <v>8.5391204799999995E-2</v>
      </c>
      <c r="BW91" s="69">
        <v>8.4609953700000004E-2</v>
      </c>
      <c r="BX91" s="69">
        <v>8.3835289100000002E-2</v>
      </c>
      <c r="BY91" s="69">
        <v>8.3067178500000005E-2</v>
      </c>
      <c r="BZ91" s="69">
        <v>8.2305588299999996E-2</v>
      </c>
      <c r="CA91" s="69">
        <v>8.1550483699999995E-2</v>
      </c>
      <c r="CB91" s="69">
        <v>8.0801828800000003E-2</v>
      </c>
      <c r="CC91" s="69">
        <v>8.0059586799999999E-2</v>
      </c>
      <c r="CD91" s="69">
        <v>7.932372E-2</v>
      </c>
      <c r="CE91" s="69">
        <v>7.85941899E-2</v>
      </c>
      <c r="CF91" s="69">
        <v>7.7870957399999996E-2</v>
      </c>
      <c r="CG91" s="69">
        <v>7.7153982699999998E-2</v>
      </c>
      <c r="CH91" s="69">
        <v>7.6443225500000003E-2</v>
      </c>
      <c r="CI91" s="69">
        <v>7.5738644899999999E-2</v>
      </c>
      <c r="CJ91" s="69">
        <v>7.5040199700000004E-2</v>
      </c>
      <c r="CK91" s="69">
        <v>7.4347848199999997E-2</v>
      </c>
      <c r="CL91" s="69">
        <v>7.3661548600000001E-2</v>
      </c>
      <c r="CM91" s="69">
        <v>7.2981258500000007E-2</v>
      </c>
      <c r="CN91" s="69">
        <v>7.2306935399999994E-2</v>
      </c>
      <c r="CO91" s="69">
        <v>7.1638536799999999E-2</v>
      </c>
      <c r="CP91" s="69">
        <v>7.0976019599999995E-2</v>
      </c>
      <c r="CQ91" s="69">
        <v>7.0319341100000002E-2</v>
      </c>
      <c r="CR91" s="69">
        <v>6.9668458000000003E-2</v>
      </c>
      <c r="CS91" s="69">
        <v>6.9023327400000001E-2</v>
      </c>
      <c r="CT91" s="69">
        <v>6.83839059E-2</v>
      </c>
      <c r="CU91" s="69">
        <v>6.77501504E-2</v>
      </c>
      <c r="CV91" s="69">
        <v>6.7122017800000003E-2</v>
      </c>
      <c r="CW91" s="69">
        <v>6.6499464899999999E-2</v>
      </c>
      <c r="CX91" s="69">
        <v>6.5882448499999996E-2</v>
      </c>
      <c r="CY91" s="69">
        <v>6.5270925800000004E-2</v>
      </c>
      <c r="CZ91" s="69">
        <v>6.4664853600000002E-2</v>
      </c>
      <c r="DA91" s="69">
        <v>6.4064189300000005E-2</v>
      </c>
      <c r="DB91" s="69">
        <v>6.346889E-2</v>
      </c>
      <c r="DC91" s="69">
        <v>6.2878913300000006E-2</v>
      </c>
      <c r="DD91" s="69">
        <v>6.2294216499999999E-2</v>
      </c>
      <c r="DE91" s="69">
        <v>6.17147574E-2</v>
      </c>
      <c r="DF91" s="69">
        <v>6.1140493900000002E-2</v>
      </c>
      <c r="DG91" s="69">
        <v>6.0571383999999999E-2</v>
      </c>
      <c r="DH91" s="69">
        <v>6.0007385900000001E-2</v>
      </c>
      <c r="DI91" s="69">
        <v>5.9448458099999997E-2</v>
      </c>
      <c r="DJ91" s="69">
        <v>5.8894558999999999E-2</v>
      </c>
      <c r="DK91" s="69">
        <v>5.83456475E-2</v>
      </c>
      <c r="DL91" s="69">
        <v>5.7801682700000002E-2</v>
      </c>
      <c r="DM91" s="69">
        <v>5.7262623700000001E-2</v>
      </c>
      <c r="DN91" s="69">
        <v>5.6728429900000002E-2</v>
      </c>
      <c r="DO91" s="69">
        <v>5.6199061100000003E-2</v>
      </c>
      <c r="DP91" s="69">
        <v>5.5674477100000001E-2</v>
      </c>
      <c r="DQ91" s="69">
        <v>5.51546381E-2</v>
      </c>
      <c r="DR91" s="69">
        <v>5.4639504300000002E-2</v>
      </c>
      <c r="DS91" s="69">
        <v>5.4129036499999998E-2</v>
      </c>
      <c r="DT91" s="69">
        <v>5.3623195399999997E-2</v>
      </c>
      <c r="DU91" s="69">
        <v>5.31219421E-2</v>
      </c>
      <c r="DV91" s="69">
        <v>5.2625237999999998E-2</v>
      </c>
      <c r="DW91" s="69">
        <v>5.2133044599999998E-2</v>
      </c>
      <c r="DX91" s="69">
        <v>5.1645323799999997E-2</v>
      </c>
      <c r="DY91" s="69">
        <v>5.11620375E-2</v>
      </c>
      <c r="DZ91" s="69">
        <v>5.06831482E-2</v>
      </c>
      <c r="EA91" s="69">
        <v>5.0208618400000002E-2</v>
      </c>
      <c r="EB91" s="69">
        <v>4.9738411000000003E-2</v>
      </c>
      <c r="EC91" s="69">
        <v>4.9272489099999997E-2</v>
      </c>
      <c r="ED91" s="69">
        <v>4.8810815899999999E-2</v>
      </c>
      <c r="EE91" s="69">
        <v>4.8353355100000002E-2</v>
      </c>
      <c r="EF91" s="69">
        <v>4.7900070599999997E-2</v>
      </c>
      <c r="EG91" s="69">
        <v>4.7450926400000003E-2</v>
      </c>
      <c r="EH91" s="69">
        <v>4.7005886900000002E-2</v>
      </c>
      <c r="EI91" s="69">
        <v>4.6564916800000002E-2</v>
      </c>
      <c r="EJ91" s="69">
        <v>4.6127980899999997E-2</v>
      </c>
      <c r="EK91" s="69">
        <v>4.5695044300000001E-2</v>
      </c>
      <c r="EL91" s="69">
        <v>4.5266072499999997E-2</v>
      </c>
      <c r="EM91" s="69">
        <v>4.4841031099999998E-2</v>
      </c>
      <c r="EN91" s="69">
        <v>4.4419885999999999E-2</v>
      </c>
      <c r="EO91" s="69">
        <v>4.4002603299999998E-2</v>
      </c>
      <c r="EP91" s="69">
        <v>4.3589149399999999E-2</v>
      </c>
      <c r="EQ91" s="69">
        <v>4.3179491E-2</v>
      </c>
      <c r="ER91" s="69">
        <v>4.2773595099999999E-2</v>
      </c>
      <c r="ES91" s="69">
        <v>4.2371428699999998E-2</v>
      </c>
      <c r="ET91" s="69">
        <v>4.1972959300000001E-2</v>
      </c>
      <c r="EU91" s="69">
        <v>4.15781546E-2</v>
      </c>
      <c r="EV91" s="69">
        <v>4.1186982400000002E-2</v>
      </c>
      <c r="EW91" s="69">
        <v>4.0799410899999999E-2</v>
      </c>
      <c r="EX91" s="69">
        <v>4.04154085E-2</v>
      </c>
      <c r="EY91" s="69">
        <v>4.00349438E-2</v>
      </c>
      <c r="EZ91" s="69">
        <v>3.9657985799999997E-2</v>
      </c>
      <c r="FA91" s="69">
        <v>3.9284503599999999E-2</v>
      </c>
      <c r="FB91" s="69">
        <v>3.8914466500000001E-2</v>
      </c>
      <c r="FC91" s="69">
        <v>3.8547844099999999E-2</v>
      </c>
      <c r="FD91" s="69">
        <v>3.8184606400000001E-2</v>
      </c>
      <c r="FE91" s="69">
        <v>3.7824723400000003E-2</v>
      </c>
      <c r="FF91" s="69">
        <v>3.7468165400000003E-2</v>
      </c>
      <c r="FG91" s="69">
        <v>3.7114902999999998E-2</v>
      </c>
      <c r="FH91" s="69">
        <v>3.6764907100000001E-2</v>
      </c>
      <c r="FI91" s="69">
        <v>3.6418148599999998E-2</v>
      </c>
      <c r="FJ91" s="69">
        <v>3.6074598700000002E-2</v>
      </c>
      <c r="FK91" s="69">
        <v>3.5734229100000001E-2</v>
      </c>
      <c r="FL91" s="69">
        <v>3.5397011499999999E-2</v>
      </c>
      <c r="FM91" s="69">
        <v>3.5062917700000001E-2</v>
      </c>
      <c r="FN91" s="69">
        <v>3.4731919999999999E-2</v>
      </c>
      <c r="FO91" s="69">
        <v>3.4403990699999998E-2</v>
      </c>
      <c r="FP91" s="69">
        <v>3.4079102600000001E-2</v>
      </c>
      <c r="FQ91" s="69">
        <v>3.3757228399999999E-2</v>
      </c>
    </row>
    <row r="92" spans="1:173" x14ac:dyDescent="0.25">
      <c r="A92" s="71">
        <v>90</v>
      </c>
      <c r="B92" s="69">
        <v>0.16767159800000001</v>
      </c>
      <c r="C92" s="69">
        <v>0.167235412</v>
      </c>
      <c r="D92" s="69">
        <v>0.16673931149999999</v>
      </c>
      <c r="E92" s="69">
        <v>0.1661877491</v>
      </c>
      <c r="F92" s="69">
        <v>0.16558492499999999</v>
      </c>
      <c r="G92" s="69">
        <v>0.16493479580000001</v>
      </c>
      <c r="H92" s="69">
        <v>0.1642410842</v>
      </c>
      <c r="I92" s="69">
        <v>0.16350728959999999</v>
      </c>
      <c r="J92" s="69">
        <v>0.16273669760000001</v>
      </c>
      <c r="K92" s="69">
        <v>0.16193239030000001</v>
      </c>
      <c r="L92" s="69">
        <v>0.16109725620000001</v>
      </c>
      <c r="M92" s="69">
        <v>0.16023400069999999</v>
      </c>
      <c r="N92" s="69">
        <v>0.15934515460000001</v>
      </c>
      <c r="O92" s="69">
        <v>0.1584330847</v>
      </c>
      <c r="P92" s="69">
        <v>0.15750000210000001</v>
      </c>
      <c r="Q92" s="69">
        <v>0.15654797149999999</v>
      </c>
      <c r="R92" s="69">
        <v>0.15557891930000001</v>
      </c>
      <c r="S92" s="69">
        <v>0.154594642</v>
      </c>
      <c r="T92" s="69">
        <v>0.15359681359999999</v>
      </c>
      <c r="U92" s="69">
        <v>0.15258699349999999</v>
      </c>
      <c r="V92" s="69">
        <v>0.15156663319999999</v>
      </c>
      <c r="W92" s="69">
        <v>0.1505370831</v>
      </c>
      <c r="X92" s="69">
        <v>0.14949959879999999</v>
      </c>
      <c r="Y92" s="69">
        <v>0.1484553471</v>
      </c>
      <c r="Z92" s="69">
        <v>0.14740541190000001</v>
      </c>
      <c r="AA92" s="69">
        <v>0.146350799</v>
      </c>
      <c r="AB92" s="69">
        <v>0.14529244199999999</v>
      </c>
      <c r="AC92" s="69">
        <v>0.14423120640000001</v>
      </c>
      <c r="AD92" s="69">
        <v>0.1431678941</v>
      </c>
      <c r="AE92" s="69">
        <v>0.1421032482</v>
      </c>
      <c r="AF92" s="69">
        <v>0.14103795620000001</v>
      </c>
      <c r="AG92" s="69">
        <v>0.1399726543</v>
      </c>
      <c r="AH92" s="69">
        <v>0.13890793039999999</v>
      </c>
      <c r="AI92" s="69">
        <v>0.13784432769999999</v>
      </c>
      <c r="AJ92" s="69">
        <v>0.13678234780000001</v>
      </c>
      <c r="AK92" s="69">
        <v>0.13572245320000001</v>
      </c>
      <c r="AL92" s="69">
        <v>0.13466507029999999</v>
      </c>
      <c r="AM92" s="69">
        <v>0.13361059180000001</v>
      </c>
      <c r="AN92" s="69">
        <v>0.13255937879999999</v>
      </c>
      <c r="AO92" s="69">
        <v>0.13151176349999999</v>
      </c>
      <c r="AP92" s="69">
        <v>0.1304680507</v>
      </c>
      <c r="AQ92" s="69">
        <v>0.12942851999999999</v>
      </c>
      <c r="AR92" s="69">
        <v>0.12839342740000001</v>
      </c>
      <c r="AS92" s="69">
        <v>0.12736300740000001</v>
      </c>
      <c r="AT92" s="69">
        <v>0.12633747370000001</v>
      </c>
      <c r="AU92" s="69">
        <v>0.12531702140000001</v>
      </c>
      <c r="AV92" s="69">
        <v>0.1243018281</v>
      </c>
      <c r="AW92" s="69">
        <v>0.12329205510000001</v>
      </c>
      <c r="AX92" s="69">
        <v>0.1222878483</v>
      </c>
      <c r="AY92" s="69">
        <v>0.1212893399</v>
      </c>
      <c r="AZ92" s="69">
        <v>0.12029664900000001</v>
      </c>
      <c r="BA92" s="69">
        <v>0.1193098823</v>
      </c>
      <c r="BB92" s="69">
        <v>0.1183291356</v>
      </c>
      <c r="BC92" s="69">
        <v>0.11735449420000001</v>
      </c>
      <c r="BD92" s="69">
        <v>0.1163860337</v>
      </c>
      <c r="BE92" s="69">
        <v>0.1154238206</v>
      </c>
      <c r="BF92" s="69">
        <v>0.1144679133</v>
      </c>
      <c r="BG92" s="69">
        <v>0.1135183625</v>
      </c>
      <c r="BH92" s="69">
        <v>0.11257521149999999</v>
      </c>
      <c r="BI92" s="69">
        <v>0.11163849720000001</v>
      </c>
      <c r="BJ92" s="69">
        <v>0.1107082504</v>
      </c>
      <c r="BK92" s="69">
        <v>0.109784496</v>
      </c>
      <c r="BL92" s="69">
        <v>0.108867254</v>
      </c>
      <c r="BM92" s="69">
        <v>0.1079565391</v>
      </c>
      <c r="BN92" s="69">
        <v>0.1070523619</v>
      </c>
      <c r="BO92" s="69">
        <v>0.1061547285</v>
      </c>
      <c r="BP92" s="69">
        <v>0.1052636415</v>
      </c>
      <c r="BQ92" s="69">
        <v>0.10437909970000001</v>
      </c>
      <c r="BR92" s="69">
        <v>0.10350109859999999</v>
      </c>
      <c r="BS92" s="69">
        <v>0.1026296309</v>
      </c>
      <c r="BT92" s="69">
        <v>0.1017646862</v>
      </c>
      <c r="BU92" s="69">
        <v>0.1009062518</v>
      </c>
      <c r="BV92" s="69">
        <v>0.1000543124</v>
      </c>
      <c r="BW92" s="69">
        <v>9.9208850700000004E-2</v>
      </c>
      <c r="BX92" s="69">
        <v>9.8369847199999999E-2</v>
      </c>
      <c r="BY92" s="69">
        <v>9.7537280599999998E-2</v>
      </c>
      <c r="BZ92" s="69">
        <v>9.6711128100000002E-2</v>
      </c>
      <c r="CA92" s="69">
        <v>9.5891365000000006E-2</v>
      </c>
      <c r="CB92" s="69">
        <v>9.5077965400000006E-2</v>
      </c>
      <c r="CC92" s="69">
        <v>9.4270902000000004E-2</v>
      </c>
      <c r="CD92" s="69">
        <v>9.3470146200000007E-2</v>
      </c>
      <c r="CE92" s="69">
        <v>9.2675668599999997E-2</v>
      </c>
      <c r="CF92" s="69">
        <v>9.1887438500000002E-2</v>
      </c>
      <c r="CG92" s="69">
        <v>9.1105424399999996E-2</v>
      </c>
      <c r="CH92" s="69">
        <v>9.0329593900000005E-2</v>
      </c>
      <c r="CI92" s="69">
        <v>8.9559914099999999E-2</v>
      </c>
      <c r="CJ92" s="69">
        <v>8.8796350900000001E-2</v>
      </c>
      <c r="CK92" s="69">
        <v>8.8038870199999994E-2</v>
      </c>
      <c r="CL92" s="69">
        <v>8.7287436900000001E-2</v>
      </c>
      <c r="CM92" s="69">
        <v>8.65420155E-2</v>
      </c>
      <c r="CN92" s="69">
        <v>8.5802570300000006E-2</v>
      </c>
      <c r="CO92" s="69">
        <v>8.5069064799999997E-2</v>
      </c>
      <c r="CP92" s="69">
        <v>8.4341462500000006E-2</v>
      </c>
      <c r="CQ92" s="69">
        <v>8.3619726399999997E-2</v>
      </c>
      <c r="CR92" s="69">
        <v>8.2903819200000006E-2</v>
      </c>
      <c r="CS92" s="69">
        <v>8.2193703600000001E-2</v>
      </c>
      <c r="CT92" s="69">
        <v>8.1489341800000004E-2</v>
      </c>
      <c r="CU92" s="69">
        <v>8.0790696199999998E-2</v>
      </c>
      <c r="CV92" s="69">
        <v>8.0097728600000001E-2</v>
      </c>
      <c r="CW92" s="69">
        <v>7.94104011E-2</v>
      </c>
      <c r="CX92" s="69">
        <v>7.8728675499999998E-2</v>
      </c>
      <c r="CY92" s="69">
        <v>7.8052513599999998E-2</v>
      </c>
      <c r="CZ92" s="69">
        <v>7.7381877099999996E-2</v>
      </c>
      <c r="DA92" s="69">
        <v>7.6716727799999995E-2</v>
      </c>
      <c r="DB92" s="69">
        <v>7.6057027400000005E-2</v>
      </c>
      <c r="DC92" s="69">
        <v>7.5402737600000005E-2</v>
      </c>
      <c r="DD92" s="69">
        <v>7.4753820200000001E-2</v>
      </c>
      <c r="DE92" s="69">
        <v>7.4110237100000004E-2</v>
      </c>
      <c r="DF92" s="69">
        <v>7.3471950100000002E-2</v>
      </c>
      <c r="DG92" s="69">
        <v>7.2838921099999995E-2</v>
      </c>
      <c r="DH92" s="69">
        <v>7.2211112199999997E-2</v>
      </c>
      <c r="DI92" s="69">
        <v>7.1588485499999993E-2</v>
      </c>
      <c r="DJ92" s="69">
        <v>7.0971003199999994E-2</v>
      </c>
      <c r="DK92" s="69">
        <v>7.0358627800000004E-2</v>
      </c>
      <c r="DL92" s="69">
        <v>6.9751321500000005E-2</v>
      </c>
      <c r="DM92" s="69">
        <v>6.91490471E-2</v>
      </c>
      <c r="DN92" s="69">
        <v>6.8551767299999997E-2</v>
      </c>
      <c r="DO92" s="69">
        <v>6.7959444899999999E-2</v>
      </c>
      <c r="DP92" s="69">
        <v>6.7372043000000006E-2</v>
      </c>
      <c r="DQ92" s="69">
        <v>6.6789524700000005E-2</v>
      </c>
      <c r="DR92" s="69">
        <v>6.6211853400000006E-2</v>
      </c>
      <c r="DS92" s="69">
        <v>6.5638992500000007E-2</v>
      </c>
      <c r="DT92" s="69">
        <v>6.5070905900000003E-2</v>
      </c>
      <c r="DU92" s="69">
        <v>6.4507557199999996E-2</v>
      </c>
      <c r="DV92" s="69">
        <v>6.3948910600000006E-2</v>
      </c>
      <c r="DW92" s="69">
        <v>6.3394930299999999E-2</v>
      </c>
      <c r="DX92" s="69">
        <v>6.2845580499999998E-2</v>
      </c>
      <c r="DY92" s="69">
        <v>6.2300825999999997E-2</v>
      </c>
      <c r="DZ92" s="69">
        <v>6.1760631400000002E-2</v>
      </c>
      <c r="EA92" s="69">
        <v>6.1224961799999998E-2</v>
      </c>
      <c r="EB92" s="69">
        <v>6.0693782199999997E-2</v>
      </c>
      <c r="EC92" s="69">
        <v>6.0167058099999997E-2</v>
      </c>
      <c r="ED92" s="69">
        <v>5.9644754899999999E-2</v>
      </c>
      <c r="EE92" s="69">
        <v>5.9126838500000001E-2</v>
      </c>
      <c r="EF92" s="69">
        <v>5.8613274700000002E-2</v>
      </c>
      <c r="EG92" s="69">
        <v>5.8104029699999997E-2</v>
      </c>
      <c r="EH92" s="69">
        <v>5.75990698E-2</v>
      </c>
      <c r="EI92" s="69">
        <v>5.7098361700000003E-2</v>
      </c>
      <c r="EJ92" s="69">
        <v>5.6601871900000003E-2</v>
      </c>
      <c r="EK92" s="69">
        <v>5.61095676E-2</v>
      </c>
      <c r="EL92" s="69">
        <v>5.5621415799999997E-2</v>
      </c>
      <c r="EM92" s="69">
        <v>5.5137383900000003E-2</v>
      </c>
      <c r="EN92" s="69">
        <v>5.4657439500000002E-2</v>
      </c>
      <c r="EO92" s="69">
        <v>5.41815504E-2</v>
      </c>
      <c r="EP92" s="69">
        <v>5.3709684600000002E-2</v>
      </c>
      <c r="EQ92" s="69">
        <v>5.3241810200000003E-2</v>
      </c>
      <c r="ER92" s="69">
        <v>5.2777895599999999E-2</v>
      </c>
      <c r="ES92" s="69">
        <v>5.2317909500000002E-2</v>
      </c>
      <c r="ET92" s="69">
        <v>5.1861820599999997E-2</v>
      </c>
      <c r="EU92" s="69">
        <v>5.1409598000000001E-2</v>
      </c>
      <c r="EV92" s="69">
        <v>5.0961210899999998E-2</v>
      </c>
      <c r="EW92" s="69">
        <v>5.0516628700000003E-2</v>
      </c>
      <c r="EX92" s="69">
        <v>5.0075821100000001E-2</v>
      </c>
      <c r="EY92" s="69">
        <v>4.9638757800000002E-2</v>
      </c>
      <c r="EZ92" s="69">
        <v>4.9205408999999999E-2</v>
      </c>
      <c r="FA92" s="69">
        <v>4.87757448E-2</v>
      </c>
      <c r="FB92" s="69">
        <v>4.83497357E-2</v>
      </c>
      <c r="FC92" s="69">
        <v>4.7927352399999998E-2</v>
      </c>
      <c r="FD92" s="69">
        <v>4.7508565599999997E-2</v>
      </c>
      <c r="FE92" s="69">
        <v>4.7093346600000002E-2</v>
      </c>
      <c r="FF92" s="69">
        <v>4.6681666400000002E-2</v>
      </c>
      <c r="FG92" s="69">
        <v>4.62734967E-2</v>
      </c>
      <c r="FH92" s="69">
        <v>4.5868809000000003E-2</v>
      </c>
      <c r="FI92" s="69">
        <v>4.5467575099999998E-2</v>
      </c>
      <c r="FJ92" s="69">
        <v>4.5069767199999999E-2</v>
      </c>
      <c r="FK92" s="69">
        <v>4.4675357399999997E-2</v>
      </c>
      <c r="FL92" s="69">
        <v>4.42843183E-2</v>
      </c>
      <c r="FM92" s="69">
        <v>4.3896622400000002E-2</v>
      </c>
      <c r="FN92" s="69">
        <v>4.3512242700000002E-2</v>
      </c>
      <c r="FO92" s="69">
        <v>4.31311521E-2</v>
      </c>
      <c r="FP92" s="69">
        <v>4.27533238E-2</v>
      </c>
      <c r="FQ92" s="69">
        <v>4.23787313E-2</v>
      </c>
    </row>
    <row r="93" spans="1:173" x14ac:dyDescent="0.25">
      <c r="A93" s="71">
        <v>91</v>
      </c>
      <c r="B93" s="69">
        <v>0.1845244046</v>
      </c>
      <c r="C93" s="69">
        <v>0.18409435969999999</v>
      </c>
      <c r="D93" s="69">
        <v>0.1836057281</v>
      </c>
      <c r="E93" s="69">
        <v>0.1830628359</v>
      </c>
      <c r="F93" s="69">
        <v>0.18246975739999999</v>
      </c>
      <c r="G93" s="69">
        <v>0.18183032490000001</v>
      </c>
      <c r="H93" s="69">
        <v>0.1811481398</v>
      </c>
      <c r="I93" s="69">
        <v>0.18042658340000001</v>
      </c>
      <c r="J93" s="69">
        <v>0.1796688276</v>
      </c>
      <c r="K93" s="69">
        <v>0.1788778453</v>
      </c>
      <c r="L93" s="69">
        <v>0.17805642090000001</v>
      </c>
      <c r="M93" s="69">
        <v>0.17720716019999999</v>
      </c>
      <c r="N93" s="69">
        <v>0.1763325006</v>
      </c>
      <c r="O93" s="69">
        <v>0.1754347202</v>
      </c>
      <c r="P93" s="69">
        <v>0.1745159469</v>
      </c>
      <c r="Q93" s="69">
        <v>0.17357816740000001</v>
      </c>
      <c r="R93" s="69">
        <v>0.1726232352</v>
      </c>
      <c r="S93" s="69">
        <v>0.17165287900000001</v>
      </c>
      <c r="T93" s="69">
        <v>0.17066871</v>
      </c>
      <c r="U93" s="69">
        <v>0.1696722292</v>
      </c>
      <c r="V93" s="69">
        <v>0.16866483409999999</v>
      </c>
      <c r="W93" s="69">
        <v>0.1676478257</v>
      </c>
      <c r="X93" s="69">
        <v>0.1666224141</v>
      </c>
      <c r="Y93" s="69">
        <v>0.1655897244</v>
      </c>
      <c r="Z93" s="69">
        <v>0.16455080250000001</v>
      </c>
      <c r="AA93" s="69">
        <v>0.16350661999999999</v>
      </c>
      <c r="AB93" s="69">
        <v>0.16245807879999999</v>
      </c>
      <c r="AC93" s="69">
        <v>0.16140601630000001</v>
      </c>
      <c r="AD93" s="69">
        <v>0.16035120920000001</v>
      </c>
      <c r="AE93" s="69">
        <v>0.15929437760000001</v>
      </c>
      <c r="AF93" s="69">
        <v>0.15823618889999999</v>
      </c>
      <c r="AG93" s="69">
        <v>0.15717726139999999</v>
      </c>
      <c r="AH93" s="69">
        <v>0.1561181673</v>
      </c>
      <c r="AI93" s="69">
        <v>0.15505943629999999</v>
      </c>
      <c r="AJ93" s="69">
        <v>0.15400155779999999</v>
      </c>
      <c r="AK93" s="69">
        <v>0.15294498440000001</v>
      </c>
      <c r="AL93" s="69">
        <v>0.15189013409999999</v>
      </c>
      <c r="AM93" s="69">
        <v>0.15083739230000001</v>
      </c>
      <c r="AN93" s="69">
        <v>0.14978711489999999</v>
      </c>
      <c r="AO93" s="69">
        <v>0.14873962930000001</v>
      </c>
      <c r="AP93" s="69">
        <v>0.14769523749999999</v>
      </c>
      <c r="AQ93" s="69">
        <v>0.14665421670000001</v>
      </c>
      <c r="AR93" s="69">
        <v>0.14561682209999999</v>
      </c>
      <c r="AS93" s="69">
        <v>0.14458328770000001</v>
      </c>
      <c r="AT93" s="69">
        <v>0.14355382799999999</v>
      </c>
      <c r="AU93" s="69">
        <v>0.1425286395</v>
      </c>
      <c r="AV93" s="69">
        <v>0.1415079018</v>
      </c>
      <c r="AW93" s="69">
        <v>0.14049177900000001</v>
      </c>
      <c r="AX93" s="69">
        <v>0.13948042050000001</v>
      </c>
      <c r="AY93" s="69">
        <v>0.13847396209999999</v>
      </c>
      <c r="AZ93" s="69">
        <v>0.13747252739999999</v>
      </c>
      <c r="BA93" s="69">
        <v>0.136476228</v>
      </c>
      <c r="BB93" s="69">
        <v>0.1354851648</v>
      </c>
      <c r="BC93" s="69">
        <v>0.13449942879999999</v>
      </c>
      <c r="BD93" s="69">
        <v>0.1335191013</v>
      </c>
      <c r="BE93" s="69">
        <v>0.13254425519999999</v>
      </c>
      <c r="BF93" s="69">
        <v>0.1315749554</v>
      </c>
      <c r="BG93" s="69">
        <v>0.13061125909999999</v>
      </c>
      <c r="BH93" s="69">
        <v>0.12965321690000001</v>
      </c>
      <c r="BI93" s="69">
        <v>0.1287008727</v>
      </c>
      <c r="BJ93" s="69">
        <v>0.12775426449999999</v>
      </c>
      <c r="BK93" s="69">
        <v>0.12681342500000001</v>
      </c>
      <c r="BL93" s="69">
        <v>0.12587838139999999</v>
      </c>
      <c r="BM93" s="69">
        <v>0.1249491566</v>
      </c>
      <c r="BN93" s="69">
        <v>0.1240257687</v>
      </c>
      <c r="BO93" s="69">
        <v>0.123108232</v>
      </c>
      <c r="BP93" s="69">
        <v>0.122196557</v>
      </c>
      <c r="BQ93" s="69">
        <v>0.1212907505</v>
      </c>
      <c r="BR93" s="69">
        <v>0.1203908164</v>
      </c>
      <c r="BS93" s="69">
        <v>0.1194967555</v>
      </c>
      <c r="BT93" s="69">
        <v>0.11860856559999999</v>
      </c>
      <c r="BU93" s="69">
        <v>0.1177262424</v>
      </c>
      <c r="BV93" s="69">
        <v>0.1168497788</v>
      </c>
      <c r="BW93" s="69">
        <v>0.11597916580000001</v>
      </c>
      <c r="BX93" s="69">
        <v>0.11511439230000001</v>
      </c>
      <c r="BY93" s="69">
        <v>0.1142554455</v>
      </c>
      <c r="BZ93" s="69">
        <v>0.1134023106</v>
      </c>
      <c r="CA93" s="69">
        <v>0.1125549715</v>
      </c>
      <c r="CB93" s="69">
        <v>0.1117134105</v>
      </c>
      <c r="CC93" s="69">
        <v>0.1108776087</v>
      </c>
      <c r="CD93" s="69">
        <v>0.11004754579999999</v>
      </c>
      <c r="CE93" s="69">
        <v>0.1092232006</v>
      </c>
      <c r="CF93" s="69">
        <v>0.1084045508</v>
      </c>
      <c r="CG93" s="69">
        <v>0.1075915729</v>
      </c>
      <c r="CH93" s="69">
        <v>0.10678424290000001</v>
      </c>
      <c r="CI93" s="69">
        <v>0.10598253589999999</v>
      </c>
      <c r="CJ93" s="69">
        <v>0.1051864262</v>
      </c>
      <c r="CK93" s="69">
        <v>0.10439588750000001</v>
      </c>
      <c r="CL93" s="69">
        <v>0.103610893</v>
      </c>
      <c r="CM93" s="69">
        <v>0.1028314151</v>
      </c>
      <c r="CN93" s="69">
        <v>0.10205742600000001</v>
      </c>
      <c r="CO93" s="69">
        <v>0.10128889739999999</v>
      </c>
      <c r="CP93" s="69">
        <v>0.1005258005</v>
      </c>
      <c r="CQ93" s="69">
        <v>9.9768106100000004E-2</v>
      </c>
      <c r="CR93" s="69">
        <v>9.9015784999999995E-2</v>
      </c>
      <c r="CS93" s="69">
        <v>9.8268807299999997E-2</v>
      </c>
      <c r="CT93" s="69">
        <v>9.7527143199999999E-2</v>
      </c>
      <c r="CU93" s="69">
        <v>9.6790762500000002E-2</v>
      </c>
      <c r="CV93" s="69">
        <v>9.6059634899999996E-2</v>
      </c>
      <c r="CW93" s="69">
        <v>9.5333729899999997E-2</v>
      </c>
      <c r="CX93" s="69">
        <v>9.4613016800000005E-2</v>
      </c>
      <c r="CY93" s="69">
        <v>9.3897464999999999E-2</v>
      </c>
      <c r="CZ93" s="69">
        <v>9.3187043499999997E-2</v>
      </c>
      <c r="DA93" s="69">
        <v>9.2481721399999994E-2</v>
      </c>
      <c r="DB93" s="69">
        <v>9.1781467800000002E-2</v>
      </c>
      <c r="DC93" s="69">
        <v>9.1086251800000004E-2</v>
      </c>
      <c r="DD93" s="69">
        <v>9.0396042100000004E-2</v>
      </c>
      <c r="DE93" s="69">
        <v>8.9710807899999995E-2</v>
      </c>
      <c r="DF93" s="69">
        <v>8.9030518099999997E-2</v>
      </c>
      <c r="DG93" s="69">
        <v>8.8355141700000001E-2</v>
      </c>
      <c r="DH93" s="69">
        <v>8.7684647599999999E-2</v>
      </c>
      <c r="DI93" s="69">
        <v>8.7019004999999996E-2</v>
      </c>
      <c r="DJ93" s="69">
        <v>8.6358182899999997E-2</v>
      </c>
      <c r="DK93" s="69">
        <v>8.5702150500000004E-2</v>
      </c>
      <c r="DL93" s="69">
        <v>8.5050877100000005E-2</v>
      </c>
      <c r="DM93" s="69">
        <v>8.4404331900000004E-2</v>
      </c>
      <c r="DN93" s="69">
        <v>8.3762484299999995E-2</v>
      </c>
      <c r="DO93" s="69">
        <v>8.31253037E-2</v>
      </c>
      <c r="DP93" s="69">
        <v>8.2492759799999996E-2</v>
      </c>
      <c r="DQ93" s="69">
        <v>8.1864822200000006E-2</v>
      </c>
      <c r="DR93" s="69">
        <v>8.1241460700000004E-2</v>
      </c>
      <c r="DS93" s="69">
        <v>8.0622645100000001E-2</v>
      </c>
      <c r="DT93" s="69">
        <v>8.00083454E-2</v>
      </c>
      <c r="DU93" s="69">
        <v>7.9398531699999997E-2</v>
      </c>
      <c r="DV93" s="69">
        <v>7.8793174300000005E-2</v>
      </c>
      <c r="DW93" s="69">
        <v>7.8192243499999994E-2</v>
      </c>
      <c r="DX93" s="69">
        <v>7.7595709700000001E-2</v>
      </c>
      <c r="DY93" s="69">
        <v>7.7003543600000002E-2</v>
      </c>
      <c r="DZ93" s="69">
        <v>7.6415715999999995E-2</v>
      </c>
      <c r="EA93" s="69">
        <v>7.5832197599999998E-2</v>
      </c>
      <c r="EB93" s="69">
        <v>7.5252959499999994E-2</v>
      </c>
      <c r="EC93" s="69">
        <v>7.46779729E-2</v>
      </c>
      <c r="ED93" s="69">
        <v>7.4107208999999993E-2</v>
      </c>
      <c r="EE93" s="69">
        <v>7.3540639300000002E-2</v>
      </c>
      <c r="EF93" s="69">
        <v>7.2978235399999994E-2</v>
      </c>
      <c r="EG93" s="69">
        <v>7.2419968900000006E-2</v>
      </c>
      <c r="EH93" s="69">
        <v>7.1865811700000004E-2</v>
      </c>
      <c r="EI93" s="69">
        <v>7.1315735899999996E-2</v>
      </c>
      <c r="EJ93" s="69">
        <v>7.07697137E-2</v>
      </c>
      <c r="EK93" s="69">
        <v>7.0227717199999998E-2</v>
      </c>
      <c r="EL93" s="69">
        <v>6.9689719100000005E-2</v>
      </c>
      <c r="EM93" s="69">
        <v>6.9155691800000002E-2</v>
      </c>
      <c r="EN93" s="69">
        <v>6.8625608199999993E-2</v>
      </c>
      <c r="EO93" s="69">
        <v>6.8099441199999999E-2</v>
      </c>
      <c r="EP93" s="69">
        <v>6.7577163800000006E-2</v>
      </c>
      <c r="EQ93" s="69">
        <v>6.7058749200000003E-2</v>
      </c>
      <c r="ER93" s="69">
        <v>6.6544170900000005E-2</v>
      </c>
      <c r="ES93" s="69">
        <v>6.6033402300000002E-2</v>
      </c>
      <c r="ET93" s="69">
        <v>6.5526417200000006E-2</v>
      </c>
      <c r="EU93" s="69">
        <v>6.5023189199999998E-2</v>
      </c>
      <c r="EV93" s="69">
        <v>6.4523692499999993E-2</v>
      </c>
      <c r="EW93" s="69">
        <v>6.4027901100000006E-2</v>
      </c>
      <c r="EX93" s="69">
        <v>6.3535789300000006E-2</v>
      </c>
      <c r="EY93" s="69">
        <v>6.3047331499999998E-2</v>
      </c>
      <c r="EZ93" s="69">
        <v>6.2562502300000003E-2</v>
      </c>
      <c r="FA93" s="69">
        <v>6.2081276499999997E-2</v>
      </c>
      <c r="FB93" s="69">
        <v>6.1603629E-2</v>
      </c>
      <c r="FC93" s="69">
        <v>6.1129534700000002E-2</v>
      </c>
      <c r="FD93" s="69">
        <v>6.0658968799999997E-2</v>
      </c>
      <c r="FE93" s="69">
        <v>6.0191906699999999E-2</v>
      </c>
      <c r="FF93" s="69">
        <v>5.9728323899999998E-2</v>
      </c>
      <c r="FG93" s="69">
        <v>5.9268195900000001E-2</v>
      </c>
      <c r="FH93" s="69">
        <v>5.8811498599999998E-2</v>
      </c>
      <c r="FI93" s="69">
        <v>5.83582079E-2</v>
      </c>
      <c r="FJ93" s="69">
        <v>5.7908299900000001E-2</v>
      </c>
      <c r="FK93" s="69">
        <v>5.7461750800000003E-2</v>
      </c>
      <c r="FL93" s="69">
        <v>5.70185369E-2</v>
      </c>
      <c r="FM93" s="69">
        <v>5.6578634799999999E-2</v>
      </c>
      <c r="FN93" s="69">
        <v>5.6142021100000002E-2</v>
      </c>
      <c r="FO93" s="69">
        <v>5.5708672700000003E-2</v>
      </c>
      <c r="FP93" s="69">
        <v>5.5278566500000001E-2</v>
      </c>
      <c r="FQ93" s="69">
        <v>5.48516795E-2</v>
      </c>
    </row>
    <row r="94" spans="1:173" x14ac:dyDescent="0.25">
      <c r="A94" s="71">
        <v>92</v>
      </c>
      <c r="B94" s="69">
        <v>0.20287223879999999</v>
      </c>
      <c r="C94" s="69">
        <v>0.20253654900000001</v>
      </c>
      <c r="D94" s="69">
        <v>0.20213789909999999</v>
      </c>
      <c r="E94" s="69">
        <v>0.20168081139999999</v>
      </c>
      <c r="F94" s="69">
        <v>0.20116954470000001</v>
      </c>
      <c r="G94" s="69">
        <v>0.20060810549999999</v>
      </c>
      <c r="H94" s="69">
        <v>0.20000025939999999</v>
      </c>
      <c r="I94" s="69">
        <v>0.19934954269999999</v>
      </c>
      <c r="J94" s="69">
        <v>0.19865927350000001</v>
      </c>
      <c r="K94" s="69">
        <v>0.1979325629</v>
      </c>
      <c r="L94" s="69">
        <v>0.19717232570000001</v>
      </c>
      <c r="M94" s="69">
        <v>0.1963812912</v>
      </c>
      <c r="N94" s="69">
        <v>0.19556201340000001</v>
      </c>
      <c r="O94" s="69">
        <v>0.19471688070000001</v>
      </c>
      <c r="P94" s="69">
        <v>0.19384812539999999</v>
      </c>
      <c r="Q94" s="69">
        <v>0.192957833</v>
      </c>
      <c r="R94" s="69">
        <v>0.1920479507</v>
      </c>
      <c r="S94" s="69">
        <v>0.191120296</v>
      </c>
      <c r="T94" s="69">
        <v>0.19017656399999999</v>
      </c>
      <c r="U94" s="69">
        <v>0.1892183355</v>
      </c>
      <c r="V94" s="69">
        <v>0.18824708370000001</v>
      </c>
      <c r="W94" s="69">
        <v>0.1872641813</v>
      </c>
      <c r="X94" s="69">
        <v>0.18627090660000001</v>
      </c>
      <c r="Y94" s="69">
        <v>0.18526844940000001</v>
      </c>
      <c r="Z94" s="69">
        <v>0.18425791699999999</v>
      </c>
      <c r="AA94" s="69">
        <v>0.18324033940000001</v>
      </c>
      <c r="AB94" s="69">
        <v>0.18221667429999999</v>
      </c>
      <c r="AC94" s="69">
        <v>0.18118781170000001</v>
      </c>
      <c r="AD94" s="69">
        <v>0.1801545786</v>
      </c>
      <c r="AE94" s="69">
        <v>0.1791177431</v>
      </c>
      <c r="AF94" s="69">
        <v>0.17807801819999999</v>
      </c>
      <c r="AG94" s="69">
        <v>0.1770360654</v>
      </c>
      <c r="AH94" s="69">
        <v>0.17599249859999999</v>
      </c>
      <c r="AI94" s="69">
        <v>0.17494788659999999</v>
      </c>
      <c r="AJ94" s="69">
        <v>0.17390275690000001</v>
      </c>
      <c r="AK94" s="69">
        <v>0.17285759780000001</v>
      </c>
      <c r="AL94" s="69">
        <v>0.17181286160000001</v>
      </c>
      <c r="AM94" s="69">
        <v>0.1707689668</v>
      </c>
      <c r="AN94" s="69">
        <v>0.16972630029999999</v>
      </c>
      <c r="AO94" s="69">
        <v>0.16868521980000001</v>
      </c>
      <c r="AP94" s="69">
        <v>0.1676460558</v>
      </c>
      <c r="AQ94" s="69">
        <v>0.1666091133</v>
      </c>
      <c r="AR94" s="69">
        <v>0.16557467349999999</v>
      </c>
      <c r="AS94" s="69">
        <v>0.16454299580000001</v>
      </c>
      <c r="AT94" s="69">
        <v>0.1635143191</v>
      </c>
      <c r="AU94" s="69">
        <v>0.16248886300000001</v>
      </c>
      <c r="AV94" s="69">
        <v>0.1614668296</v>
      </c>
      <c r="AW94" s="69">
        <v>0.16044840430000001</v>
      </c>
      <c r="AX94" s="69">
        <v>0.15943375730000001</v>
      </c>
      <c r="AY94" s="69">
        <v>0.1584230445</v>
      </c>
      <c r="AZ94" s="69">
        <v>0.1574164083</v>
      </c>
      <c r="BA94" s="69">
        <v>0.15641397909999999</v>
      </c>
      <c r="BB94" s="69">
        <v>0.15541587549999999</v>
      </c>
      <c r="BC94" s="69">
        <v>0.1544222056</v>
      </c>
      <c r="BD94" s="69">
        <v>0.15343306749999999</v>
      </c>
      <c r="BE94" s="69">
        <v>0.15244855030000001</v>
      </c>
      <c r="BF94" s="69">
        <v>0.15146873420000001</v>
      </c>
      <c r="BG94" s="69">
        <v>0.1504936918</v>
      </c>
      <c r="BH94" s="69">
        <v>0.1495234879</v>
      </c>
      <c r="BI94" s="69">
        <v>0.1485581809</v>
      </c>
      <c r="BJ94" s="69">
        <v>0.1475978225</v>
      </c>
      <c r="BK94" s="69">
        <v>0.1466424586</v>
      </c>
      <c r="BL94" s="69">
        <v>0.1456921296</v>
      </c>
      <c r="BM94" s="69">
        <v>0.14474687089999999</v>
      </c>
      <c r="BN94" s="69">
        <v>0.14380671289999999</v>
      </c>
      <c r="BO94" s="69">
        <v>0.14287168189999999</v>
      </c>
      <c r="BP94" s="69">
        <v>0.14194180009999999</v>
      </c>
      <c r="BQ94" s="69">
        <v>0.1410170858</v>
      </c>
      <c r="BR94" s="69">
        <v>0.1400975539</v>
      </c>
      <c r="BS94" s="69">
        <v>0.139183216</v>
      </c>
      <c r="BT94" s="69">
        <v>0.1382740807</v>
      </c>
      <c r="BU94" s="69">
        <v>0.13737015399999999</v>
      </c>
      <c r="BV94" s="69">
        <v>0.136471439</v>
      </c>
      <c r="BW94" s="69">
        <v>0.1355779366</v>
      </c>
      <c r="BX94" s="69">
        <v>0.1346896457</v>
      </c>
      <c r="BY94" s="69">
        <v>0.1338065628</v>
      </c>
      <c r="BZ94" s="69">
        <v>0.13292868259999999</v>
      </c>
      <c r="CA94" s="69">
        <v>0.13205599840000001</v>
      </c>
      <c r="CB94" s="69">
        <v>0.13118850130000001</v>
      </c>
      <c r="CC94" s="69">
        <v>0.1303261815</v>
      </c>
      <c r="CD94" s="69">
        <v>0.12946902739999999</v>
      </c>
      <c r="CE94" s="69">
        <v>0.1286170264</v>
      </c>
      <c r="CF94" s="69">
        <v>0.12777016469999999</v>
      </c>
      <c r="CG94" s="69">
        <v>0.1269284272</v>
      </c>
      <c r="CH94" s="69">
        <v>0.12609179810000001</v>
      </c>
      <c r="CI94" s="69">
        <v>0.1252602605</v>
      </c>
      <c r="CJ94" s="69">
        <v>0.1244337969</v>
      </c>
      <c r="CK94" s="69">
        <v>0.1236123888</v>
      </c>
      <c r="CL94" s="69">
        <v>0.1227960171</v>
      </c>
      <c r="CM94" s="69">
        <v>0.12198466199999999</v>
      </c>
      <c r="CN94" s="69">
        <v>0.1211783033</v>
      </c>
      <c r="CO94" s="69">
        <v>0.12037692</v>
      </c>
      <c r="CP94" s="69">
        <v>0.11958049079999999</v>
      </c>
      <c r="CQ94" s="69">
        <v>0.1187889939</v>
      </c>
      <c r="CR94" s="69">
        <v>0.11800240720000001</v>
      </c>
      <c r="CS94" s="69">
        <v>0.11722070800000001</v>
      </c>
      <c r="CT94" s="69">
        <v>0.1164438736</v>
      </c>
      <c r="CU94" s="69">
        <v>0.11567188069999999</v>
      </c>
      <c r="CV94" s="69">
        <v>0.1149047059</v>
      </c>
      <c r="CW94" s="69">
        <v>0.1141423256</v>
      </c>
      <c r="CX94" s="69">
        <v>0.1133847159</v>
      </c>
      <c r="CY94" s="69">
        <v>0.1126318526</v>
      </c>
      <c r="CZ94" s="69">
        <v>0.1118837117</v>
      </c>
      <c r="DA94" s="69">
        <v>0.1111402688</v>
      </c>
      <c r="DB94" s="69">
        <v>0.1104014993</v>
      </c>
      <c r="DC94" s="69">
        <v>0.10966737880000001</v>
      </c>
      <c r="DD94" s="69">
        <v>0.1089378825</v>
      </c>
      <c r="DE94" s="69">
        <v>0.10821298579999999</v>
      </c>
      <c r="DF94" s="69">
        <v>0.10749266389999999</v>
      </c>
      <c r="DG94" s="69">
        <v>0.1067768918</v>
      </c>
      <c r="DH94" s="69">
        <v>0.10606564490000001</v>
      </c>
      <c r="DI94" s="69">
        <v>0.1053588982</v>
      </c>
      <c r="DJ94" s="69">
        <v>0.1046566268</v>
      </c>
      <c r="DK94" s="69">
        <v>0.10395880590000001</v>
      </c>
      <c r="DL94" s="69">
        <v>0.1032654106</v>
      </c>
      <c r="DM94" s="69">
        <v>0.10257641620000001</v>
      </c>
      <c r="DN94" s="69">
        <v>0.10189179769999999</v>
      </c>
      <c r="DO94" s="69">
        <v>0.1012115304</v>
      </c>
      <c r="DP94" s="69">
        <v>0.10053558949999999</v>
      </c>
      <c r="DQ94" s="69">
        <v>9.9863950500000007E-2</v>
      </c>
      <c r="DR94" s="69">
        <v>9.9196588700000005E-2</v>
      </c>
      <c r="DS94" s="69">
        <v>9.8533479500000007E-2</v>
      </c>
      <c r="DT94" s="69">
        <v>9.7874598399999999E-2</v>
      </c>
      <c r="DU94" s="69">
        <v>9.7219921000000001E-2</v>
      </c>
      <c r="DV94" s="69">
        <v>9.6569422899999993E-2</v>
      </c>
      <c r="DW94" s="69">
        <v>9.5923079800000005E-2</v>
      </c>
      <c r="DX94" s="69">
        <v>9.5280867599999999E-2</v>
      </c>
      <c r="DY94" s="69">
        <v>9.4642762199999994E-2</v>
      </c>
      <c r="DZ94" s="69">
        <v>9.4008739399999999E-2</v>
      </c>
      <c r="EA94" s="69">
        <v>9.3378775400000003E-2</v>
      </c>
      <c r="EB94" s="69">
        <v>9.2752846400000005E-2</v>
      </c>
      <c r="EC94" s="69">
        <v>9.2130928500000001E-2</v>
      </c>
      <c r="ED94" s="69">
        <v>9.1512998100000006E-2</v>
      </c>
      <c r="EE94" s="69">
        <v>9.0899031699999994E-2</v>
      </c>
      <c r="EF94" s="69">
        <v>9.0289005800000002E-2</v>
      </c>
      <c r="EG94" s="69">
        <v>8.9682896999999998E-2</v>
      </c>
      <c r="EH94" s="69">
        <v>8.9080682199999997E-2</v>
      </c>
      <c r="EI94" s="69">
        <v>8.8482337999999994E-2</v>
      </c>
      <c r="EJ94" s="69">
        <v>8.7887841600000002E-2</v>
      </c>
      <c r="EK94" s="69">
        <v>8.7297169899999999E-2</v>
      </c>
      <c r="EL94" s="69">
        <v>8.6710300099999998E-2</v>
      </c>
      <c r="EM94" s="69">
        <v>8.6127209600000004E-2</v>
      </c>
      <c r="EN94" s="69">
        <v>8.5547875600000003E-2</v>
      </c>
      <c r="EO94" s="69">
        <v>8.4972275700000002E-2</v>
      </c>
      <c r="EP94" s="69">
        <v>8.4400387499999993E-2</v>
      </c>
      <c r="EQ94" s="69">
        <v>8.3832188700000004E-2</v>
      </c>
      <c r="ER94" s="69">
        <v>8.3267657199999998E-2</v>
      </c>
      <c r="ES94" s="69">
        <v>8.2706770799999996E-2</v>
      </c>
      <c r="ET94" s="69">
        <v>8.2149507600000005E-2</v>
      </c>
      <c r="EU94" s="69">
        <v>8.1595845700000003E-2</v>
      </c>
      <c r="EV94" s="69">
        <v>8.1045763500000007E-2</v>
      </c>
      <c r="EW94" s="69">
        <v>8.0499239400000006E-2</v>
      </c>
      <c r="EX94" s="69">
        <v>7.9956251699999994E-2</v>
      </c>
      <c r="EY94" s="69">
        <v>7.9416779100000001E-2</v>
      </c>
      <c r="EZ94" s="69">
        <v>7.8880800400000006E-2</v>
      </c>
      <c r="FA94" s="69">
        <v>7.8348294400000004E-2</v>
      </c>
      <c r="FB94" s="69">
        <v>7.7819239900000003E-2</v>
      </c>
      <c r="FC94" s="69">
        <v>7.7293616100000004E-2</v>
      </c>
      <c r="FD94" s="69">
        <v>7.6771402099999997E-2</v>
      </c>
      <c r="FE94" s="69">
        <v>7.6252577200000005E-2</v>
      </c>
      <c r="FF94" s="69">
        <v>7.5737120800000002E-2</v>
      </c>
      <c r="FG94" s="69">
        <v>7.5225012300000005E-2</v>
      </c>
      <c r="FH94" s="69">
        <v>7.4716231399999999E-2</v>
      </c>
      <c r="FI94" s="69">
        <v>7.4210757700000005E-2</v>
      </c>
      <c r="FJ94" s="69">
        <v>7.3708571200000003E-2</v>
      </c>
      <c r="FK94" s="69">
        <v>7.3209651700000003E-2</v>
      </c>
      <c r="FL94" s="69">
        <v>7.2713979400000003E-2</v>
      </c>
      <c r="FM94" s="69">
        <v>7.2221534200000007E-2</v>
      </c>
      <c r="FN94" s="69">
        <v>7.1732296500000001E-2</v>
      </c>
      <c r="FO94" s="69">
        <v>7.1246246799999996E-2</v>
      </c>
      <c r="FP94" s="69">
        <v>7.0763365300000006E-2</v>
      </c>
      <c r="FQ94" s="69">
        <v>7.0283632799999995E-2</v>
      </c>
    </row>
    <row r="95" spans="1:173" x14ac:dyDescent="0.25">
      <c r="A95" s="71">
        <v>93</v>
      </c>
      <c r="B95" s="69">
        <v>0.22215990290000001</v>
      </c>
      <c r="C95" s="69">
        <v>0.22193228979999999</v>
      </c>
      <c r="D95" s="69">
        <v>0.221637742</v>
      </c>
      <c r="E95" s="69">
        <v>0.221280963</v>
      </c>
      <c r="F95" s="69">
        <v>0.22086638110000001</v>
      </c>
      <c r="G95" s="69">
        <v>0.22039816200000001</v>
      </c>
      <c r="H95" s="69">
        <v>0.21988022030000001</v>
      </c>
      <c r="I95" s="69">
        <v>0.2193162323</v>
      </c>
      <c r="J95" s="69">
        <v>0.2187096476</v>
      </c>
      <c r="K95" s="69">
        <v>0.2180637007</v>
      </c>
      <c r="L95" s="69">
        <v>0.21738142260000001</v>
      </c>
      <c r="M95" s="69">
        <v>0.2166656522</v>
      </c>
      <c r="N95" s="69">
        <v>0.21591904619999999</v>
      </c>
      <c r="O95" s="69">
        <v>0.21514409030000001</v>
      </c>
      <c r="P95" s="69">
        <v>0.2143431083</v>
      </c>
      <c r="Q95" s="69">
        <v>0.2135182722</v>
      </c>
      <c r="R95" s="69">
        <v>0.21267161079999999</v>
      </c>
      <c r="S95" s="69">
        <v>0.21180501860000001</v>
      </c>
      <c r="T95" s="69">
        <v>0.21092026380000001</v>
      </c>
      <c r="U95" s="69">
        <v>0.2100189962</v>
      </c>
      <c r="V95" s="69">
        <v>0.2091027543</v>
      </c>
      <c r="W95" s="69">
        <v>0.20817297260000001</v>
      </c>
      <c r="X95" s="69">
        <v>0.207230988</v>
      </c>
      <c r="Y95" s="69">
        <v>0.20627804599999999</v>
      </c>
      <c r="Z95" s="69">
        <v>0.2053153066</v>
      </c>
      <c r="AA95" s="69">
        <v>0.2043438498</v>
      </c>
      <c r="AB95" s="69">
        <v>0.2033646808</v>
      </c>
      <c r="AC95" s="69">
        <v>0.20237873470000001</v>
      </c>
      <c r="AD95" s="69">
        <v>0.2013868815</v>
      </c>
      <c r="AE95" s="69">
        <v>0.20038992990000001</v>
      </c>
      <c r="AF95" s="69">
        <v>0.19938863179999999</v>
      </c>
      <c r="AG95" s="69">
        <v>0.19838368570000001</v>
      </c>
      <c r="AH95" s="69">
        <v>0.19737574050000001</v>
      </c>
      <c r="AI95" s="69">
        <v>0.1963653987</v>
      </c>
      <c r="AJ95" s="69">
        <v>0.19535321950000001</v>
      </c>
      <c r="AK95" s="69">
        <v>0.1943397217</v>
      </c>
      <c r="AL95" s="69">
        <v>0.19332538669999999</v>
      </c>
      <c r="AM95" s="69">
        <v>0.19231066059999999</v>
      </c>
      <c r="AN95" s="69">
        <v>0.19129595699999999</v>
      </c>
      <c r="AO95" s="69">
        <v>0.19028165869999999</v>
      </c>
      <c r="AP95" s="69">
        <v>0.18926812039999999</v>
      </c>
      <c r="AQ95" s="69">
        <v>0.1882556702</v>
      </c>
      <c r="AR95" s="69">
        <v>0.1872446116</v>
      </c>
      <c r="AS95" s="69">
        <v>0.18623522519999999</v>
      </c>
      <c r="AT95" s="69">
        <v>0.18522777009999999</v>
      </c>
      <c r="AU95" s="69">
        <v>0.1842224855</v>
      </c>
      <c r="AV95" s="69">
        <v>0.18321959209999999</v>
      </c>
      <c r="AW95" s="69">
        <v>0.18221929349999999</v>
      </c>
      <c r="AX95" s="69">
        <v>0.18122177680000001</v>
      </c>
      <c r="AY95" s="69">
        <v>0.18022721480000001</v>
      </c>
      <c r="AZ95" s="69">
        <v>0.17923576569999999</v>
      </c>
      <c r="BA95" s="69">
        <v>0.17824757529999999</v>
      </c>
      <c r="BB95" s="69">
        <v>0.1772627772</v>
      </c>
      <c r="BC95" s="69">
        <v>0.17628149360000001</v>
      </c>
      <c r="BD95" s="69">
        <v>0.1753038365</v>
      </c>
      <c r="BE95" s="69">
        <v>0.17432990819999999</v>
      </c>
      <c r="BF95" s="69">
        <v>0.1733598019</v>
      </c>
      <c r="BG95" s="69">
        <v>0.17239360249999999</v>
      </c>
      <c r="BH95" s="69">
        <v>0.1714313871</v>
      </c>
      <c r="BI95" s="69">
        <v>0.1704732256</v>
      </c>
      <c r="BJ95" s="69">
        <v>0.16951918099999999</v>
      </c>
      <c r="BK95" s="69">
        <v>0.16856931040000001</v>
      </c>
      <c r="BL95" s="69">
        <v>0.16762366470000001</v>
      </c>
      <c r="BM95" s="69">
        <v>0.16668228970000001</v>
      </c>
      <c r="BN95" s="69">
        <v>0.165745226</v>
      </c>
      <c r="BO95" s="69">
        <v>0.1648125097</v>
      </c>
      <c r="BP95" s="69">
        <v>0.1638841724</v>
      </c>
      <c r="BQ95" s="69">
        <v>0.16296024200000001</v>
      </c>
      <c r="BR95" s="69">
        <v>0.16204074239999999</v>
      </c>
      <c r="BS95" s="69">
        <v>0.16112569400000001</v>
      </c>
      <c r="BT95" s="69">
        <v>0.1602151144</v>
      </c>
      <c r="BU95" s="69">
        <v>0.1593090177</v>
      </c>
      <c r="BV95" s="69">
        <v>0.1584074157</v>
      </c>
      <c r="BW95" s="69">
        <v>0.15751031730000001</v>
      </c>
      <c r="BX95" s="69">
        <v>0.15661772930000001</v>
      </c>
      <c r="BY95" s="69">
        <v>0.15572965620000001</v>
      </c>
      <c r="BZ95" s="69">
        <v>0.15484610039999999</v>
      </c>
      <c r="CA95" s="69">
        <v>0.1539670625</v>
      </c>
      <c r="CB95" s="69">
        <v>0.15309254150000001</v>
      </c>
      <c r="CC95" s="69">
        <v>0.15222253450000001</v>
      </c>
      <c r="CD95" s="69">
        <v>0.15135703719999999</v>
      </c>
      <c r="CE95" s="69">
        <v>0.15049604420000001</v>
      </c>
      <c r="CF95" s="69">
        <v>0.1496395485</v>
      </c>
      <c r="CG95" s="69">
        <v>0.14878754199999999</v>
      </c>
      <c r="CH95" s="69">
        <v>0.1479400156</v>
      </c>
      <c r="CI95" s="69">
        <v>0.14709695910000001</v>
      </c>
      <c r="CJ95" s="69">
        <v>0.14625836170000001</v>
      </c>
      <c r="CK95" s="69">
        <v>0.14542421119999999</v>
      </c>
      <c r="CL95" s="69">
        <v>0.1445944951</v>
      </c>
      <c r="CM95" s="69">
        <v>0.14376920000000001</v>
      </c>
      <c r="CN95" s="69">
        <v>0.14294831180000001</v>
      </c>
      <c r="CO95" s="69">
        <v>0.14213181590000001</v>
      </c>
      <c r="CP95" s="69">
        <v>0.1413196971</v>
      </c>
      <c r="CQ95" s="69">
        <v>0.14051193980000001</v>
      </c>
      <c r="CR95" s="69">
        <v>0.13970852759999999</v>
      </c>
      <c r="CS95" s="69">
        <v>0.13890944420000001</v>
      </c>
      <c r="CT95" s="69">
        <v>0.1381146724</v>
      </c>
      <c r="CU95" s="69">
        <v>0.13732419509999999</v>
      </c>
      <c r="CV95" s="69">
        <v>0.13653799459999999</v>
      </c>
      <c r="CW95" s="69">
        <v>0.13575605290000001</v>
      </c>
      <c r="CX95" s="69">
        <v>0.1349783521</v>
      </c>
      <c r="CY95" s="69">
        <v>0.1342048736</v>
      </c>
      <c r="CZ95" s="69">
        <v>0.1334355988</v>
      </c>
      <c r="DA95" s="69">
        <v>0.1326705091</v>
      </c>
      <c r="DB95" s="69">
        <v>0.13190958550000001</v>
      </c>
      <c r="DC95" s="69">
        <v>0.1311528089</v>
      </c>
      <c r="DD95" s="69">
        <v>0.1304001601</v>
      </c>
      <c r="DE95" s="69">
        <v>0.12965161980000001</v>
      </c>
      <c r="DF95" s="69">
        <v>0.12890716869999999</v>
      </c>
      <c r="DG95" s="69">
        <v>0.12816678719999999</v>
      </c>
      <c r="DH95" s="69">
        <v>0.12743045580000001</v>
      </c>
      <c r="DI95" s="69">
        <v>0.1266981549</v>
      </c>
      <c r="DJ95" s="69">
        <v>0.12596986490000001</v>
      </c>
      <c r="DK95" s="69">
        <v>0.12524556619999999</v>
      </c>
      <c r="DL95" s="69">
        <v>0.124525239</v>
      </c>
      <c r="DM95" s="69">
        <v>0.1238088636</v>
      </c>
      <c r="DN95" s="69">
        <v>0.1230964205</v>
      </c>
      <c r="DO95" s="69">
        <v>0.1223878899</v>
      </c>
      <c r="DP95" s="69">
        <v>0.12168325200000001</v>
      </c>
      <c r="DQ95" s="69">
        <v>0.12098248740000001</v>
      </c>
      <c r="DR95" s="69">
        <v>0.1202855763</v>
      </c>
      <c r="DS95" s="69">
        <v>0.1195924991</v>
      </c>
      <c r="DT95" s="69">
        <v>0.11890323630000001</v>
      </c>
      <c r="DU95" s="69">
        <v>0.11821776840000001</v>
      </c>
      <c r="DV95" s="69">
        <v>0.1175360758</v>
      </c>
      <c r="DW95" s="69">
        <v>0.1168581392</v>
      </c>
      <c r="DX95" s="69">
        <v>0.1161839392</v>
      </c>
      <c r="DY95" s="69">
        <v>0.1155134565</v>
      </c>
      <c r="DZ95" s="69">
        <v>0.1148466717</v>
      </c>
      <c r="EA95" s="69">
        <v>0.1141835658</v>
      </c>
      <c r="EB95" s="69">
        <v>0.1135241196</v>
      </c>
      <c r="EC95" s="69">
        <v>0.112868314</v>
      </c>
      <c r="ED95" s="69">
        <v>0.11221613</v>
      </c>
      <c r="EE95" s="69">
        <v>0.1115675488</v>
      </c>
      <c r="EF95" s="69">
        <v>0.1109225514</v>
      </c>
      <c r="EG95" s="69">
        <v>0.1102811192</v>
      </c>
      <c r="EH95" s="69">
        <v>0.1096432333</v>
      </c>
      <c r="EI95" s="69">
        <v>0.1090088753</v>
      </c>
      <c r="EJ95" s="69">
        <v>0.1083780265</v>
      </c>
      <c r="EK95" s="69">
        <v>0.10775066849999999</v>
      </c>
      <c r="EL95" s="69">
        <v>0.10712678289999999</v>
      </c>
      <c r="EM95" s="69">
        <v>0.1065063515</v>
      </c>
      <c r="EN95" s="69">
        <v>0.1058893561</v>
      </c>
      <c r="EO95" s="69">
        <v>0.10527577840000001</v>
      </c>
      <c r="EP95" s="69">
        <v>0.10466560060000001</v>
      </c>
      <c r="EQ95" s="69">
        <v>0.1040588045</v>
      </c>
      <c r="ER95" s="69">
        <v>0.1034553724</v>
      </c>
      <c r="ES95" s="69">
        <v>0.1028552865</v>
      </c>
      <c r="ET95" s="69">
        <v>0.102258529</v>
      </c>
      <c r="EU95" s="69">
        <v>0.1016650824</v>
      </c>
      <c r="EV95" s="69">
        <v>0.1010749291</v>
      </c>
      <c r="EW95" s="69">
        <v>0.10048805180000001</v>
      </c>
      <c r="EX95" s="69">
        <v>9.9904433000000001E-2</v>
      </c>
      <c r="EY95" s="69">
        <v>9.93240554E-2</v>
      </c>
      <c r="EZ95" s="69">
        <v>9.8746901999999998E-2</v>
      </c>
      <c r="FA95" s="69">
        <v>9.81729556E-2</v>
      </c>
      <c r="FB95" s="69">
        <v>9.7602199200000003E-2</v>
      </c>
      <c r="FC95" s="69">
        <v>9.7034615899999996E-2</v>
      </c>
      <c r="FD95" s="69">
        <v>9.6470188900000003E-2</v>
      </c>
      <c r="FE95" s="69">
        <v>9.5908901399999996E-2</v>
      </c>
      <c r="FF95" s="69">
        <v>9.5350736699999994E-2</v>
      </c>
      <c r="FG95" s="69">
        <v>9.47956784E-2</v>
      </c>
      <c r="FH95" s="69">
        <v>9.4243709800000006E-2</v>
      </c>
      <c r="FI95" s="69">
        <v>9.3694814599999995E-2</v>
      </c>
      <c r="FJ95" s="69">
        <v>9.3148976499999994E-2</v>
      </c>
      <c r="FK95" s="69">
        <v>9.2606179199999999E-2</v>
      </c>
      <c r="FL95" s="69">
        <v>9.2066406599999998E-2</v>
      </c>
      <c r="FM95" s="69">
        <v>9.1529642600000002E-2</v>
      </c>
      <c r="FN95" s="69">
        <v>9.0995871300000003E-2</v>
      </c>
      <c r="FO95" s="69">
        <v>9.0465076800000002E-2</v>
      </c>
      <c r="FP95" s="69">
        <v>8.9937243099999994E-2</v>
      </c>
      <c r="FQ95" s="69">
        <v>8.9412354700000002E-2</v>
      </c>
    </row>
    <row r="96" spans="1:173" x14ac:dyDescent="0.25">
      <c r="A96" s="71">
        <v>94</v>
      </c>
      <c r="B96" s="69">
        <v>0.242267601</v>
      </c>
      <c r="C96" s="69">
        <v>0.2421599384</v>
      </c>
      <c r="D96" s="69">
        <v>0.2419818661</v>
      </c>
      <c r="E96" s="69">
        <v>0.24173825260000001</v>
      </c>
      <c r="F96" s="69">
        <v>0.24143367930000001</v>
      </c>
      <c r="G96" s="69">
        <v>0.24107245420000001</v>
      </c>
      <c r="H96" s="69">
        <v>0.24065862460000001</v>
      </c>
      <c r="I96" s="69">
        <v>0.2401959903</v>
      </c>
      <c r="J96" s="69">
        <v>0.23968811609999999</v>
      </c>
      <c r="K96" s="69">
        <v>0.2391383443</v>
      </c>
      <c r="L96" s="69">
        <v>0.23854980649999999</v>
      </c>
      <c r="M96" s="69">
        <v>0.23792543560000001</v>
      </c>
      <c r="N96" s="69">
        <v>0.23726797669999999</v>
      </c>
      <c r="O96" s="69">
        <v>0.23657999809999999</v>
      </c>
      <c r="P96" s="69">
        <v>0.2358639015</v>
      </c>
      <c r="Q96" s="69">
        <v>0.23512193170000001</v>
      </c>
      <c r="R96" s="69">
        <v>0.23435618620000001</v>
      </c>
      <c r="S96" s="69">
        <v>0.2335686243</v>
      </c>
      <c r="T96" s="69">
        <v>0.2327610748</v>
      </c>
      <c r="U96" s="69">
        <v>0.23193524500000001</v>
      </c>
      <c r="V96" s="69">
        <v>0.2310927277</v>
      </c>
      <c r="W96" s="69">
        <v>0.2302350085</v>
      </c>
      <c r="X96" s="69">
        <v>0.22936347260000001</v>
      </c>
      <c r="Y96" s="69">
        <v>0.22847941120000001</v>
      </c>
      <c r="Z96" s="69">
        <v>0.22758402759999999</v>
      </c>
      <c r="AA96" s="69">
        <v>0.22667844279999999</v>
      </c>
      <c r="AB96" s="69">
        <v>0.22576370069999999</v>
      </c>
      <c r="AC96" s="69">
        <v>0.2248407734</v>
      </c>
      <c r="AD96" s="69">
        <v>0.2239105656</v>
      </c>
      <c r="AE96" s="69">
        <v>0.2229739194</v>
      </c>
      <c r="AF96" s="69">
        <v>0.22203161790000001</v>
      </c>
      <c r="AG96" s="69">
        <v>0.22108438950000001</v>
      </c>
      <c r="AH96" s="69">
        <v>0.22013291169999999</v>
      </c>
      <c r="AI96" s="69">
        <v>0.21917781380000001</v>
      </c>
      <c r="AJ96" s="69">
        <v>0.21821968089999999</v>
      </c>
      <c r="AK96" s="69">
        <v>0.2172590563</v>
      </c>
      <c r="AL96" s="69">
        <v>0.21629644449999999</v>
      </c>
      <c r="AM96" s="69">
        <v>0.215332314</v>
      </c>
      <c r="AN96" s="69">
        <v>0.2143670993</v>
      </c>
      <c r="AO96" s="69">
        <v>0.21340120379999999</v>
      </c>
      <c r="AP96" s="69">
        <v>0.21243500139999999</v>
      </c>
      <c r="AQ96" s="69">
        <v>0.2114688384</v>
      </c>
      <c r="AR96" s="69">
        <v>0.21050303610000001</v>
      </c>
      <c r="AS96" s="69">
        <v>0.20953789179999999</v>
      </c>
      <c r="AT96" s="69">
        <v>0.20857368070000001</v>
      </c>
      <c r="AU96" s="69">
        <v>0.20761065749999999</v>
      </c>
      <c r="AV96" s="69">
        <v>0.20664905759999999</v>
      </c>
      <c r="AW96" s="69">
        <v>0.2056890985</v>
      </c>
      <c r="AX96" s="69">
        <v>0.20473098140000001</v>
      </c>
      <c r="AY96" s="69">
        <v>0.20377489139999999</v>
      </c>
      <c r="AZ96" s="69">
        <v>0.20282099980000001</v>
      </c>
      <c r="BA96" s="69">
        <v>0.20186946410000001</v>
      </c>
      <c r="BB96" s="69">
        <v>0.20092042930000001</v>
      </c>
      <c r="BC96" s="69">
        <v>0.19997402889999999</v>
      </c>
      <c r="BD96" s="69">
        <v>0.1990303856</v>
      </c>
      <c r="BE96" s="69">
        <v>0.19808961180000001</v>
      </c>
      <c r="BF96" s="69">
        <v>0.19715181079999999</v>
      </c>
      <c r="BG96" s="69">
        <v>0.19621707690000001</v>
      </c>
      <c r="BH96" s="69">
        <v>0.1952854966</v>
      </c>
      <c r="BI96" s="69">
        <v>0.1943571486</v>
      </c>
      <c r="BJ96" s="69">
        <v>0.1934321047</v>
      </c>
      <c r="BK96" s="69">
        <v>0.19251043009999999</v>
      </c>
      <c r="BL96" s="69">
        <v>0.191592184</v>
      </c>
      <c r="BM96" s="69">
        <v>0.19067741999999999</v>
      </c>
      <c r="BN96" s="69">
        <v>0.18976618640000001</v>
      </c>
      <c r="BO96" s="69">
        <v>0.18885852650000001</v>
      </c>
      <c r="BP96" s="69">
        <v>0.18795447940000001</v>
      </c>
      <c r="BQ96" s="69">
        <v>0.18705407960000001</v>
      </c>
      <c r="BR96" s="69">
        <v>0.1861573581</v>
      </c>
      <c r="BS96" s="69">
        <v>0.185264342</v>
      </c>
      <c r="BT96" s="69">
        <v>0.18437505509999999</v>
      </c>
      <c r="BU96" s="69">
        <v>0.1834895181</v>
      </c>
      <c r="BV96" s="69">
        <v>0.1826077488</v>
      </c>
      <c r="BW96" s="69">
        <v>0.18172976220000001</v>
      </c>
      <c r="BX96" s="69">
        <v>0.18085557099999999</v>
      </c>
      <c r="BY96" s="69">
        <v>0.17998518550000001</v>
      </c>
      <c r="BZ96" s="69">
        <v>0.17911861379999999</v>
      </c>
      <c r="CA96" s="69">
        <v>0.17825586199999999</v>
      </c>
      <c r="CB96" s="69">
        <v>0.17739693449999999</v>
      </c>
      <c r="CC96" s="69">
        <v>0.1765418339</v>
      </c>
      <c r="CD96" s="69">
        <v>0.17569056120000001</v>
      </c>
      <c r="CE96" s="69">
        <v>0.17484311599999999</v>
      </c>
      <c r="CF96" s="69">
        <v>0.17399949649999999</v>
      </c>
      <c r="CG96" s="69">
        <v>0.1731596997</v>
      </c>
      <c r="CH96" s="69">
        <v>0.17232372130000001</v>
      </c>
      <c r="CI96" s="69">
        <v>0.17149155629999999</v>
      </c>
      <c r="CJ96" s="69">
        <v>0.1706631982</v>
      </c>
      <c r="CK96" s="69">
        <v>0.16983864000000001</v>
      </c>
      <c r="CL96" s="69">
        <v>0.1690178738</v>
      </c>
      <c r="CM96" s="69">
        <v>0.16820089069999999</v>
      </c>
      <c r="CN96" s="69">
        <v>0.16738768139999999</v>
      </c>
      <c r="CO96" s="69">
        <v>0.1665782358</v>
      </c>
      <c r="CP96" s="69">
        <v>0.1657725431</v>
      </c>
      <c r="CQ96" s="69">
        <v>0.16497059210000001</v>
      </c>
      <c r="CR96" s="69">
        <v>0.16417237109999999</v>
      </c>
      <c r="CS96" s="69">
        <v>0.16337786779999999</v>
      </c>
      <c r="CT96" s="69">
        <v>0.16258706980000001</v>
      </c>
      <c r="CU96" s="69">
        <v>0.16179996399999999</v>
      </c>
      <c r="CV96" s="69">
        <v>0.16101653690000001</v>
      </c>
      <c r="CW96" s="69">
        <v>0.16023677510000001</v>
      </c>
      <c r="CX96" s="69">
        <v>0.1594606646</v>
      </c>
      <c r="CY96" s="69">
        <v>0.15868819100000001</v>
      </c>
      <c r="CZ96" s="69">
        <v>0.15791934020000001</v>
      </c>
      <c r="DA96" s="69">
        <v>0.15715409729999999</v>
      </c>
      <c r="DB96" s="69">
        <v>0.1563924475</v>
      </c>
      <c r="DC96" s="69">
        <v>0.15563437599999999</v>
      </c>
      <c r="DD96" s="69">
        <v>0.15487986749999999</v>
      </c>
      <c r="DE96" s="69">
        <v>0.15412890679999999</v>
      </c>
      <c r="DF96" s="69">
        <v>0.1533814785</v>
      </c>
      <c r="DG96" s="69">
        <v>0.15263756710000001</v>
      </c>
      <c r="DH96" s="69">
        <v>0.15189715719999999</v>
      </c>
      <c r="DI96" s="69">
        <v>0.151160233</v>
      </c>
      <c r="DJ96" s="69">
        <v>0.1504267789</v>
      </c>
      <c r="DK96" s="69">
        <v>0.14969677919999999</v>
      </c>
      <c r="DL96" s="69">
        <v>0.1489702181</v>
      </c>
      <c r="DM96" s="69">
        <v>0.1482470799</v>
      </c>
      <c r="DN96" s="69">
        <v>0.1475273486</v>
      </c>
      <c r="DO96" s="69">
        <v>0.14681100859999999</v>
      </c>
      <c r="DP96" s="69">
        <v>0.1460980439</v>
      </c>
      <c r="DQ96" s="69">
        <v>0.14538843879999999</v>
      </c>
      <c r="DR96" s="69">
        <v>0.14468217750000001</v>
      </c>
      <c r="DS96" s="69">
        <v>0.1439792443</v>
      </c>
      <c r="DT96" s="69">
        <v>0.14327962320000001</v>
      </c>
      <c r="DU96" s="69">
        <v>0.1425832987</v>
      </c>
      <c r="DV96" s="69">
        <v>0.1418902551</v>
      </c>
      <c r="DW96" s="69">
        <v>0.14120047660000001</v>
      </c>
      <c r="DX96" s="69">
        <v>0.14051394759999999</v>
      </c>
      <c r="DY96" s="69">
        <v>0.1398306527</v>
      </c>
      <c r="DZ96" s="69">
        <v>0.1391505763</v>
      </c>
      <c r="EA96" s="69">
        <v>0.1384737029</v>
      </c>
      <c r="EB96" s="69">
        <v>0.137800017</v>
      </c>
      <c r="EC96" s="69">
        <v>0.1371295035</v>
      </c>
      <c r="ED96" s="69">
        <v>0.1364621469</v>
      </c>
      <c r="EE96" s="69">
        <v>0.13579793200000001</v>
      </c>
      <c r="EF96" s="69">
        <v>0.1351368436</v>
      </c>
      <c r="EG96" s="69">
        <v>0.1344788667</v>
      </c>
      <c r="EH96" s="69">
        <v>0.13382398619999999</v>
      </c>
      <c r="EI96" s="69">
        <v>0.13317218710000001</v>
      </c>
      <c r="EJ96" s="69">
        <v>0.13252345460000001</v>
      </c>
      <c r="EK96" s="69">
        <v>0.13187777379999999</v>
      </c>
      <c r="EL96" s="69">
        <v>0.1312351299</v>
      </c>
      <c r="EM96" s="69">
        <v>0.1305955083</v>
      </c>
      <c r="EN96" s="69">
        <v>0.12995889429999999</v>
      </c>
      <c r="EO96" s="69">
        <v>0.1293252734</v>
      </c>
      <c r="EP96" s="69">
        <v>0.12869463119999999</v>
      </c>
      <c r="EQ96" s="69">
        <v>0.1280669532</v>
      </c>
      <c r="ER96" s="69">
        <v>0.12744222520000001</v>
      </c>
      <c r="ES96" s="69">
        <v>0.1268204329</v>
      </c>
      <c r="ET96" s="69">
        <v>0.1262015621</v>
      </c>
      <c r="EU96" s="69">
        <v>0.1255855988</v>
      </c>
      <c r="EV96" s="69">
        <v>0.124972529</v>
      </c>
      <c r="EW96" s="69">
        <v>0.1243623386</v>
      </c>
      <c r="EX96" s="69">
        <v>0.1237550139</v>
      </c>
      <c r="EY96" s="69">
        <v>0.1231505411</v>
      </c>
      <c r="EZ96" s="69">
        <v>0.1225489065</v>
      </c>
      <c r="FA96" s="69">
        <v>0.1219500964</v>
      </c>
      <c r="FB96" s="69">
        <v>0.1213540974</v>
      </c>
      <c r="FC96" s="69">
        <v>0.1207608958</v>
      </c>
      <c r="FD96" s="69">
        <v>0.1201704784</v>
      </c>
      <c r="FE96" s="69">
        <v>0.1195828318</v>
      </c>
      <c r="FF96" s="69">
        <v>0.1189979427</v>
      </c>
      <c r="FG96" s="69">
        <v>0.1184157981</v>
      </c>
      <c r="FH96" s="69">
        <v>0.1178363847</v>
      </c>
      <c r="FI96" s="69">
        <v>0.11725968959999999</v>
      </c>
      <c r="FJ96" s="69">
        <v>0.1166856998</v>
      </c>
      <c r="FK96" s="69">
        <v>0.1161144024</v>
      </c>
      <c r="FL96" s="69">
        <v>0.1155457847</v>
      </c>
      <c r="FM96" s="69">
        <v>0.11497983389999999</v>
      </c>
      <c r="FN96" s="69">
        <v>0.1144165373</v>
      </c>
      <c r="FO96" s="69">
        <v>0.11385588250000001</v>
      </c>
      <c r="FP96" s="69">
        <v>0.1132978568</v>
      </c>
      <c r="FQ96" s="69">
        <v>0.11274244780000001</v>
      </c>
    </row>
    <row r="97" spans="1:173" x14ac:dyDescent="0.25">
      <c r="A97" s="71">
        <v>95</v>
      </c>
      <c r="B97" s="69">
        <v>0.26304834830000001</v>
      </c>
      <c r="C97" s="69">
        <v>0.26306994750000001</v>
      </c>
      <c r="D97" s="69">
        <v>0.26301824499999998</v>
      </c>
      <c r="E97" s="69">
        <v>0.262898256</v>
      </c>
      <c r="F97" s="69">
        <v>0.26271469720000001</v>
      </c>
      <c r="G97" s="69">
        <v>0.26247200110000002</v>
      </c>
      <c r="H97" s="69">
        <v>0.26217432969999999</v>
      </c>
      <c r="I97" s="69">
        <v>0.26182558880000001</v>
      </c>
      <c r="J97" s="69">
        <v>0.26142944109999999</v>
      </c>
      <c r="K97" s="69">
        <v>0.26098931959999999</v>
      </c>
      <c r="L97" s="69">
        <v>0.26050844020000002</v>
      </c>
      <c r="M97" s="69">
        <v>0.25998981370000002</v>
      </c>
      <c r="N97" s="69">
        <v>0.25943625809999998</v>
      </c>
      <c r="O97" s="69">
        <v>0.25885040910000001</v>
      </c>
      <c r="P97" s="69">
        <v>0.25823473159999999</v>
      </c>
      <c r="Q97" s="69">
        <v>0.2575915292</v>
      </c>
      <c r="R97" s="69">
        <v>0.25692295459999998</v>
      </c>
      <c r="S97" s="69">
        <v>0.25623101840000001</v>
      </c>
      <c r="T97" s="69">
        <v>0.25551759810000002</v>
      </c>
      <c r="U97" s="69">
        <v>0.254784446</v>
      </c>
      <c r="V97" s="69">
        <v>0.25403319749999997</v>
      </c>
      <c r="W97" s="69">
        <v>0.25326537840000002</v>
      </c>
      <c r="X97" s="69">
        <v>0.2524824115</v>
      </c>
      <c r="Y97" s="69">
        <v>0.25168562360000002</v>
      </c>
      <c r="Z97" s="69">
        <v>0.25087625149999998</v>
      </c>
      <c r="AA97" s="69">
        <v>0.25005544769999999</v>
      </c>
      <c r="AB97" s="69">
        <v>0.2492242861</v>
      </c>
      <c r="AC97" s="69">
        <v>0.24838376700000001</v>
      </c>
      <c r="AD97" s="69">
        <v>0.24753482190000001</v>
      </c>
      <c r="AE97" s="69">
        <v>0.24667831800000001</v>
      </c>
      <c r="AF97" s="69">
        <v>0.24581506249999999</v>
      </c>
      <c r="AG97" s="69">
        <v>0.24494580660000001</v>
      </c>
      <c r="AH97" s="69">
        <v>0.24407124920000001</v>
      </c>
      <c r="AI97" s="69">
        <v>0.24319204010000001</v>
      </c>
      <c r="AJ97" s="69">
        <v>0.2423087837</v>
      </c>
      <c r="AK97" s="69">
        <v>0.2414220419</v>
      </c>
      <c r="AL97" s="69">
        <v>0.2405323368</v>
      </c>
      <c r="AM97" s="69">
        <v>0.2396401534</v>
      </c>
      <c r="AN97" s="69">
        <v>0.23874594220000001</v>
      </c>
      <c r="AO97" s="69">
        <v>0.23785012159999999</v>
      </c>
      <c r="AP97" s="69">
        <v>0.23695307979999999</v>
      </c>
      <c r="AQ97" s="69">
        <v>0.23605517710000001</v>
      </c>
      <c r="AR97" s="69">
        <v>0.23515674759999999</v>
      </c>
      <c r="AS97" s="69">
        <v>0.23425810120000001</v>
      </c>
      <c r="AT97" s="69">
        <v>0.2333595249</v>
      </c>
      <c r="AU97" s="69">
        <v>0.23246128469999999</v>
      </c>
      <c r="AV97" s="69">
        <v>0.23156362690000001</v>
      </c>
      <c r="AW97" s="69">
        <v>0.2306667795</v>
      </c>
      <c r="AX97" s="69">
        <v>0.2297709533</v>
      </c>
      <c r="AY97" s="69">
        <v>0.2288763432</v>
      </c>
      <c r="AZ97" s="69">
        <v>0.2279831292</v>
      </c>
      <c r="BA97" s="69">
        <v>0.22709147769999999</v>
      </c>
      <c r="BB97" s="69">
        <v>0.22620154200000001</v>
      </c>
      <c r="BC97" s="69">
        <v>0.22531346350000001</v>
      </c>
      <c r="BD97" s="69">
        <v>0.22442737260000001</v>
      </c>
      <c r="BE97" s="69">
        <v>0.2235433889</v>
      </c>
      <c r="BF97" s="69">
        <v>0.22266162289999999</v>
      </c>
      <c r="BG97" s="69">
        <v>0.2217821757</v>
      </c>
      <c r="BH97" s="69">
        <v>0.22090514010000001</v>
      </c>
      <c r="BI97" s="69">
        <v>0.22003060120000001</v>
      </c>
      <c r="BJ97" s="69">
        <v>0.21915863669999999</v>
      </c>
      <c r="BK97" s="69">
        <v>0.2182893179</v>
      </c>
      <c r="BL97" s="69">
        <v>0.21742270929999999</v>
      </c>
      <c r="BM97" s="69">
        <v>0.21655887009999999</v>
      </c>
      <c r="BN97" s="69">
        <v>0.21569785359999999</v>
      </c>
      <c r="BO97" s="69">
        <v>0.2148397085</v>
      </c>
      <c r="BP97" s="69">
        <v>0.21398447849999999</v>
      </c>
      <c r="BQ97" s="69">
        <v>0.21313220299999999</v>
      </c>
      <c r="BR97" s="69">
        <v>0.21228291739999999</v>
      </c>
      <c r="BS97" s="69">
        <v>0.2114366533</v>
      </c>
      <c r="BT97" s="69">
        <v>0.21059343890000001</v>
      </c>
      <c r="BU97" s="69">
        <v>0.209753299</v>
      </c>
      <c r="BV97" s="69">
        <v>0.20891625559999999</v>
      </c>
      <c r="BW97" s="69">
        <v>0.20808232760000001</v>
      </c>
      <c r="BX97" s="69">
        <v>0.2072515315</v>
      </c>
      <c r="BY97" s="69">
        <v>0.20642388140000001</v>
      </c>
      <c r="BZ97" s="69">
        <v>0.2055993891</v>
      </c>
      <c r="CA97" s="69">
        <v>0.20477806439999999</v>
      </c>
      <c r="CB97" s="69">
        <v>0.20395991499999999</v>
      </c>
      <c r="CC97" s="69">
        <v>0.20314494699999999</v>
      </c>
      <c r="CD97" s="69">
        <v>0.20233316479999999</v>
      </c>
      <c r="CE97" s="69">
        <v>0.20152457130000001</v>
      </c>
      <c r="CF97" s="69">
        <v>0.2007191679</v>
      </c>
      <c r="CG97" s="69">
        <v>0.19991695470000001</v>
      </c>
      <c r="CH97" s="69">
        <v>0.1991179307</v>
      </c>
      <c r="CI97" s="69">
        <v>0.19832209379999999</v>
      </c>
      <c r="CJ97" s="69">
        <v>0.19752944059999999</v>
      </c>
      <c r="CK97" s="69">
        <v>0.1967399671</v>
      </c>
      <c r="CL97" s="69">
        <v>0.19595366810000001</v>
      </c>
      <c r="CM97" s="69">
        <v>0.19517053779999999</v>
      </c>
      <c r="CN97" s="69">
        <v>0.19439056969999999</v>
      </c>
      <c r="CO97" s="69">
        <v>0.1936137564</v>
      </c>
      <c r="CP97" s="69">
        <v>0.19284008999999999</v>
      </c>
      <c r="CQ97" s="69">
        <v>0.192069562</v>
      </c>
      <c r="CR97" s="69">
        <v>0.19130216350000001</v>
      </c>
      <c r="CS97" s="69">
        <v>0.1905378848</v>
      </c>
      <c r="CT97" s="69">
        <v>0.18977671609999999</v>
      </c>
      <c r="CU97" s="69">
        <v>0.18901864700000001</v>
      </c>
      <c r="CV97" s="69">
        <v>0.1882636667</v>
      </c>
      <c r="CW97" s="69">
        <v>0.18751176429999999</v>
      </c>
      <c r="CX97" s="69">
        <v>0.18676292820000001</v>
      </c>
      <c r="CY97" s="69">
        <v>0.18601714699999999</v>
      </c>
      <c r="CZ97" s="69">
        <v>0.18527440880000001</v>
      </c>
      <c r="DA97" s="69">
        <v>0.18453470129999999</v>
      </c>
      <c r="DB97" s="69">
        <v>0.18379801230000001</v>
      </c>
      <c r="DC97" s="69">
        <v>0.18306432929999999</v>
      </c>
      <c r="DD97" s="69">
        <v>0.18233363969999999</v>
      </c>
      <c r="DE97" s="69">
        <v>0.18160593059999999</v>
      </c>
      <c r="DF97" s="69">
        <v>0.18088118929999999</v>
      </c>
      <c r="DG97" s="69">
        <v>0.18015940250000001</v>
      </c>
      <c r="DH97" s="69">
        <v>0.1794405573</v>
      </c>
      <c r="DI97" s="69">
        <v>0.1787246405</v>
      </c>
      <c r="DJ97" s="69">
        <v>0.1780116387</v>
      </c>
      <c r="DK97" s="69">
        <v>0.17730153879999999</v>
      </c>
      <c r="DL97" s="69">
        <v>0.17659432720000001</v>
      </c>
      <c r="DM97" s="69">
        <v>0.17588999080000001</v>
      </c>
      <c r="DN97" s="69">
        <v>0.1751885161</v>
      </c>
      <c r="DO97" s="69">
        <v>0.1744898896</v>
      </c>
      <c r="DP97" s="69">
        <v>0.1737940979</v>
      </c>
      <c r="DQ97" s="69">
        <v>0.1731011277</v>
      </c>
      <c r="DR97" s="69">
        <v>0.1724109654</v>
      </c>
      <c r="DS97" s="69">
        <v>0.17172359779999999</v>
      </c>
      <c r="DT97" s="69">
        <v>0.1710390114</v>
      </c>
      <c r="DU97" s="69">
        <v>0.17035719290000001</v>
      </c>
      <c r="DV97" s="69">
        <v>0.16967812900000001</v>
      </c>
      <c r="DW97" s="69">
        <v>0.1690018063</v>
      </c>
      <c r="DX97" s="69">
        <v>0.16832821170000001</v>
      </c>
      <c r="DY97" s="69">
        <v>0.16765733199999999</v>
      </c>
      <c r="DZ97" s="69">
        <v>0.166989154</v>
      </c>
      <c r="EA97" s="69">
        <v>0.1663236645</v>
      </c>
      <c r="EB97" s="69">
        <v>0.1656608507</v>
      </c>
      <c r="EC97" s="69">
        <v>0.1650006993</v>
      </c>
      <c r="ED97" s="69">
        <v>0.1643431977</v>
      </c>
      <c r="EE97" s="69">
        <v>0.1636883328</v>
      </c>
      <c r="EF97" s="69">
        <v>0.1630360918</v>
      </c>
      <c r="EG97" s="69">
        <v>0.16238646209999999</v>
      </c>
      <c r="EH97" s="69">
        <v>0.16173943090000001</v>
      </c>
      <c r="EI97" s="69">
        <v>0.16109498559999999</v>
      </c>
      <c r="EJ97" s="69">
        <v>0.16045311379999999</v>
      </c>
      <c r="EK97" s="69">
        <v>0.15981380279999999</v>
      </c>
      <c r="EL97" s="69">
        <v>0.1591770404</v>
      </c>
      <c r="EM97" s="69">
        <v>0.15854281419999999</v>
      </c>
      <c r="EN97" s="69">
        <v>0.15791111199999999</v>
      </c>
      <c r="EO97" s="69">
        <v>0.15728192160000001</v>
      </c>
      <c r="EP97" s="69">
        <v>0.15665523079999999</v>
      </c>
      <c r="EQ97" s="69">
        <v>0.1560310278</v>
      </c>
      <c r="ER97" s="69">
        <v>0.15540930040000001</v>
      </c>
      <c r="ES97" s="69">
        <v>0.15479003690000001</v>
      </c>
      <c r="ET97" s="69">
        <v>0.1541732254</v>
      </c>
      <c r="EU97" s="69">
        <v>0.15355885429999999</v>
      </c>
      <c r="EV97" s="69">
        <v>0.1529469118</v>
      </c>
      <c r="EW97" s="69">
        <v>0.1523373865</v>
      </c>
      <c r="EX97" s="69">
        <v>0.15173026680000001</v>
      </c>
      <c r="EY97" s="69">
        <v>0.1511255413</v>
      </c>
      <c r="EZ97" s="69">
        <v>0.1505231987</v>
      </c>
      <c r="FA97" s="69">
        <v>0.14992322769999999</v>
      </c>
      <c r="FB97" s="69">
        <v>0.14932561720000001</v>
      </c>
      <c r="FC97" s="69">
        <v>0.14873035600000001</v>
      </c>
      <c r="FD97" s="69">
        <v>0.14813743309999999</v>
      </c>
      <c r="FE97" s="69">
        <v>0.14754683760000001</v>
      </c>
      <c r="FF97" s="69">
        <v>0.1469585585</v>
      </c>
      <c r="FG97" s="69">
        <v>0.14637258510000001</v>
      </c>
      <c r="FH97" s="69">
        <v>0.1457889067</v>
      </c>
      <c r="FI97" s="69">
        <v>0.1452075125</v>
      </c>
      <c r="FJ97" s="69">
        <v>0.1446283921</v>
      </c>
      <c r="FK97" s="69">
        <v>0.1440515349</v>
      </c>
      <c r="FL97" s="69">
        <v>0.14347693040000001</v>
      </c>
      <c r="FM97" s="69">
        <v>0.14290456839999999</v>
      </c>
      <c r="FN97" s="69">
        <v>0.14233443849999999</v>
      </c>
      <c r="FO97" s="69">
        <v>0.14176653049999999</v>
      </c>
      <c r="FP97" s="69">
        <v>0.14120083429999999</v>
      </c>
      <c r="FQ97" s="69">
        <v>0.14063733980000001</v>
      </c>
    </row>
    <row r="98" spans="1:173" x14ac:dyDescent="0.25">
      <c r="A98" s="71">
        <v>96</v>
      </c>
      <c r="B98" s="69">
        <v>0.28433125110000002</v>
      </c>
      <c r="C98" s="69">
        <v>0.28448823569999998</v>
      </c>
      <c r="D98" s="69">
        <v>0.28456966880000001</v>
      </c>
      <c r="E98" s="69">
        <v>0.2845806931</v>
      </c>
      <c r="F98" s="69">
        <v>0.28452614079999999</v>
      </c>
      <c r="G98" s="69">
        <v>0.28441054960000001</v>
      </c>
      <c r="H98" s="69">
        <v>0.28423817730000001</v>
      </c>
      <c r="I98" s="69">
        <v>0.28401301709999999</v>
      </c>
      <c r="J98" s="69">
        <v>0.2837388113</v>
      </c>
      <c r="K98" s="69">
        <v>0.28341906589999999</v>
      </c>
      <c r="L98" s="69">
        <v>0.28305706359999999</v>
      </c>
      <c r="M98" s="69">
        <v>0.28265587669999997</v>
      </c>
      <c r="N98" s="69">
        <v>0.28221837950000001</v>
      </c>
      <c r="O98" s="69">
        <v>0.28174725979999998</v>
      </c>
      <c r="P98" s="69">
        <v>0.28124503029999998</v>
      </c>
      <c r="Q98" s="69">
        <v>0.2807140393</v>
      </c>
      <c r="R98" s="69">
        <v>0.28015648040000002</v>
      </c>
      <c r="S98" s="69">
        <v>0.27957440249999999</v>
      </c>
      <c r="T98" s="69">
        <v>0.27896971850000002</v>
      </c>
      <c r="U98" s="69">
        <v>0.27834421390000003</v>
      </c>
      <c r="V98" s="69">
        <v>0.27769955480000003</v>
      </c>
      <c r="W98" s="69">
        <v>0.27703729589999998</v>
      </c>
      <c r="X98" s="69">
        <v>0.276358887</v>
      </c>
      <c r="Y98" s="69">
        <v>0.27566568009999998</v>
      </c>
      <c r="Z98" s="69">
        <v>0.27495893570000002</v>
      </c>
      <c r="AA98" s="69">
        <v>0.27423982860000001</v>
      </c>
      <c r="AB98" s="69">
        <v>0.27350945370000002</v>
      </c>
      <c r="AC98" s="69">
        <v>0.2727688311</v>
      </c>
      <c r="AD98" s="69">
        <v>0.27201891070000001</v>
      </c>
      <c r="AE98" s="69">
        <v>0.27126057730000003</v>
      </c>
      <c r="AF98" s="69">
        <v>0.27049465490000002</v>
      </c>
      <c r="AG98" s="69">
        <v>0.26972191029999998</v>
      </c>
      <c r="AH98" s="69">
        <v>0.26894305699999999</v>
      </c>
      <c r="AI98" s="69">
        <v>0.26815875919999999</v>
      </c>
      <c r="AJ98" s="69">
        <v>0.2673696344</v>
      </c>
      <c r="AK98" s="69">
        <v>0.26657625709999999</v>
      </c>
      <c r="AL98" s="69">
        <v>0.26577916150000003</v>
      </c>
      <c r="AM98" s="69">
        <v>0.26497884379999997</v>
      </c>
      <c r="AN98" s="69">
        <v>0.26417576549999999</v>
      </c>
      <c r="AO98" s="69">
        <v>0.26337035510000001</v>
      </c>
      <c r="AP98" s="69">
        <v>0.26256301059999998</v>
      </c>
      <c r="AQ98" s="69">
        <v>0.2617541015</v>
      </c>
      <c r="AR98" s="69">
        <v>0.26094397079999998</v>
      </c>
      <c r="AS98" s="69">
        <v>0.26013293659999998</v>
      </c>
      <c r="AT98" s="69">
        <v>0.25932129409999999</v>
      </c>
      <c r="AU98" s="69">
        <v>0.25850931690000001</v>
      </c>
      <c r="AV98" s="69">
        <v>0.25769725840000002</v>
      </c>
      <c r="AW98" s="69">
        <v>0.25688535359999998</v>
      </c>
      <c r="AX98" s="69">
        <v>0.25607381979999999</v>
      </c>
      <c r="AY98" s="69">
        <v>0.2552628582</v>
      </c>
      <c r="AZ98" s="69">
        <v>0.25445265490000002</v>
      </c>
      <c r="BA98" s="69">
        <v>0.25364338180000001</v>
      </c>
      <c r="BB98" s="69">
        <v>0.25283519780000002</v>
      </c>
      <c r="BC98" s="69">
        <v>0.25202824950000002</v>
      </c>
      <c r="BD98" s="69">
        <v>0.25122267199999998</v>
      </c>
      <c r="BE98" s="69">
        <v>0.25041859020000001</v>
      </c>
      <c r="BF98" s="69">
        <v>0.24961611850000001</v>
      </c>
      <c r="BG98" s="69">
        <v>0.2488153628</v>
      </c>
      <c r="BH98" s="69">
        <v>0.2480164198</v>
      </c>
      <c r="BI98" s="69">
        <v>0.24721937869999999</v>
      </c>
      <c r="BJ98" s="69">
        <v>0.246424321</v>
      </c>
      <c r="BK98" s="69">
        <v>0.24563132139999999</v>
      </c>
      <c r="BL98" s="69">
        <v>0.24484044830000001</v>
      </c>
      <c r="BM98" s="69">
        <v>0.24405176379999999</v>
      </c>
      <c r="BN98" s="69">
        <v>0.24326532479999999</v>
      </c>
      <c r="BO98" s="69">
        <v>0.2424811828</v>
      </c>
      <c r="BP98" s="69">
        <v>0.24169938460000001</v>
      </c>
      <c r="BQ98" s="69">
        <v>0.24091997230000001</v>
      </c>
      <c r="BR98" s="69">
        <v>0.24014298419999999</v>
      </c>
      <c r="BS98" s="69">
        <v>0.23936845440000001</v>
      </c>
      <c r="BT98" s="69">
        <v>0.23859641370000001</v>
      </c>
      <c r="BU98" s="69">
        <v>0.23782688930000001</v>
      </c>
      <c r="BV98" s="69">
        <v>0.23705990539999999</v>
      </c>
      <c r="BW98" s="69">
        <v>0.23629548340000001</v>
      </c>
      <c r="BX98" s="69">
        <v>0.23553364190000001</v>
      </c>
      <c r="BY98" s="69">
        <v>0.2347743971</v>
      </c>
      <c r="BZ98" s="69">
        <v>0.23401776269999999</v>
      </c>
      <c r="CA98" s="69">
        <v>0.23326375069999999</v>
      </c>
      <c r="CB98" s="69">
        <v>0.23251237050000001</v>
      </c>
      <c r="CC98" s="69">
        <v>0.2317636303</v>
      </c>
      <c r="CD98" s="69">
        <v>0.231017536</v>
      </c>
      <c r="CE98" s="69">
        <v>0.23027409239999999</v>
      </c>
      <c r="CF98" s="69">
        <v>0.22953330259999999</v>
      </c>
      <c r="CG98" s="69">
        <v>0.2287951684</v>
      </c>
      <c r="CH98" s="69">
        <v>0.2280596902</v>
      </c>
      <c r="CI98" s="69">
        <v>0.22732686760000001</v>
      </c>
      <c r="CJ98" s="69">
        <v>0.22659669869999999</v>
      </c>
      <c r="CK98" s="69">
        <v>0.22586918089999999</v>
      </c>
      <c r="CL98" s="69">
        <v>0.22514431069999999</v>
      </c>
      <c r="CM98" s="69">
        <v>0.22442208350000001</v>
      </c>
      <c r="CN98" s="69">
        <v>0.22370249410000001</v>
      </c>
      <c r="CO98" s="69">
        <v>0.22298553669999999</v>
      </c>
      <c r="CP98" s="69">
        <v>0.22227120459999999</v>
      </c>
      <c r="CQ98" s="69">
        <v>0.2215594907</v>
      </c>
      <c r="CR98" s="69">
        <v>0.22085038709999999</v>
      </c>
      <c r="CS98" s="69">
        <v>0.22014388579999999</v>
      </c>
      <c r="CT98" s="69">
        <v>0.2194399779</v>
      </c>
      <c r="CU98" s="69">
        <v>0.21873865440000001</v>
      </c>
      <c r="CV98" s="69">
        <v>0.2180399056</v>
      </c>
      <c r="CW98" s="69">
        <v>0.2173437218</v>
      </c>
      <c r="CX98" s="69">
        <v>0.21665009269999999</v>
      </c>
      <c r="CY98" s="69">
        <v>0.2159590079</v>
      </c>
      <c r="CZ98" s="69">
        <v>0.2152704567</v>
      </c>
      <c r="DA98" s="69">
        <v>0.21458442790000001</v>
      </c>
      <c r="DB98" s="69">
        <v>0.21390091059999999</v>
      </c>
      <c r="DC98" s="69">
        <v>0.21321989320000001</v>
      </c>
      <c r="DD98" s="69">
        <v>0.21254136430000001</v>
      </c>
      <c r="DE98" s="69">
        <v>0.21186531210000001</v>
      </c>
      <c r="DF98" s="69">
        <v>0.21119172480000001</v>
      </c>
      <c r="DG98" s="69">
        <v>0.21052059049999999</v>
      </c>
      <c r="DH98" s="69">
        <v>0.2098518972</v>
      </c>
      <c r="DI98" s="69">
        <v>0.20918563270000001</v>
      </c>
      <c r="DJ98" s="69">
        <v>0.20852178490000001</v>
      </c>
      <c r="DK98" s="69">
        <v>0.20786034140000001</v>
      </c>
      <c r="DL98" s="69">
        <v>0.20720129009999999</v>
      </c>
      <c r="DM98" s="69">
        <v>0.2065446185</v>
      </c>
      <c r="DN98" s="69">
        <v>0.20589031429999999</v>
      </c>
      <c r="DO98" s="69">
        <v>0.20523836519999999</v>
      </c>
      <c r="DP98" s="69">
        <v>0.20458875879999999</v>
      </c>
      <c r="DQ98" s="69">
        <v>0.2039414826</v>
      </c>
      <c r="DR98" s="69">
        <v>0.20329652440000001</v>
      </c>
      <c r="DS98" s="69">
        <v>0.20265387169999999</v>
      </c>
      <c r="DT98" s="69">
        <v>0.20201351219999999</v>
      </c>
      <c r="DU98" s="69">
        <v>0.20137543359999999</v>
      </c>
      <c r="DV98" s="69">
        <v>0.20073962370000001</v>
      </c>
      <c r="DW98" s="69">
        <v>0.20010607010000001</v>
      </c>
      <c r="DX98" s="69">
        <v>0.1994747607</v>
      </c>
      <c r="DY98" s="69">
        <v>0.19884568329999999</v>
      </c>
      <c r="DZ98" s="69">
        <v>0.1982188258</v>
      </c>
      <c r="EA98" s="69">
        <v>0.1975941762</v>
      </c>
      <c r="EB98" s="69">
        <v>0.19697172230000001</v>
      </c>
      <c r="EC98" s="69">
        <v>0.19635145239999999</v>
      </c>
      <c r="ED98" s="69">
        <v>0.1957333544</v>
      </c>
      <c r="EE98" s="69">
        <v>0.19511741669999999</v>
      </c>
      <c r="EF98" s="69">
        <v>0.19450362730000001</v>
      </c>
      <c r="EG98" s="69">
        <v>0.19389197459999999</v>
      </c>
      <c r="EH98" s="69">
        <v>0.1932824471</v>
      </c>
      <c r="EI98" s="69">
        <v>0.1926750331</v>
      </c>
      <c r="EJ98" s="69">
        <v>0.19206972110000001</v>
      </c>
      <c r="EK98" s="69">
        <v>0.1914664999</v>
      </c>
      <c r="EL98" s="69">
        <v>0.1908653579</v>
      </c>
      <c r="EM98" s="69">
        <v>0.19026628400000001</v>
      </c>
      <c r="EN98" s="69">
        <v>0.189669267</v>
      </c>
      <c r="EO98" s="69">
        <v>0.18907429579999999</v>
      </c>
      <c r="EP98" s="69">
        <v>0.18848135939999999</v>
      </c>
      <c r="EQ98" s="69">
        <v>0.1878904468</v>
      </c>
      <c r="ER98" s="69">
        <v>0.1873015472</v>
      </c>
      <c r="ES98" s="69">
        <v>0.18671464970000001</v>
      </c>
      <c r="ET98" s="69">
        <v>0.18612974369999999</v>
      </c>
      <c r="EU98" s="69">
        <v>0.1855468186</v>
      </c>
      <c r="EV98" s="69">
        <v>0.18496586370000001</v>
      </c>
      <c r="EW98" s="69">
        <v>0.18438686870000001</v>
      </c>
      <c r="EX98" s="69">
        <v>0.1838098232</v>
      </c>
      <c r="EY98" s="69">
        <v>0.1832347168</v>
      </c>
      <c r="EZ98" s="69">
        <v>0.18266153939999999</v>
      </c>
      <c r="FA98" s="69">
        <v>0.1820902808</v>
      </c>
      <c r="FB98" s="69">
        <v>0.18152093089999999</v>
      </c>
      <c r="FC98" s="69">
        <v>0.1809534797</v>
      </c>
      <c r="FD98" s="69">
        <v>0.18038791749999999</v>
      </c>
      <c r="FE98" s="69">
        <v>0.17982423419999999</v>
      </c>
      <c r="FF98" s="69">
        <v>0.1792624203</v>
      </c>
      <c r="FG98" s="69">
        <v>0.17870246610000001</v>
      </c>
      <c r="FH98" s="69">
        <v>0.17814436189999999</v>
      </c>
      <c r="FI98" s="69">
        <v>0.1775880983</v>
      </c>
      <c r="FJ98" s="69">
        <v>0.17703366579999999</v>
      </c>
      <c r="FK98" s="69">
        <v>0.17648105519999999</v>
      </c>
      <c r="FL98" s="69">
        <v>0.17593025709999999</v>
      </c>
      <c r="FM98" s="69">
        <v>0.17538126239999999</v>
      </c>
      <c r="FN98" s="69">
        <v>0.1748340619</v>
      </c>
      <c r="FO98" s="69">
        <v>0.17428864660000001</v>
      </c>
      <c r="FP98" s="69">
        <v>0.17374500749999999</v>
      </c>
      <c r="FQ98" s="69">
        <v>0.1732031359</v>
      </c>
    </row>
    <row r="99" spans="1:173" x14ac:dyDescent="0.25">
      <c r="A99" s="71">
        <v>97</v>
      </c>
      <c r="B99" s="69">
        <v>0.3059265068</v>
      </c>
      <c r="C99" s="69">
        <v>0.30622134220000002</v>
      </c>
      <c r="D99" s="69">
        <v>0.30643905129999999</v>
      </c>
      <c r="E99" s="69">
        <v>0.30658488270000001</v>
      </c>
      <c r="F99" s="69">
        <v>0.30666376340000001</v>
      </c>
      <c r="G99" s="69">
        <v>0.30668031559999998</v>
      </c>
      <c r="H99" s="69">
        <v>0.3066388726</v>
      </c>
      <c r="I99" s="69">
        <v>0.30654349489999999</v>
      </c>
      <c r="J99" s="69">
        <v>0.30639798579999999</v>
      </c>
      <c r="K99" s="69">
        <v>0.30620590530000003</v>
      </c>
      <c r="L99" s="69">
        <v>0.30597058519999998</v>
      </c>
      <c r="M99" s="69">
        <v>0.30569514180000001</v>
      </c>
      <c r="N99" s="69">
        <v>0.30538248899999998</v>
      </c>
      <c r="O99" s="69">
        <v>0.30503535069999999</v>
      </c>
      <c r="P99" s="69">
        <v>0.30465627220000002</v>
      </c>
      <c r="Q99" s="69">
        <v>0.3042476315</v>
      </c>
      <c r="R99" s="69">
        <v>0.30381164919999998</v>
      </c>
      <c r="S99" s="69">
        <v>0.30335039870000002</v>
      </c>
      <c r="T99" s="69">
        <v>0.30286581569999999</v>
      </c>
      <c r="U99" s="69">
        <v>0.30235970629999998</v>
      </c>
      <c r="V99" s="69">
        <v>0.3018337559</v>
      </c>
      <c r="W99" s="69">
        <v>0.30128953670000003</v>
      </c>
      <c r="X99" s="69">
        <v>0.3007285147</v>
      </c>
      <c r="Y99" s="69">
        <v>0.30015205709999998</v>
      </c>
      <c r="Z99" s="69">
        <v>0.2995614385</v>
      </c>
      <c r="AA99" s="69">
        <v>0.29895784679999998</v>
      </c>
      <c r="AB99" s="69">
        <v>0.29834238899999999</v>
      </c>
      <c r="AC99" s="69">
        <v>0.29771609669999999</v>
      </c>
      <c r="AD99" s="69">
        <v>0.29707993059999999</v>
      </c>
      <c r="AE99" s="69">
        <v>0.29643478550000002</v>
      </c>
      <c r="AF99" s="69">
        <v>0.2957814949</v>
      </c>
      <c r="AG99" s="69">
        <v>0.29512083430000002</v>
      </c>
      <c r="AH99" s="69">
        <v>0.29445352590000001</v>
      </c>
      <c r="AI99" s="69">
        <v>0.2937802417</v>
      </c>
      <c r="AJ99" s="69">
        <v>0.29310160680000003</v>
      </c>
      <c r="AK99" s="69">
        <v>0.29241820280000003</v>
      </c>
      <c r="AL99" s="69">
        <v>0.29173057050000001</v>
      </c>
      <c r="AM99" s="69">
        <v>0.2910392128</v>
      </c>
      <c r="AN99" s="69">
        <v>0.29034459689999997</v>
      </c>
      <c r="AO99" s="69">
        <v>0.28964715740000002</v>
      </c>
      <c r="AP99" s="69">
        <v>0.28894729749999998</v>
      </c>
      <c r="AQ99" s="69">
        <v>0.28824539220000001</v>
      </c>
      <c r="AR99" s="69">
        <v>0.28754178920000001</v>
      </c>
      <c r="AS99" s="69">
        <v>0.28683681160000002</v>
      </c>
      <c r="AT99" s="69">
        <v>0.2861307589</v>
      </c>
      <c r="AU99" s="69">
        <v>0.28542390899999998</v>
      </c>
      <c r="AV99" s="69">
        <v>0.28471651939999998</v>
      </c>
      <c r="AW99" s="69">
        <v>0.28400882900000002</v>
      </c>
      <c r="AX99" s="69">
        <v>0.28330105880000001</v>
      </c>
      <c r="AY99" s="69">
        <v>0.28259341360000001</v>
      </c>
      <c r="AZ99" s="69">
        <v>0.28188608269999998</v>
      </c>
      <c r="BA99" s="69">
        <v>0.2811792414</v>
      </c>
      <c r="BB99" s="69">
        <v>0.28047305150000001</v>
      </c>
      <c r="BC99" s="69">
        <v>0.27976766260000002</v>
      </c>
      <c r="BD99" s="69">
        <v>0.2790632126</v>
      </c>
      <c r="BE99" s="69">
        <v>0.27835982879999999</v>
      </c>
      <c r="BF99" s="69">
        <v>0.27765762859999998</v>
      </c>
      <c r="BG99" s="69">
        <v>0.27695671979999997</v>
      </c>
      <c r="BH99" s="69">
        <v>0.27625720170000001</v>
      </c>
      <c r="BI99" s="69">
        <v>0.27555916549999998</v>
      </c>
      <c r="BJ99" s="69">
        <v>0.27486269499999999</v>
      </c>
      <c r="BK99" s="69">
        <v>0.27416786669999998</v>
      </c>
      <c r="BL99" s="69">
        <v>0.27347475090000001</v>
      </c>
      <c r="BM99" s="69">
        <v>0.27278341160000003</v>
      </c>
      <c r="BN99" s="69">
        <v>0.27209390729999999</v>
      </c>
      <c r="BO99" s="69">
        <v>0.27140629109999997</v>
      </c>
      <c r="BP99" s="69">
        <v>0.27072061130000002</v>
      </c>
      <c r="BQ99" s="69">
        <v>0.2700369118</v>
      </c>
      <c r="BR99" s="69">
        <v>0.269355232</v>
      </c>
      <c r="BS99" s="69">
        <v>0.26867560740000002</v>
      </c>
      <c r="BT99" s="69">
        <v>0.26799807009999999</v>
      </c>
      <c r="BU99" s="69">
        <v>0.26732264849999998</v>
      </c>
      <c r="BV99" s="69">
        <v>0.26664936789999999</v>
      </c>
      <c r="BW99" s="69">
        <v>0.26597825089999999</v>
      </c>
      <c r="BX99" s="69">
        <v>0.26530931699999999</v>
      </c>
      <c r="BY99" s="69">
        <v>0.26464258340000002</v>
      </c>
      <c r="BZ99" s="69">
        <v>0.26397806499999998</v>
      </c>
      <c r="CA99" s="69">
        <v>0.26331577430000003</v>
      </c>
      <c r="CB99" s="69">
        <v>0.26265572190000003</v>
      </c>
      <c r="CC99" s="69">
        <v>0.26199791649999998</v>
      </c>
      <c r="CD99" s="69">
        <v>0.26134236509999997</v>
      </c>
      <c r="CE99" s="69">
        <v>0.26068907289999999</v>
      </c>
      <c r="CF99" s="69">
        <v>0.26003804390000002</v>
      </c>
      <c r="CG99" s="69">
        <v>0.25938928039999998</v>
      </c>
      <c r="CH99" s="69">
        <v>0.25874278369999998</v>
      </c>
      <c r="CI99" s="69">
        <v>0.25809855370000001</v>
      </c>
      <c r="CJ99" s="69">
        <v>0.25745658919999997</v>
      </c>
      <c r="CK99" s="69">
        <v>0.25681688819999998</v>
      </c>
      <c r="CL99" s="69">
        <v>0.25617944749999999</v>
      </c>
      <c r="CM99" s="69">
        <v>0.2555442631</v>
      </c>
      <c r="CN99" s="69">
        <v>0.25491133049999998</v>
      </c>
      <c r="CO99" s="69">
        <v>0.25428064389999999</v>
      </c>
      <c r="CP99" s="69">
        <v>0.2536521974</v>
      </c>
      <c r="CQ99" s="69">
        <v>0.25302598399999998</v>
      </c>
      <c r="CR99" s="69">
        <v>0.2524019965</v>
      </c>
      <c r="CS99" s="69">
        <v>0.25178022690000001</v>
      </c>
      <c r="CT99" s="69">
        <v>0.2511606669</v>
      </c>
      <c r="CU99" s="69">
        <v>0.2505433077</v>
      </c>
      <c r="CV99" s="69">
        <v>0.2499281401</v>
      </c>
      <c r="CW99" s="69">
        <v>0.24931515439999999</v>
      </c>
      <c r="CX99" s="69">
        <v>0.24870434080000001</v>
      </c>
      <c r="CY99" s="69">
        <v>0.24809568909999999</v>
      </c>
      <c r="CZ99" s="69">
        <v>0.2474891887</v>
      </c>
      <c r="DA99" s="69">
        <v>0.24688482910000001</v>
      </c>
      <c r="DB99" s="69">
        <v>0.2462825991</v>
      </c>
      <c r="DC99" s="69">
        <v>0.24568248770000001</v>
      </c>
      <c r="DD99" s="69">
        <v>0.24508448350000001</v>
      </c>
      <c r="DE99" s="69">
        <v>0.24448857500000001</v>
      </c>
      <c r="DF99" s="69">
        <v>0.24389475059999999</v>
      </c>
      <c r="DG99" s="69">
        <v>0.24330299859999999</v>
      </c>
      <c r="DH99" s="69">
        <v>0.2427133071</v>
      </c>
      <c r="DI99" s="69">
        <v>0.2421256641</v>
      </c>
      <c r="DJ99" s="69">
        <v>0.2415400577</v>
      </c>
      <c r="DK99" s="69">
        <v>0.24095647570000001</v>
      </c>
      <c r="DL99" s="69">
        <v>0.24037490610000001</v>
      </c>
      <c r="DM99" s="69">
        <v>0.23979533650000001</v>
      </c>
      <c r="DN99" s="69">
        <v>0.239217755</v>
      </c>
      <c r="DO99" s="69">
        <v>0.23864214910000001</v>
      </c>
      <c r="DP99" s="69">
        <v>0.23806850660000001</v>
      </c>
      <c r="DQ99" s="69">
        <v>0.23749681540000001</v>
      </c>
      <c r="DR99" s="69">
        <v>0.2369270631</v>
      </c>
      <c r="DS99" s="69">
        <v>0.23635923759999999</v>
      </c>
      <c r="DT99" s="69">
        <v>0.23579332659999999</v>
      </c>
      <c r="DU99" s="69">
        <v>0.23522931790000001</v>
      </c>
      <c r="DV99" s="69">
        <v>0.2346671994</v>
      </c>
      <c r="DW99" s="69">
        <v>0.2341069589</v>
      </c>
      <c r="DX99" s="69">
        <v>0.23354858440000001</v>
      </c>
      <c r="DY99" s="69">
        <v>0.2329920637</v>
      </c>
      <c r="DZ99" s="69">
        <v>0.232437385</v>
      </c>
      <c r="EA99" s="69">
        <v>0.23188453619999999</v>
      </c>
      <c r="EB99" s="69">
        <v>0.2313335054</v>
      </c>
      <c r="EC99" s="69">
        <v>0.2307842809</v>
      </c>
      <c r="ED99" s="69">
        <v>0.2302368508</v>
      </c>
      <c r="EE99" s="69">
        <v>0.2296912035</v>
      </c>
      <c r="EF99" s="69">
        <v>0.2291473272</v>
      </c>
      <c r="EG99" s="69">
        <v>0.22860521040000001</v>
      </c>
      <c r="EH99" s="69">
        <v>0.2280648415</v>
      </c>
      <c r="EI99" s="69">
        <v>0.2275262092</v>
      </c>
      <c r="EJ99" s="69">
        <v>0.22698930210000001</v>
      </c>
      <c r="EK99" s="69">
        <v>0.2264541088</v>
      </c>
      <c r="EL99" s="69">
        <v>0.22592061820000001</v>
      </c>
      <c r="EM99" s="69">
        <v>0.2253888191</v>
      </c>
      <c r="EN99" s="69">
        <v>0.2248587004</v>
      </c>
      <c r="EO99" s="69">
        <v>0.22433025109999999</v>
      </c>
      <c r="EP99" s="69">
        <v>0.22380346039999999</v>
      </c>
      <c r="EQ99" s="69">
        <v>0.22327831740000001</v>
      </c>
      <c r="ER99" s="69">
        <v>0.2227548114</v>
      </c>
      <c r="ES99" s="69">
        <v>0.2222329317</v>
      </c>
      <c r="ET99" s="69">
        <v>0.2217126677</v>
      </c>
      <c r="EU99" s="69">
        <v>0.22119400889999999</v>
      </c>
      <c r="EV99" s="69">
        <v>0.2206769449</v>
      </c>
      <c r="EW99" s="69">
        <v>0.22016146540000001</v>
      </c>
      <c r="EX99" s="69">
        <v>0.21964755999999999</v>
      </c>
      <c r="EY99" s="69">
        <v>0.2191352188</v>
      </c>
      <c r="EZ99" s="69">
        <v>0.21862443140000001</v>
      </c>
      <c r="FA99" s="69">
        <v>0.2181151881</v>
      </c>
      <c r="FB99" s="69">
        <v>0.2176074787</v>
      </c>
      <c r="FC99" s="69">
        <v>0.21710129359999999</v>
      </c>
      <c r="FD99" s="69">
        <v>0.21659662290000001</v>
      </c>
      <c r="FE99" s="69">
        <v>0.21609345699999999</v>
      </c>
      <c r="FF99" s="69">
        <v>0.2155917862</v>
      </c>
      <c r="FG99" s="69">
        <v>0.2150916011</v>
      </c>
      <c r="FH99" s="69">
        <v>0.2145928923</v>
      </c>
      <c r="FI99" s="69">
        <v>0.2140956504</v>
      </c>
      <c r="FJ99" s="69">
        <v>0.21359986610000001</v>
      </c>
      <c r="FK99" s="69">
        <v>0.21310553030000001</v>
      </c>
      <c r="FL99" s="69">
        <v>0.21261263380000001</v>
      </c>
      <c r="FM99" s="69">
        <v>0.2121211677</v>
      </c>
      <c r="FN99" s="69">
        <v>0.211631123</v>
      </c>
      <c r="FO99" s="69">
        <v>0.21114249090000001</v>
      </c>
      <c r="FP99" s="69">
        <v>0.2106552626</v>
      </c>
      <c r="FQ99" s="69">
        <v>0.21016942929999999</v>
      </c>
    </row>
    <row r="100" spans="1:173" x14ac:dyDescent="0.25">
      <c r="A100" s="71">
        <v>98</v>
      </c>
      <c r="B100" s="69">
        <v>0.32763188110000002</v>
      </c>
      <c r="C100" s="69">
        <v>0.3280631141</v>
      </c>
      <c r="D100" s="69">
        <v>0.3284163262</v>
      </c>
      <c r="E100" s="69">
        <v>0.3286968489</v>
      </c>
      <c r="F100" s="69">
        <v>0.3289096809</v>
      </c>
      <c r="G100" s="69">
        <v>0.3290595067</v>
      </c>
      <c r="H100" s="69">
        <v>0.32915071340000002</v>
      </c>
      <c r="I100" s="69">
        <v>0.32918740860000001</v>
      </c>
      <c r="J100" s="69">
        <v>0.32917343560000001</v>
      </c>
      <c r="K100" s="69">
        <v>0.32911238970000001</v>
      </c>
      <c r="L100" s="69">
        <v>0.3290076327</v>
      </c>
      <c r="M100" s="69">
        <v>0.32886230709999997</v>
      </c>
      <c r="N100" s="69">
        <v>0.32867934970000001</v>
      </c>
      <c r="O100" s="69">
        <v>0.32846150369999999</v>
      </c>
      <c r="P100" s="69">
        <v>0.32821133139999997</v>
      </c>
      <c r="Q100" s="69">
        <v>0.32793122549999998</v>
      </c>
      <c r="R100" s="69">
        <v>0.3276234194</v>
      </c>
      <c r="S100" s="69">
        <v>0.3272899977</v>
      </c>
      <c r="T100" s="69">
        <v>0.32693290549999998</v>
      </c>
      <c r="U100" s="69">
        <v>0.32655395749999999</v>
      </c>
      <c r="V100" s="69">
        <v>0.32615484649999998</v>
      </c>
      <c r="W100" s="69">
        <v>0.32573715110000001</v>
      </c>
      <c r="X100" s="69">
        <v>0.3253023431</v>
      </c>
      <c r="Y100" s="69">
        <v>0.324851795</v>
      </c>
      <c r="Z100" s="69">
        <v>0.32438678570000001</v>
      </c>
      <c r="AA100" s="69">
        <v>0.32390850729999998</v>
      </c>
      <c r="AB100" s="69">
        <v>0.32341807049999999</v>
      </c>
      <c r="AC100" s="69">
        <v>0.3229165101</v>
      </c>
      <c r="AD100" s="69">
        <v>0.32240479</v>
      </c>
      <c r="AE100" s="69">
        <v>0.32188380789999999</v>
      </c>
      <c r="AF100" s="69">
        <v>0.32135439960000001</v>
      </c>
      <c r="AG100" s="69">
        <v>0.3208173433</v>
      </c>
      <c r="AH100" s="69">
        <v>0.32027336340000001</v>
      </c>
      <c r="AI100" s="69">
        <v>0.31972313390000001</v>
      </c>
      <c r="AJ100" s="69">
        <v>0.3191672821</v>
      </c>
      <c r="AK100" s="69">
        <v>0.31860639149999997</v>
      </c>
      <c r="AL100" s="69">
        <v>0.31804100470000002</v>
      </c>
      <c r="AM100" s="69">
        <v>0.31747162620000002</v>
      </c>
      <c r="AN100" s="69">
        <v>0.31689872520000001</v>
      </c>
      <c r="AO100" s="69">
        <v>0.31632273760000001</v>
      </c>
      <c r="AP100" s="69">
        <v>0.31574406849999997</v>
      </c>
      <c r="AQ100" s="69">
        <v>0.31516309409999999</v>
      </c>
      <c r="AR100" s="69">
        <v>0.31458016389999999</v>
      </c>
      <c r="AS100" s="69">
        <v>0.31399560209999999</v>
      </c>
      <c r="AT100" s="69">
        <v>0.31340970969999998</v>
      </c>
      <c r="AU100" s="69">
        <v>0.31282276590000002</v>
      </c>
      <c r="AV100" s="69">
        <v>0.3122350297</v>
      </c>
      <c r="AW100" s="69">
        <v>0.311646741</v>
      </c>
      <c r="AX100" s="69">
        <v>0.31105812220000001</v>
      </c>
      <c r="AY100" s="69">
        <v>0.3104693791</v>
      </c>
      <c r="AZ100" s="69">
        <v>0.30988070229999998</v>
      </c>
      <c r="BA100" s="69">
        <v>0.3092922682</v>
      </c>
      <c r="BB100" s="69">
        <v>0.30870423949999998</v>
      </c>
      <c r="BC100" s="69">
        <v>0.30811676700000001</v>
      </c>
      <c r="BD100" s="69">
        <v>0.30752998970000001</v>
      </c>
      <c r="BE100" s="69">
        <v>0.30694403570000001</v>
      </c>
      <c r="BF100" s="69">
        <v>0.30635902329999998</v>
      </c>
      <c r="BG100" s="69">
        <v>0.30577506119999998</v>
      </c>
      <c r="BH100" s="69">
        <v>0.30519224979999998</v>
      </c>
      <c r="BI100" s="69">
        <v>0.30461068089999999</v>
      </c>
      <c r="BJ100" s="69">
        <v>0.30403043909999999</v>
      </c>
      <c r="BK100" s="69">
        <v>0.30345160189999998</v>
      </c>
      <c r="BL100" s="69">
        <v>0.30287424000000002</v>
      </c>
      <c r="BM100" s="69">
        <v>0.30229841829999998</v>
      </c>
      <c r="BN100" s="69">
        <v>0.301724196</v>
      </c>
      <c r="BO100" s="69">
        <v>0.30115162680000002</v>
      </c>
      <c r="BP100" s="69">
        <v>0.30058075969999998</v>
      </c>
      <c r="BQ100" s="69">
        <v>0.30001163889999999</v>
      </c>
      <c r="BR100" s="69">
        <v>0.29944430459999999</v>
      </c>
      <c r="BS100" s="69">
        <v>0.29887879290000002</v>
      </c>
      <c r="BT100" s="69">
        <v>0.29831513609999999</v>
      </c>
      <c r="BU100" s="69">
        <v>0.29775336330000002</v>
      </c>
      <c r="BV100" s="69">
        <v>0.29719350030000002</v>
      </c>
      <c r="BW100" s="69">
        <v>0.2966355698</v>
      </c>
      <c r="BX100" s="69">
        <v>0.29607959210000001</v>
      </c>
      <c r="BY100" s="69">
        <v>0.29552558449999999</v>
      </c>
      <c r="BZ100" s="69">
        <v>0.29497356229999999</v>
      </c>
      <c r="CA100" s="69">
        <v>0.29442353840000002</v>
      </c>
      <c r="CB100" s="69">
        <v>0.29387552360000002</v>
      </c>
      <c r="CC100" s="69">
        <v>0.29332952699999998</v>
      </c>
      <c r="CD100" s="69">
        <v>0.29278555569999998</v>
      </c>
      <c r="CE100" s="69">
        <v>0.29224361529999998</v>
      </c>
      <c r="CF100" s="69">
        <v>0.29170371</v>
      </c>
      <c r="CG100" s="69">
        <v>0.29116584220000002</v>
      </c>
      <c r="CH100" s="69">
        <v>0.29063001329999999</v>
      </c>
      <c r="CI100" s="69">
        <v>0.29009622359999998</v>
      </c>
      <c r="CJ100" s="69">
        <v>0.28956447200000002</v>
      </c>
      <c r="CK100" s="69">
        <v>0.28903475639999998</v>
      </c>
      <c r="CL100" s="69">
        <v>0.28850707390000002</v>
      </c>
      <c r="CM100" s="69">
        <v>0.28798142069999999</v>
      </c>
      <c r="CN100" s="69">
        <v>0.2874577921</v>
      </c>
      <c r="CO100" s="69">
        <v>0.28693618259999998</v>
      </c>
      <c r="CP100" s="69">
        <v>0.28641658619999999</v>
      </c>
      <c r="CQ100" s="69">
        <v>0.28589899600000002</v>
      </c>
      <c r="CR100" s="69">
        <v>0.28538340480000002</v>
      </c>
      <c r="CS100" s="69">
        <v>0.2848698046</v>
      </c>
      <c r="CT100" s="69">
        <v>0.2843581872</v>
      </c>
      <c r="CU100" s="69">
        <v>0.2838485436</v>
      </c>
      <c r="CV100" s="69">
        <v>0.28334086460000002</v>
      </c>
      <c r="CW100" s="69">
        <v>0.28283514069999999</v>
      </c>
      <c r="CX100" s="69">
        <v>0.28233136180000001</v>
      </c>
      <c r="CY100" s="69">
        <v>0.28182951769999998</v>
      </c>
      <c r="CZ100" s="69">
        <v>0.2813295978</v>
      </c>
      <c r="DA100" s="69">
        <v>0.28083159130000002</v>
      </c>
      <c r="DB100" s="69">
        <v>0.28033548720000001</v>
      </c>
      <c r="DC100" s="69">
        <v>0.27984127419999999</v>
      </c>
      <c r="DD100" s="69">
        <v>0.27934894090000001</v>
      </c>
      <c r="DE100" s="69">
        <v>0.2788584757</v>
      </c>
      <c r="DF100" s="69">
        <v>0.27836986679999998</v>
      </c>
      <c r="DG100" s="69">
        <v>0.27788310230000002</v>
      </c>
      <c r="DH100" s="69">
        <v>0.27739817020000002</v>
      </c>
      <c r="DI100" s="69">
        <v>0.27691505849999998</v>
      </c>
      <c r="DJ100" s="69">
        <v>0.27643375489999999</v>
      </c>
      <c r="DK100" s="69">
        <v>0.27595424730000001</v>
      </c>
      <c r="DL100" s="69">
        <v>0.2754765233</v>
      </c>
      <c r="DM100" s="69">
        <v>0.27500057049999999</v>
      </c>
      <c r="DN100" s="69">
        <v>0.2745263765</v>
      </c>
      <c r="DO100" s="69">
        <v>0.27405392899999997</v>
      </c>
      <c r="DP100" s="69">
        <v>0.27358321549999998</v>
      </c>
      <c r="DQ100" s="69">
        <v>0.27311422349999998</v>
      </c>
      <c r="DR100" s="69">
        <v>0.27264694070000001</v>
      </c>
      <c r="DS100" s="69">
        <v>0.27218135449999997</v>
      </c>
      <c r="DT100" s="69">
        <v>0.27171745250000001</v>
      </c>
      <c r="DU100" s="69">
        <v>0.27125522229999999</v>
      </c>
      <c r="DV100" s="69">
        <v>0.27079465149999998</v>
      </c>
      <c r="DW100" s="69">
        <v>0.27033572789999999</v>
      </c>
      <c r="DX100" s="69">
        <v>0.26987843890000002</v>
      </c>
      <c r="DY100" s="69">
        <v>0.26942277240000001</v>
      </c>
      <c r="DZ100" s="69">
        <v>0.2689687161</v>
      </c>
      <c r="EA100" s="69">
        <v>0.26851625779999999</v>
      </c>
      <c r="EB100" s="69">
        <v>0.26806538540000002</v>
      </c>
      <c r="EC100" s="69">
        <v>0.26761608669999998</v>
      </c>
      <c r="ED100" s="69">
        <v>0.26716834979999998</v>
      </c>
      <c r="EE100" s="69">
        <v>0.26672216259999998</v>
      </c>
      <c r="EF100" s="69">
        <v>0.26627751329999999</v>
      </c>
      <c r="EG100" s="69">
        <v>0.26583438999999998</v>
      </c>
      <c r="EH100" s="69">
        <v>0.26539278090000001</v>
      </c>
      <c r="EI100" s="69">
        <v>0.26495267420000002</v>
      </c>
      <c r="EJ100" s="69">
        <v>0.26451405839999997</v>
      </c>
      <c r="EK100" s="69">
        <v>0.26407692189999998</v>
      </c>
      <c r="EL100" s="69">
        <v>0.26364125319999998</v>
      </c>
      <c r="EM100" s="69">
        <v>0.26320704080000001</v>
      </c>
      <c r="EN100" s="69">
        <v>0.26277427339999998</v>
      </c>
      <c r="EO100" s="69">
        <v>0.26234293980000001</v>
      </c>
      <c r="EP100" s="69">
        <v>0.26191302859999999</v>
      </c>
      <c r="EQ100" s="69">
        <v>0.26148452890000001</v>
      </c>
      <c r="ER100" s="69">
        <v>0.26105742949999999</v>
      </c>
      <c r="ES100" s="69">
        <v>0.26063171950000003</v>
      </c>
      <c r="ET100" s="69">
        <v>0.26020738809999999</v>
      </c>
      <c r="EU100" s="69">
        <v>0.25978442439999999</v>
      </c>
      <c r="EV100" s="69">
        <v>0.25936281770000003</v>
      </c>
      <c r="EW100" s="69">
        <v>0.2589425574</v>
      </c>
      <c r="EX100" s="69">
        <v>0.25852363290000002</v>
      </c>
      <c r="EY100" s="69">
        <v>0.25810603370000001</v>
      </c>
      <c r="EZ100" s="69">
        <v>0.25768974950000001</v>
      </c>
      <c r="FA100" s="69">
        <v>0.25727476999999999</v>
      </c>
      <c r="FB100" s="69">
        <v>0.25686108479999997</v>
      </c>
      <c r="FC100" s="69">
        <v>0.25644868399999998</v>
      </c>
      <c r="FD100" s="69">
        <v>0.2560375574</v>
      </c>
      <c r="FE100" s="69">
        <v>0.25562769499999999</v>
      </c>
      <c r="FF100" s="69">
        <v>0.2552190869</v>
      </c>
      <c r="FG100" s="69">
        <v>0.25481172340000002</v>
      </c>
      <c r="FH100" s="69">
        <v>0.25440559470000002</v>
      </c>
      <c r="FI100" s="69">
        <v>0.254000691</v>
      </c>
      <c r="FJ100" s="69">
        <v>0.25359700299999999</v>
      </c>
      <c r="FK100" s="69">
        <v>0.25319452100000001</v>
      </c>
      <c r="FL100" s="69">
        <v>0.25279323570000001</v>
      </c>
      <c r="FM100" s="69">
        <v>0.25239313769999999</v>
      </c>
      <c r="FN100" s="69">
        <v>0.25199421779999998</v>
      </c>
      <c r="FO100" s="69">
        <v>0.25159646679999997</v>
      </c>
      <c r="FP100" s="69">
        <v>0.25119987560000001</v>
      </c>
      <c r="FQ100" s="69">
        <v>0.25080443520000001</v>
      </c>
    </row>
    <row r="101" spans="1:173" x14ac:dyDescent="0.25">
      <c r="A101" s="71">
        <v>99</v>
      </c>
      <c r="B101" s="69">
        <v>0.34924022729999998</v>
      </c>
      <c r="C101" s="69">
        <v>0.34980247219999999</v>
      </c>
      <c r="D101" s="69">
        <v>0.35028646190000001</v>
      </c>
      <c r="E101" s="69">
        <v>0.35069758509999999</v>
      </c>
      <c r="F101" s="69">
        <v>0.351040888</v>
      </c>
      <c r="G101" s="69">
        <v>0.35132109319999999</v>
      </c>
      <c r="H101" s="69">
        <v>0.35154261920000002</v>
      </c>
      <c r="I101" s="69">
        <v>0.35170959810000002</v>
      </c>
      <c r="J101" s="69">
        <v>0.35182589279999998</v>
      </c>
      <c r="K101" s="69">
        <v>0.35189511330000001</v>
      </c>
      <c r="L101" s="69">
        <v>0.35192063239999999</v>
      </c>
      <c r="M101" s="69">
        <v>0.35190560040000002</v>
      </c>
      <c r="N101" s="69">
        <v>0.35185295900000002</v>
      </c>
      <c r="O101" s="69">
        <v>0.35176545450000002</v>
      </c>
      <c r="P101" s="69">
        <v>0.3516456503</v>
      </c>
      <c r="Q101" s="69">
        <v>0.35149593839999999</v>
      </c>
      <c r="R101" s="69">
        <v>0.35131855080000002</v>
      </c>
      <c r="S101" s="69">
        <v>0.35111556929999999</v>
      </c>
      <c r="T101" s="69">
        <v>0.35088893599999998</v>
      </c>
      <c r="U101" s="69">
        <v>0.35064046170000002</v>
      </c>
      <c r="V101" s="69">
        <v>0.35037183490000001</v>
      </c>
      <c r="W101" s="69">
        <v>0.35008462959999997</v>
      </c>
      <c r="X101" s="69">
        <v>0.34978031310000002</v>
      </c>
      <c r="Y101" s="69">
        <v>0.34946025279999998</v>
      </c>
      <c r="Z101" s="69">
        <v>0.34912572310000001</v>
      </c>
      <c r="AA101" s="69">
        <v>0.3487779111</v>
      </c>
      <c r="AB101" s="69">
        <v>0.34841792300000002</v>
      </c>
      <c r="AC101" s="69">
        <v>0.34804678890000001</v>
      </c>
      <c r="AD101" s="69">
        <v>0.3476654683</v>
      </c>
      <c r="AE101" s="69">
        <v>0.34727485470000002</v>
      </c>
      <c r="AF101" s="69">
        <v>0.3468757797</v>
      </c>
      <c r="AG101" s="69">
        <v>0.3464690178</v>
      </c>
      <c r="AH101" s="69">
        <v>0.34605528949999997</v>
      </c>
      <c r="AI101" s="69">
        <v>0.34563526550000001</v>
      </c>
      <c r="AJ101" s="69">
        <v>0.3452095698</v>
      </c>
      <c r="AK101" s="69">
        <v>0.3447787826</v>
      </c>
      <c r="AL101" s="69">
        <v>0.34434344389999999</v>
      </c>
      <c r="AM101" s="69">
        <v>0.34390405540000002</v>
      </c>
      <c r="AN101" s="69">
        <v>0.34346108380000001</v>
      </c>
      <c r="AO101" s="69">
        <v>0.34301496269999998</v>
      </c>
      <c r="AP101" s="69">
        <v>0.34256609500000001</v>
      </c>
      <c r="AQ101" s="69">
        <v>0.342114855</v>
      </c>
      <c r="AR101" s="69">
        <v>0.34166159029999998</v>
      </c>
      <c r="AS101" s="69">
        <v>0.34120662340000002</v>
      </c>
      <c r="AT101" s="69">
        <v>0.34075025390000002</v>
      </c>
      <c r="AU101" s="69">
        <v>0.34029275949999999</v>
      </c>
      <c r="AV101" s="69">
        <v>0.33983439780000002</v>
      </c>
      <c r="AW101" s="69">
        <v>0.33937540779999997</v>
      </c>
      <c r="AX101" s="69">
        <v>0.33891601049999998</v>
      </c>
      <c r="AY101" s="69">
        <v>0.33845641110000002</v>
      </c>
      <c r="AZ101" s="69">
        <v>0.33799679910000002</v>
      </c>
      <c r="BA101" s="69">
        <v>0.33753735010000002</v>
      </c>
      <c r="BB101" s="69">
        <v>0.33707822630000001</v>
      </c>
      <c r="BC101" s="69">
        <v>0.33661957770000001</v>
      </c>
      <c r="BD101" s="69">
        <v>0.33616154279999999</v>
      </c>
      <c r="BE101" s="69">
        <v>0.33570424920000003</v>
      </c>
      <c r="BF101" s="69">
        <v>0.33524781479999999</v>
      </c>
      <c r="BG101" s="69">
        <v>0.33479234800000002</v>
      </c>
      <c r="BH101" s="69">
        <v>0.33433794859999999</v>
      </c>
      <c r="BI101" s="69">
        <v>0.3338847083</v>
      </c>
      <c r="BJ101" s="69">
        <v>0.33343271149999998</v>
      </c>
      <c r="BK101" s="69">
        <v>0.33298203529999998</v>
      </c>
      <c r="BL101" s="69">
        <v>0.33253275040000002</v>
      </c>
      <c r="BM101" s="69">
        <v>0.33208492150000002</v>
      </c>
      <c r="BN101" s="69">
        <v>0.33163860769999998</v>
      </c>
      <c r="BO101" s="69">
        <v>0.33119386249999999</v>
      </c>
      <c r="BP101" s="69">
        <v>0.3307507348</v>
      </c>
      <c r="BQ101" s="69">
        <v>0.33030926900000002</v>
      </c>
      <c r="BR101" s="69">
        <v>0.32986950500000001</v>
      </c>
      <c r="BS101" s="69">
        <v>0.32943147900000003</v>
      </c>
      <c r="BT101" s="69">
        <v>0.32899522320000002</v>
      </c>
      <c r="BU101" s="69">
        <v>0.32856076680000001</v>
      </c>
      <c r="BV101" s="69">
        <v>0.32812813549999997</v>
      </c>
      <c r="BW101" s="69">
        <v>0.32769735210000001</v>
      </c>
      <c r="BX101" s="69">
        <v>0.32726843680000001</v>
      </c>
      <c r="BY101" s="69">
        <v>0.32684140709999998</v>
      </c>
      <c r="BZ101" s="69">
        <v>0.32641627820000002</v>
      </c>
      <c r="CA101" s="69">
        <v>0.32599306309999998</v>
      </c>
      <c r="CB101" s="69">
        <v>0.32557177259999998</v>
      </c>
      <c r="CC101" s="69">
        <v>0.32515241579999998</v>
      </c>
      <c r="CD101" s="69">
        <v>0.324735</v>
      </c>
      <c r="CE101" s="69">
        <v>0.32431953060000002</v>
      </c>
      <c r="CF101" s="69">
        <v>0.32390601190000001</v>
      </c>
      <c r="CG101" s="69">
        <v>0.32349444649999998</v>
      </c>
      <c r="CH101" s="69">
        <v>0.32308483580000003</v>
      </c>
      <c r="CI101" s="69">
        <v>0.3226771799</v>
      </c>
      <c r="CJ101" s="69">
        <v>0.32227147789999999</v>
      </c>
      <c r="CK101" s="69">
        <v>0.3218677278</v>
      </c>
      <c r="CL101" s="69">
        <v>0.32146592660000001</v>
      </c>
      <c r="CM101" s="69">
        <v>0.32106607050000002</v>
      </c>
      <c r="CN101" s="69">
        <v>0.32066815479999999</v>
      </c>
      <c r="CO101" s="69">
        <v>0.32027217419999998</v>
      </c>
      <c r="CP101" s="69">
        <v>0.31987812240000002</v>
      </c>
      <c r="CQ101" s="69">
        <v>0.31948599280000001</v>
      </c>
      <c r="CR101" s="69">
        <v>0.319095778</v>
      </c>
      <c r="CS101" s="69">
        <v>0.3187074701</v>
      </c>
      <c r="CT101" s="69">
        <v>0.3183210608</v>
      </c>
      <c r="CU101" s="69">
        <v>0.31793654110000003</v>
      </c>
      <c r="CV101" s="69">
        <v>0.31755390179999998</v>
      </c>
      <c r="CW101" s="69">
        <v>0.31717313330000002</v>
      </c>
      <c r="CX101" s="69">
        <v>0.31679422559999998</v>
      </c>
      <c r="CY101" s="69">
        <v>0.3164171684</v>
      </c>
      <c r="CZ101" s="69">
        <v>0.31604195099999999</v>
      </c>
      <c r="DA101" s="69">
        <v>0.31566856259999998</v>
      </c>
      <c r="DB101" s="69">
        <v>0.315296992</v>
      </c>
      <c r="DC101" s="69">
        <v>0.31492722810000001</v>
      </c>
      <c r="DD101" s="69">
        <v>0.3145592592</v>
      </c>
      <c r="DE101" s="69">
        <v>0.31419307359999998</v>
      </c>
      <c r="DF101" s="69">
        <v>0.31382865970000001</v>
      </c>
      <c r="DG101" s="69">
        <v>0.31346600520000001</v>
      </c>
      <c r="DH101" s="69">
        <v>0.3131050983</v>
      </c>
      <c r="DI101" s="69">
        <v>0.31274592670000001</v>
      </c>
      <c r="DJ101" s="69">
        <v>0.31238847809999998</v>
      </c>
      <c r="DK101" s="69">
        <v>0.31203274009999998</v>
      </c>
      <c r="DL101" s="69">
        <v>0.31167870040000001</v>
      </c>
      <c r="DM101" s="69">
        <v>0.31132634640000001</v>
      </c>
      <c r="DN101" s="69">
        <v>0.31097566570000001</v>
      </c>
      <c r="DO101" s="69">
        <v>0.31062664569999998</v>
      </c>
      <c r="DP101" s="69">
        <v>0.31027927379999998</v>
      </c>
      <c r="DQ101" s="69">
        <v>0.30993353750000002</v>
      </c>
      <c r="DR101" s="69">
        <v>0.30958942410000001</v>
      </c>
      <c r="DS101" s="69">
        <v>0.30924692110000002</v>
      </c>
      <c r="DT101" s="69">
        <v>0.3089060159</v>
      </c>
      <c r="DU101" s="69">
        <v>0.30856669599999997</v>
      </c>
      <c r="DV101" s="69">
        <v>0.3082289486</v>
      </c>
      <c r="DW101" s="69">
        <v>0.3078927615</v>
      </c>
      <c r="DX101" s="69">
        <v>0.30755812199999999</v>
      </c>
      <c r="DY101" s="69">
        <v>0.30722501759999998</v>
      </c>
      <c r="DZ101" s="69">
        <v>0.30689343610000003</v>
      </c>
      <c r="EA101" s="69">
        <v>0.30656336499999998</v>
      </c>
      <c r="EB101" s="69">
        <v>0.30623479190000003</v>
      </c>
      <c r="EC101" s="69">
        <v>0.3059077046</v>
      </c>
      <c r="ED101" s="69">
        <v>0.30558209089999999</v>
      </c>
      <c r="EE101" s="69">
        <v>0.30525793849999999</v>
      </c>
      <c r="EF101" s="69">
        <v>0.3049352354</v>
      </c>
      <c r="EG101" s="69">
        <v>0.30461396950000003</v>
      </c>
      <c r="EH101" s="69">
        <v>0.30429412890000002</v>
      </c>
      <c r="EI101" s="69">
        <v>0.30397570149999997</v>
      </c>
      <c r="EJ101" s="69">
        <v>0.30365867559999998</v>
      </c>
      <c r="EK101" s="69">
        <v>0.30334303930000001</v>
      </c>
      <c r="EL101" s="69">
        <v>0.30302878100000002</v>
      </c>
      <c r="EM101" s="69">
        <v>0.30271588890000001</v>
      </c>
      <c r="EN101" s="69">
        <v>0.3024043515</v>
      </c>
      <c r="EO101" s="69">
        <v>0.3020941573</v>
      </c>
      <c r="EP101" s="69">
        <v>0.30178529479999999</v>
      </c>
      <c r="EQ101" s="69">
        <v>0.30147775269999999</v>
      </c>
      <c r="ER101" s="69">
        <v>0.30117151980000001</v>
      </c>
      <c r="ES101" s="69">
        <v>0.30086658469999999</v>
      </c>
      <c r="ET101" s="69">
        <v>0.30056293649999999</v>
      </c>
      <c r="EU101" s="69">
        <v>0.3002605639</v>
      </c>
      <c r="EV101" s="69">
        <v>0.29995945619999997</v>
      </c>
      <c r="EW101" s="69">
        <v>0.29965960229999999</v>
      </c>
      <c r="EX101" s="69">
        <v>0.29936099150000001</v>
      </c>
      <c r="EY101" s="69">
        <v>0.29906361300000001</v>
      </c>
      <c r="EZ101" s="69">
        <v>0.2987674561</v>
      </c>
      <c r="FA101" s="69">
        <v>0.2984725104</v>
      </c>
      <c r="FB101" s="69">
        <v>0.29817876529999998</v>
      </c>
      <c r="FC101" s="69">
        <v>0.29788621040000002</v>
      </c>
      <c r="FD101" s="69">
        <v>0.29759483530000003</v>
      </c>
      <c r="FE101" s="69">
        <v>0.2973046298</v>
      </c>
      <c r="FF101" s="69">
        <v>0.29701558369999997</v>
      </c>
      <c r="FG101" s="69">
        <v>0.29672768700000002</v>
      </c>
      <c r="FH101" s="69">
        <v>0.29644092960000001</v>
      </c>
      <c r="FI101" s="69">
        <v>0.29615530150000002</v>
      </c>
      <c r="FJ101" s="69">
        <v>0.29587079300000002</v>
      </c>
      <c r="FK101" s="69">
        <v>0.29558739410000001</v>
      </c>
      <c r="FL101" s="69">
        <v>0.29530509529999999</v>
      </c>
      <c r="FM101" s="69">
        <v>0.29502388689999998</v>
      </c>
      <c r="FN101" s="69">
        <v>0.29474375940000003</v>
      </c>
      <c r="FO101" s="69">
        <v>0.29446470320000001</v>
      </c>
      <c r="FP101" s="69">
        <v>0.2941867091</v>
      </c>
      <c r="FQ101" s="69">
        <v>0.29390976759999998</v>
      </c>
    </row>
    <row r="102" spans="1:173" x14ac:dyDescent="0.25">
      <c r="A102" s="71">
        <v>100</v>
      </c>
      <c r="B102" s="69">
        <v>0.37054747030000001</v>
      </c>
      <c r="C102" s="69">
        <v>0.37123164930000002</v>
      </c>
      <c r="D102" s="69">
        <v>0.37183795790000002</v>
      </c>
      <c r="E102" s="69">
        <v>0.37237181450000001</v>
      </c>
      <c r="F102" s="69">
        <v>0.37283828610000003</v>
      </c>
      <c r="G102" s="69">
        <v>0.37324210870000002</v>
      </c>
      <c r="H102" s="69">
        <v>0.37358770769999999</v>
      </c>
      <c r="I102" s="69">
        <v>0.37387921709999999</v>
      </c>
      <c r="J102" s="69">
        <v>0.37412049730000002</v>
      </c>
      <c r="K102" s="69">
        <v>0.3743151522</v>
      </c>
      <c r="L102" s="69">
        <v>0.37446654600000001</v>
      </c>
      <c r="M102" s="69">
        <v>0.37457781779999999</v>
      </c>
      <c r="N102" s="69">
        <v>0.37465189650000003</v>
      </c>
      <c r="O102" s="69">
        <v>0.3746915146</v>
      </c>
      <c r="P102" s="69">
        <v>0.37469922020000002</v>
      </c>
      <c r="Q102" s="69">
        <v>0.37467738979999998</v>
      </c>
      <c r="R102" s="69">
        <v>0.37462823940000001</v>
      </c>
      <c r="S102" s="69">
        <v>0.37455383460000002</v>
      </c>
      <c r="T102" s="69">
        <v>0.37445610130000001</v>
      </c>
      <c r="U102" s="69">
        <v>0.37433683410000002</v>
      </c>
      <c r="V102" s="69">
        <v>0.3741977058</v>
      </c>
      <c r="W102" s="69">
        <v>0.37404027499999998</v>
      </c>
      <c r="X102" s="69">
        <v>0.37386599380000002</v>
      </c>
      <c r="Y102" s="69">
        <v>0.3736762153</v>
      </c>
      <c r="Z102" s="69">
        <v>0.37347219949999999</v>
      </c>
      <c r="AA102" s="69">
        <v>0.37325512030000002</v>
      </c>
      <c r="AB102" s="69">
        <v>0.3730260708</v>
      </c>
      <c r="AC102" s="69">
        <v>0.37278606879999998</v>
      </c>
      <c r="AD102" s="69">
        <v>0.372536062</v>
      </c>
      <c r="AE102" s="69">
        <v>0.37227693249999999</v>
      </c>
      <c r="AF102" s="69">
        <v>0.37200950160000001</v>
      </c>
      <c r="AG102" s="69">
        <v>0.37173453350000002</v>
      </c>
      <c r="AH102" s="69">
        <v>0.37145273919999999</v>
      </c>
      <c r="AI102" s="69">
        <v>0.37116478050000001</v>
      </c>
      <c r="AJ102" s="69">
        <v>0.37087127279999998</v>
      </c>
      <c r="AK102" s="69">
        <v>0.37057278830000001</v>
      </c>
      <c r="AL102" s="69">
        <v>0.37026985959999997</v>
      </c>
      <c r="AM102" s="69">
        <v>0.36996298119999999</v>
      </c>
      <c r="AN102" s="69">
        <v>0.36965261329999999</v>
      </c>
      <c r="AO102" s="69">
        <v>0.36933918319999998</v>
      </c>
      <c r="AP102" s="69">
        <v>0.36902308810000001</v>
      </c>
      <c r="AQ102" s="69">
        <v>0.3687046967</v>
      </c>
      <c r="AR102" s="69">
        <v>0.36838435159999999</v>
      </c>
      <c r="AS102" s="69">
        <v>0.36806237060000002</v>
      </c>
      <c r="AT102" s="69">
        <v>0.36773904880000002</v>
      </c>
      <c r="AU102" s="69">
        <v>0.36741465979999999</v>
      </c>
      <c r="AV102" s="69">
        <v>0.36708945739999999</v>
      </c>
      <c r="AW102" s="69">
        <v>0.36676367679999999</v>
      </c>
      <c r="AX102" s="69">
        <v>0.36643753600000001</v>
      </c>
      <c r="AY102" s="69">
        <v>0.36611123690000003</v>
      </c>
      <c r="AZ102" s="69">
        <v>0.3657849661</v>
      </c>
      <c r="BA102" s="69">
        <v>0.36545889660000003</v>
      </c>
      <c r="BB102" s="69">
        <v>0.36513318810000001</v>
      </c>
      <c r="BC102" s="69">
        <v>0.36480798840000001</v>
      </c>
      <c r="BD102" s="69">
        <v>0.36448343360000002</v>
      </c>
      <c r="BE102" s="69">
        <v>0.36415964969999998</v>
      </c>
      <c r="BF102" s="69">
        <v>0.36383675250000003</v>
      </c>
      <c r="BG102" s="69">
        <v>0.36351484880000001</v>
      </c>
      <c r="BH102" s="69">
        <v>0.36319403690000002</v>
      </c>
      <c r="BI102" s="69">
        <v>0.36287440710000002</v>
      </c>
      <c r="BJ102" s="69">
        <v>0.36255604229999999</v>
      </c>
      <c r="BK102" s="69">
        <v>0.3622390184</v>
      </c>
      <c r="BL102" s="69">
        <v>0.3619234053</v>
      </c>
      <c r="BM102" s="69">
        <v>0.36160926630000001</v>
      </c>
      <c r="BN102" s="69">
        <v>0.36129665960000001</v>
      </c>
      <c r="BO102" s="69">
        <v>0.360985638</v>
      </c>
      <c r="BP102" s="69">
        <v>0.3606762496</v>
      </c>
      <c r="BQ102" s="69">
        <v>0.3603685378</v>
      </c>
      <c r="BR102" s="69">
        <v>0.3600625422</v>
      </c>
      <c r="BS102" s="69">
        <v>0.35975829799999998</v>
      </c>
      <c r="BT102" s="69">
        <v>0.35945583720000002</v>
      </c>
      <c r="BU102" s="69">
        <v>0.35915518829999998</v>
      </c>
      <c r="BV102" s="69">
        <v>0.35885637650000002</v>
      </c>
      <c r="BW102" s="69">
        <v>0.35855942439999999</v>
      </c>
      <c r="BX102" s="69">
        <v>0.35826435159999998</v>
      </c>
      <c r="BY102" s="69">
        <v>0.3579711753</v>
      </c>
      <c r="BZ102" s="69">
        <v>0.35767991049999998</v>
      </c>
      <c r="CA102" s="69">
        <v>0.35739056959999999</v>
      </c>
      <c r="CB102" s="69">
        <v>0.35710316349999999</v>
      </c>
      <c r="CC102" s="69">
        <v>0.35681770089999998</v>
      </c>
      <c r="CD102" s="69">
        <v>0.35653418889999999</v>
      </c>
      <c r="CE102" s="69">
        <v>0.35625263280000002</v>
      </c>
      <c r="CF102" s="69">
        <v>0.35597303660000001</v>
      </c>
      <c r="CG102" s="69">
        <v>0.35569540290000001</v>
      </c>
      <c r="CH102" s="69">
        <v>0.35541973269999999</v>
      </c>
      <c r="CI102" s="69">
        <v>0.35514602629999997</v>
      </c>
      <c r="CJ102" s="69">
        <v>0.35487428250000003</v>
      </c>
      <c r="CK102" s="69">
        <v>0.35460449929999999</v>
      </c>
      <c r="CL102" s="69">
        <v>0.35433667359999999</v>
      </c>
      <c r="CM102" s="69">
        <v>0.35407080140000002</v>
      </c>
      <c r="CN102" s="69">
        <v>0.3538068781</v>
      </c>
      <c r="CO102" s="69">
        <v>0.35354489830000002</v>
      </c>
      <c r="CP102" s="69">
        <v>0.3532848556</v>
      </c>
      <c r="CQ102" s="69">
        <v>0.35302674340000001</v>
      </c>
      <c r="CR102" s="69">
        <v>0.35277055429999998</v>
      </c>
      <c r="CS102" s="69">
        <v>0.35251628029999998</v>
      </c>
      <c r="CT102" s="69">
        <v>0.35226391299999998</v>
      </c>
      <c r="CU102" s="69">
        <v>0.35201344350000002</v>
      </c>
      <c r="CV102" s="69">
        <v>0.35176486260000001</v>
      </c>
      <c r="CW102" s="69">
        <v>0.35151816060000002</v>
      </c>
      <c r="CX102" s="69">
        <v>0.35127332750000001</v>
      </c>
      <c r="CY102" s="69">
        <v>0.35103035300000002</v>
      </c>
      <c r="CZ102" s="69">
        <v>0.35078922639999999</v>
      </c>
      <c r="DA102" s="69">
        <v>0.35054993680000002</v>
      </c>
      <c r="DB102" s="69">
        <v>0.35031247310000002</v>
      </c>
      <c r="DC102" s="69">
        <v>0.35007682410000002</v>
      </c>
      <c r="DD102" s="69">
        <v>0.34984297809999998</v>
      </c>
      <c r="DE102" s="69">
        <v>0.34961092360000001</v>
      </c>
      <c r="DF102" s="69">
        <v>0.34938064860000001</v>
      </c>
      <c r="DG102" s="69">
        <v>0.34915214109999998</v>
      </c>
      <c r="DH102" s="69">
        <v>0.34892538909999998</v>
      </c>
      <c r="DI102" s="69">
        <v>0.3487003803</v>
      </c>
      <c r="DJ102" s="69">
        <v>0.34847710250000002</v>
      </c>
      <c r="DK102" s="69">
        <v>0.34825554320000002</v>
      </c>
      <c r="DL102" s="69">
        <v>0.34803569010000002</v>
      </c>
      <c r="DM102" s="69">
        <v>0.34781753059999998</v>
      </c>
      <c r="DN102" s="69">
        <v>0.34760105219999998</v>
      </c>
      <c r="DO102" s="69">
        <v>0.34738624239999999</v>
      </c>
      <c r="DP102" s="69">
        <v>0.3471730884</v>
      </c>
      <c r="DQ102" s="69">
        <v>0.34696157779999998</v>
      </c>
      <c r="DR102" s="69">
        <v>0.34675169789999999</v>
      </c>
      <c r="DS102" s="69">
        <v>0.34654343609999999</v>
      </c>
      <c r="DT102" s="69">
        <v>0.34633677969999999</v>
      </c>
      <c r="DU102" s="69">
        <v>0.34613171609999999</v>
      </c>
      <c r="DV102" s="69">
        <v>0.34592823280000001</v>
      </c>
      <c r="DW102" s="69">
        <v>0.34572631729999997</v>
      </c>
      <c r="DX102" s="69">
        <v>0.34552595679999998</v>
      </c>
      <c r="DY102" s="69">
        <v>0.34532713900000001</v>
      </c>
      <c r="DZ102" s="69">
        <v>0.34512985140000002</v>
      </c>
      <c r="EA102" s="69">
        <v>0.34493408149999999</v>
      </c>
      <c r="EB102" s="69">
        <v>0.344739817</v>
      </c>
      <c r="EC102" s="69">
        <v>0.34454704559999999</v>
      </c>
      <c r="ED102" s="69">
        <v>0.34435575480000002</v>
      </c>
      <c r="EE102" s="69">
        <v>0.3441659326</v>
      </c>
      <c r="EF102" s="69">
        <v>0.34397756670000001</v>
      </c>
      <c r="EG102" s="69">
        <v>0.34379064500000001</v>
      </c>
      <c r="EH102" s="69">
        <v>0.34360515539999997</v>
      </c>
      <c r="EI102" s="69">
        <v>0.34342108599999999</v>
      </c>
      <c r="EJ102" s="69">
        <v>0.34323842490000001</v>
      </c>
      <c r="EK102" s="69">
        <v>0.34305716000000003</v>
      </c>
      <c r="EL102" s="69">
        <v>0.34287727969999998</v>
      </c>
      <c r="EM102" s="69">
        <v>0.3426987722</v>
      </c>
      <c r="EN102" s="69">
        <v>0.34252162590000002</v>
      </c>
      <c r="EO102" s="69">
        <v>0.34234582920000001</v>
      </c>
      <c r="EP102" s="69">
        <v>0.34217137040000001</v>
      </c>
      <c r="EQ102" s="69">
        <v>0.34199823829999998</v>
      </c>
      <c r="ER102" s="69">
        <v>0.34182642149999998</v>
      </c>
      <c r="ES102" s="69">
        <v>0.34165590849999999</v>
      </c>
      <c r="ET102" s="69">
        <v>0.34148668830000001</v>
      </c>
      <c r="EU102" s="69">
        <v>0.34131874969999998</v>
      </c>
      <c r="EV102" s="69">
        <v>0.34115208149999998</v>
      </c>
      <c r="EW102" s="69">
        <v>0.34098667290000001</v>
      </c>
      <c r="EX102" s="69">
        <v>0.34082251279999998</v>
      </c>
      <c r="EY102" s="69">
        <v>0.3406595905</v>
      </c>
      <c r="EZ102" s="69">
        <v>0.34049789520000001</v>
      </c>
      <c r="FA102" s="69">
        <v>0.34033741620000002</v>
      </c>
      <c r="FB102" s="69">
        <v>0.34017814289999998</v>
      </c>
      <c r="FC102" s="69">
        <v>0.34002006480000002</v>
      </c>
      <c r="FD102" s="69">
        <v>0.33986317150000001</v>
      </c>
      <c r="FE102" s="69">
        <v>0.33970745250000001</v>
      </c>
      <c r="FF102" s="69">
        <v>0.33955289750000001</v>
      </c>
      <c r="FG102" s="69">
        <v>0.3393994964</v>
      </c>
      <c r="FH102" s="69">
        <v>0.33924723899999998</v>
      </c>
      <c r="FI102" s="69">
        <v>0.3390961153</v>
      </c>
      <c r="FJ102" s="69">
        <v>0.33894611520000001</v>
      </c>
      <c r="FK102" s="69">
        <v>0.33879722890000002</v>
      </c>
      <c r="FL102" s="69">
        <v>0.33864944660000001</v>
      </c>
      <c r="FM102" s="69">
        <v>0.33850275839999999</v>
      </c>
      <c r="FN102" s="69">
        <v>0.3383571547</v>
      </c>
      <c r="FO102" s="69">
        <v>0.33821262590000001</v>
      </c>
      <c r="FP102" s="69">
        <v>0.33806916250000002</v>
      </c>
      <c r="FQ102" s="69">
        <v>0.33792675500000002</v>
      </c>
    </row>
    <row r="103" spans="1:173" x14ac:dyDescent="0.25">
      <c r="A103" s="71">
        <v>101</v>
      </c>
      <c r="B103" s="69">
        <v>0.39136040030000002</v>
      </c>
      <c r="C103" s="69">
        <v>0.39215421820000002</v>
      </c>
      <c r="D103" s="69">
        <v>0.39287111229999999</v>
      </c>
      <c r="E103" s="69">
        <v>0.39351650189999998</v>
      </c>
      <c r="F103" s="69">
        <v>0.39409544689999998</v>
      </c>
      <c r="G103" s="69">
        <v>0.39461267049999998</v>
      </c>
      <c r="H103" s="69">
        <v>0.39507258000000001</v>
      </c>
      <c r="I103" s="69">
        <v>0.39547928770000002</v>
      </c>
      <c r="J103" s="69">
        <v>0.39583662889999999</v>
      </c>
      <c r="K103" s="69">
        <v>0.3961481805</v>
      </c>
      <c r="L103" s="69">
        <v>0.39641727770000001</v>
      </c>
      <c r="M103" s="69">
        <v>0.39664702969999999</v>
      </c>
      <c r="N103" s="69">
        <v>0.39684033480000003</v>
      </c>
      <c r="O103" s="69">
        <v>0.39699989429999999</v>
      </c>
      <c r="P103" s="69">
        <v>0.39712822549999999</v>
      </c>
      <c r="Q103" s="69">
        <v>0.39722767409999998</v>
      </c>
      <c r="R103" s="69">
        <v>0.39730042570000002</v>
      </c>
      <c r="S103" s="69">
        <v>0.39734851630000001</v>
      </c>
      <c r="T103" s="69">
        <v>0.39737384279999999</v>
      </c>
      <c r="U103" s="69">
        <v>0.39737817180000001</v>
      </c>
      <c r="V103" s="69">
        <v>0.39736314880000001</v>
      </c>
      <c r="W103" s="69">
        <v>0.3973303064</v>
      </c>
      <c r="X103" s="69">
        <v>0.39728107140000002</v>
      </c>
      <c r="Y103" s="69">
        <v>0.3972167727</v>
      </c>
      <c r="Z103" s="69">
        <v>0.39713864739999999</v>
      </c>
      <c r="AA103" s="69">
        <v>0.39704784720000003</v>
      </c>
      <c r="AB103" s="69">
        <v>0.3969454442</v>
      </c>
      <c r="AC103" s="69">
        <v>0.39683243620000003</v>
      </c>
      <c r="AD103" s="69">
        <v>0.39670975200000003</v>
      </c>
      <c r="AE103" s="69">
        <v>0.39657825559999998</v>
      </c>
      <c r="AF103" s="69">
        <v>0.3964387513</v>
      </c>
      <c r="AG103" s="69">
        <v>0.39629198700000001</v>
      </c>
      <c r="AH103" s="69">
        <v>0.39613865869999998</v>
      </c>
      <c r="AI103" s="69">
        <v>0.39597941339999998</v>
      </c>
      <c r="AJ103" s="69">
        <v>0.39581485300000002</v>
      </c>
      <c r="AK103" s="69">
        <v>0.3956455371</v>
      </c>
      <c r="AL103" s="69">
        <v>0.39547198579999998</v>
      </c>
      <c r="AM103" s="69">
        <v>0.3952946826</v>
      </c>
      <c r="AN103" s="69">
        <v>0.39511407659999997</v>
      </c>
      <c r="AO103" s="69">
        <v>0.39493058520000002</v>
      </c>
      <c r="AP103" s="69">
        <v>0.39474459610000001</v>
      </c>
      <c r="AQ103" s="69">
        <v>0.39455646900000002</v>
      </c>
      <c r="AR103" s="69">
        <v>0.39436653820000001</v>
      </c>
      <c r="AS103" s="69">
        <v>0.39417511360000002</v>
      </c>
      <c r="AT103" s="69">
        <v>0.39398248289999999</v>
      </c>
      <c r="AU103" s="69">
        <v>0.39378891290000001</v>
      </c>
      <c r="AV103" s="69">
        <v>0.39359465069999999</v>
      </c>
      <c r="AW103" s="69">
        <v>0.39339992569999999</v>
      </c>
      <c r="AX103" s="69">
        <v>0.39320494989999999</v>
      </c>
      <c r="AY103" s="69">
        <v>0.3930099198</v>
      </c>
      <c r="AZ103" s="69">
        <v>0.39281501740000002</v>
      </c>
      <c r="BA103" s="69">
        <v>0.39262041069999998</v>
      </c>
      <c r="BB103" s="69">
        <v>0.39242625520000002</v>
      </c>
      <c r="BC103" s="69">
        <v>0.39223269420000001</v>
      </c>
      <c r="BD103" s="69">
        <v>0.3920398605</v>
      </c>
      <c r="BE103" s="69">
        <v>0.39184787599999998</v>
      </c>
      <c r="BF103" s="69">
        <v>0.3916568534</v>
      </c>
      <c r="BG103" s="69">
        <v>0.39146689639999999</v>
      </c>
      <c r="BH103" s="69">
        <v>0.39127810019999998</v>
      </c>
      <c r="BI103" s="69">
        <v>0.39109055230000001</v>
      </c>
      <c r="BJ103" s="69">
        <v>0.3909043331</v>
      </c>
      <c r="BK103" s="69">
        <v>0.39071951630000001</v>
      </c>
      <c r="BL103" s="69">
        <v>0.39053616899999999</v>
      </c>
      <c r="BM103" s="69">
        <v>0.39035435289999998</v>
      </c>
      <c r="BN103" s="69">
        <v>0.39017412400000001</v>
      </c>
      <c r="BO103" s="69">
        <v>0.38999553329999997</v>
      </c>
      <c r="BP103" s="69">
        <v>0.38981862719999999</v>
      </c>
      <c r="BQ103" s="69">
        <v>0.38964344740000001</v>
      </c>
      <c r="BR103" s="69">
        <v>0.38947003190000001</v>
      </c>
      <c r="BS103" s="69">
        <v>0.38929841479999999</v>
      </c>
      <c r="BT103" s="69">
        <v>0.38912862640000001</v>
      </c>
      <c r="BU103" s="69">
        <v>0.38896069420000001</v>
      </c>
      <c r="BV103" s="69">
        <v>0.38879464219999998</v>
      </c>
      <c r="BW103" s="69">
        <v>0.38863049179999998</v>
      </c>
      <c r="BX103" s="69">
        <v>0.38846826159999998</v>
      </c>
      <c r="BY103" s="69">
        <v>0.388307968</v>
      </c>
      <c r="BZ103" s="69">
        <v>0.38814962489999999</v>
      </c>
      <c r="CA103" s="69">
        <v>0.38799324410000002</v>
      </c>
      <c r="CB103" s="69">
        <v>0.38783883540000003</v>
      </c>
      <c r="CC103" s="69">
        <v>0.38768640700000001</v>
      </c>
      <c r="CD103" s="69">
        <v>0.38753596509999999</v>
      </c>
      <c r="CE103" s="69">
        <v>0.38738751449999997</v>
      </c>
      <c r="CF103" s="69">
        <v>0.38724105860000002</v>
      </c>
      <c r="CG103" s="69">
        <v>0.3870965992</v>
      </c>
      <c r="CH103" s="69">
        <v>0.38695413709999998</v>
      </c>
      <c r="CI103" s="69">
        <v>0.38681367169999997</v>
      </c>
      <c r="CJ103" s="69">
        <v>0.38667520160000002</v>
      </c>
      <c r="CK103" s="69">
        <v>0.38653872410000001</v>
      </c>
      <c r="CL103" s="69">
        <v>0.3864042358</v>
      </c>
      <c r="CM103" s="69">
        <v>0.38627173240000001</v>
      </c>
      <c r="CN103" s="69">
        <v>0.38614120870000002</v>
      </c>
      <c r="CO103" s="69">
        <v>0.38601265890000003</v>
      </c>
      <c r="CP103" s="69">
        <v>0.38588607650000001</v>
      </c>
      <c r="CQ103" s="69">
        <v>0.38576145420000002</v>
      </c>
      <c r="CR103" s="69">
        <v>0.38563878460000001</v>
      </c>
      <c r="CS103" s="69">
        <v>0.38551805919999999</v>
      </c>
      <c r="CT103" s="69">
        <v>0.38539926930000001</v>
      </c>
      <c r="CU103" s="69">
        <v>0.38528240590000001</v>
      </c>
      <c r="CV103" s="69">
        <v>0.38516745930000001</v>
      </c>
      <c r="CW103" s="69">
        <v>0.38505441969999998</v>
      </c>
      <c r="CX103" s="69">
        <v>0.3849432767</v>
      </c>
      <c r="CY103" s="69">
        <v>0.38483401979999998</v>
      </c>
      <c r="CZ103" s="69">
        <v>0.38472663800000001</v>
      </c>
      <c r="DA103" s="69">
        <v>0.38462112040000002</v>
      </c>
      <c r="DB103" s="69">
        <v>0.3845174556</v>
      </c>
      <c r="DC103" s="69">
        <v>0.3844156319</v>
      </c>
      <c r="DD103" s="69">
        <v>0.3843156378</v>
      </c>
      <c r="DE103" s="69">
        <v>0.38421746109999999</v>
      </c>
      <c r="DF103" s="69">
        <v>0.38412109</v>
      </c>
      <c r="DG103" s="69">
        <v>0.38402651230000001</v>
      </c>
      <c r="DH103" s="69">
        <v>0.38393371549999999</v>
      </c>
      <c r="DI103" s="69">
        <v>0.38384268739999999</v>
      </c>
      <c r="DJ103" s="69">
        <v>0.38375341540000002</v>
      </c>
      <c r="DK103" s="69">
        <v>0.38366588699999998</v>
      </c>
      <c r="DL103" s="69">
        <v>0.38358008960000001</v>
      </c>
      <c r="DM103" s="69">
        <v>0.38349601039999998</v>
      </c>
      <c r="DN103" s="69">
        <v>0.3834136367</v>
      </c>
      <c r="DO103" s="69">
        <v>0.38333295589999999</v>
      </c>
      <c r="DP103" s="69">
        <v>0.38325395499999998</v>
      </c>
      <c r="DQ103" s="69">
        <v>0.38317662139999997</v>
      </c>
      <c r="DR103" s="69">
        <v>0.38310094220000002</v>
      </c>
      <c r="DS103" s="69">
        <v>0.3830269047</v>
      </c>
      <c r="DT103" s="69">
        <v>0.38295449590000002</v>
      </c>
      <c r="DU103" s="69">
        <v>0.38288370319999998</v>
      </c>
      <c r="DV103" s="69">
        <v>0.38281451379999998</v>
      </c>
      <c r="DW103" s="69">
        <v>0.38274691500000002</v>
      </c>
      <c r="DX103" s="69">
        <v>0.38268089399999999</v>
      </c>
      <c r="DY103" s="69">
        <v>0.38261643810000001</v>
      </c>
      <c r="DZ103" s="69">
        <v>0.38255353469999998</v>
      </c>
      <c r="EA103" s="69">
        <v>0.38249217130000002</v>
      </c>
      <c r="EB103" s="69">
        <v>0.38243233519999997</v>
      </c>
      <c r="EC103" s="69">
        <v>0.38237401389999998</v>
      </c>
      <c r="ED103" s="69">
        <v>0.382317195</v>
      </c>
      <c r="EE103" s="69">
        <v>0.38226186600000001</v>
      </c>
      <c r="EF103" s="69">
        <v>0.38220801459999998</v>
      </c>
      <c r="EG103" s="69">
        <v>0.38215562860000002</v>
      </c>
      <c r="EH103" s="69">
        <v>0.38210469559999999</v>
      </c>
      <c r="EI103" s="69">
        <v>0.3820552035</v>
      </c>
      <c r="EJ103" s="69">
        <v>0.38200714019999998</v>
      </c>
      <c r="EK103" s="69">
        <v>0.38196049360000001</v>
      </c>
      <c r="EL103" s="69">
        <v>0.38191525180000002</v>
      </c>
      <c r="EM103" s="69">
        <v>0.38187140289999999</v>
      </c>
      <c r="EN103" s="69">
        <v>0.38182893490000003</v>
      </c>
      <c r="EO103" s="69">
        <v>0.38178783620000001</v>
      </c>
      <c r="EP103" s="69">
        <v>0.38174809500000001</v>
      </c>
      <c r="EQ103" s="69">
        <v>0.38170969970000002</v>
      </c>
      <c r="ER103" s="69">
        <v>0.38167263880000002</v>
      </c>
      <c r="ES103" s="69">
        <v>0.38163690080000001</v>
      </c>
      <c r="ET103" s="69">
        <v>0.38160247419999999</v>
      </c>
      <c r="EU103" s="69">
        <v>0.38156934780000001</v>
      </c>
      <c r="EV103" s="69">
        <v>0.38153751029999999</v>
      </c>
      <c r="EW103" s="69">
        <v>0.3815069505</v>
      </c>
      <c r="EX103" s="69">
        <v>0.38147765729999999</v>
      </c>
      <c r="EY103" s="69">
        <v>0.38144961970000002</v>
      </c>
      <c r="EZ103" s="69">
        <v>0.3814228267</v>
      </c>
      <c r="FA103" s="69">
        <v>0.38139726759999998</v>
      </c>
      <c r="FB103" s="69">
        <v>0.3813729314</v>
      </c>
      <c r="FC103" s="69">
        <v>0.38134980740000002</v>
      </c>
      <c r="FD103" s="69">
        <v>0.38132788509999999</v>
      </c>
      <c r="FE103" s="69">
        <v>0.38130715389999997</v>
      </c>
      <c r="FF103" s="69">
        <v>0.38128760319999999</v>
      </c>
      <c r="FG103" s="69">
        <v>0.38126922270000002</v>
      </c>
      <c r="FH103" s="69">
        <v>0.38125200209999999</v>
      </c>
      <c r="FI103" s="69">
        <v>0.38123593099999997</v>
      </c>
      <c r="FJ103" s="69">
        <v>0.38122099939999998</v>
      </c>
      <c r="FK103" s="69">
        <v>0.38120719720000001</v>
      </c>
      <c r="FL103" s="69">
        <v>0.3811945142</v>
      </c>
      <c r="FM103" s="69">
        <v>0.38118294060000002</v>
      </c>
      <c r="FN103" s="69">
        <v>0.38117246649999997</v>
      </c>
      <c r="FO103" s="69">
        <v>0.38116308209999999</v>
      </c>
      <c r="FP103" s="69">
        <v>0.3811547777</v>
      </c>
      <c r="FQ103" s="69">
        <v>0.38114754360000003</v>
      </c>
    </row>
    <row r="104" spans="1:173" x14ac:dyDescent="0.25">
      <c r="A104" s="71">
        <v>102</v>
      </c>
      <c r="B104" s="69">
        <v>0.411503642</v>
      </c>
      <c r="C104" s="69">
        <v>0.4123922464</v>
      </c>
      <c r="D104" s="69">
        <v>0.41320536930000001</v>
      </c>
      <c r="E104" s="69">
        <v>0.41394840020000001</v>
      </c>
      <c r="F104" s="69">
        <v>0.41462636359999999</v>
      </c>
      <c r="G104" s="69">
        <v>0.41524394279999999</v>
      </c>
      <c r="H104" s="69">
        <v>0.41580550189999999</v>
      </c>
      <c r="I104" s="69">
        <v>0.41631510719999998</v>
      </c>
      <c r="J104" s="69">
        <v>0.41677654689999999</v>
      </c>
      <c r="K104" s="69">
        <v>0.41719334959999999</v>
      </c>
      <c r="L104" s="69">
        <v>0.41756880149999998</v>
      </c>
      <c r="M104" s="69">
        <v>0.41790596320000001</v>
      </c>
      <c r="N104" s="69">
        <v>0.41820768479999998</v>
      </c>
      <c r="O104" s="69">
        <v>0.4184766198</v>
      </c>
      <c r="P104" s="69">
        <v>0.41871523900000002</v>
      </c>
      <c r="Q104" s="69">
        <v>0.4189258427</v>
      </c>
      <c r="R104" s="69">
        <v>0.41911057219999998</v>
      </c>
      <c r="S104" s="69">
        <v>0.41927142090000002</v>
      </c>
      <c r="T104" s="69">
        <v>0.41941024440000002</v>
      </c>
      <c r="U104" s="69">
        <v>0.41952876960000002</v>
      </c>
      <c r="V104" s="69">
        <v>0.41962860390000001</v>
      </c>
      <c r="W104" s="69">
        <v>0.41971124329999998</v>
      </c>
      <c r="X104" s="69">
        <v>0.41977808</v>
      </c>
      <c r="Y104" s="69">
        <v>0.41983040929999998</v>
      </c>
      <c r="Z104" s="69">
        <v>0.41986943669999999</v>
      </c>
      <c r="AA104" s="69">
        <v>0.41989628359999998</v>
      </c>
      <c r="AB104" s="69">
        <v>0.41991199330000001</v>
      </c>
      <c r="AC104" s="69">
        <v>0.41991753650000002</v>
      </c>
      <c r="AD104" s="69">
        <v>0.41991381579999998</v>
      </c>
      <c r="AE104" s="69">
        <v>0.41990167099999998</v>
      </c>
      <c r="AF104" s="69">
        <v>0.41988188300000001</v>
      </c>
      <c r="AG104" s="69">
        <v>0.41985517760000002</v>
      </c>
      <c r="AH104" s="69">
        <v>0.41982223010000003</v>
      </c>
      <c r="AI104" s="69">
        <v>0.41978366779999998</v>
      </c>
      <c r="AJ104" s="69">
        <v>0.41974007400000002</v>
      </c>
      <c r="AK104" s="69">
        <v>0.41969199080000003</v>
      </c>
      <c r="AL104" s="69">
        <v>0.41963992169999997</v>
      </c>
      <c r="AM104" s="69">
        <v>0.41958433449999999</v>
      </c>
      <c r="AN104" s="69">
        <v>0.4195256637</v>
      </c>
      <c r="AO104" s="69">
        <v>0.4194643126</v>
      </c>
      <c r="AP104" s="69">
        <v>0.41940065589999997</v>
      </c>
      <c r="AQ104" s="69">
        <v>0.41933504110000003</v>
      </c>
      <c r="AR104" s="69">
        <v>0.41926779050000001</v>
      </c>
      <c r="AS104" s="69">
        <v>0.4191992034</v>
      </c>
      <c r="AT104" s="69">
        <v>0.41912955689999998</v>
      </c>
      <c r="AU104" s="69">
        <v>0.41905910810000002</v>
      </c>
      <c r="AV104" s="69">
        <v>0.41898809510000001</v>
      </c>
      <c r="AW104" s="69">
        <v>0.41891673839999999</v>
      </c>
      <c r="AX104" s="69">
        <v>0.41884524210000001</v>
      </c>
      <c r="AY104" s="69">
        <v>0.418773795</v>
      </c>
      <c r="AZ104" s="69">
        <v>0.41870257170000003</v>
      </c>
      <c r="BA104" s="69">
        <v>0.41863173349999999</v>
      </c>
      <c r="BB104" s="69">
        <v>0.41856142940000002</v>
      </c>
      <c r="BC104" s="69">
        <v>0.418491797</v>
      </c>
      <c r="BD104" s="69">
        <v>0.41842296299999998</v>
      </c>
      <c r="BE104" s="69">
        <v>0.41835504420000003</v>
      </c>
      <c r="BF104" s="69">
        <v>0.41828814800000003</v>
      </c>
      <c r="BG104" s="69">
        <v>0.41822237350000002</v>
      </c>
      <c r="BH104" s="69">
        <v>0.41815781120000001</v>
      </c>
      <c r="BI104" s="69">
        <v>0.41809454470000001</v>
      </c>
      <c r="BJ104" s="69">
        <v>0.41803265010000001</v>
      </c>
      <c r="BK104" s="69">
        <v>0.41797219730000001</v>
      </c>
      <c r="BL104" s="69">
        <v>0.41791325000000001</v>
      </c>
      <c r="BM104" s="69">
        <v>0.41785586629999999</v>
      </c>
      <c r="BN104" s="69">
        <v>0.4178000992</v>
      </c>
      <c r="BO104" s="69">
        <v>0.41774599649999999</v>
      </c>
      <c r="BP104" s="69">
        <v>0.41769360169999997</v>
      </c>
      <c r="BQ104" s="69">
        <v>0.4176429539</v>
      </c>
      <c r="BR104" s="69">
        <v>0.41759408860000002</v>
      </c>
      <c r="BS104" s="69">
        <v>0.41754703720000003</v>
      </c>
      <c r="BT104" s="69">
        <v>0.41750182790000001</v>
      </c>
      <c r="BU104" s="69">
        <v>0.4174584858</v>
      </c>
      <c r="BV104" s="69">
        <v>0.41741703299999999</v>
      </c>
      <c r="BW104" s="69">
        <v>0.41737748870000002</v>
      </c>
      <c r="BX104" s="69">
        <v>0.41733986989999999</v>
      </c>
      <c r="BY104" s="69">
        <v>0.41730419079999997</v>
      </c>
      <c r="BZ104" s="69">
        <v>0.41727046379999999</v>
      </c>
      <c r="CA104" s="69">
        <v>0.41723869889999998</v>
      </c>
      <c r="CB104" s="69">
        <v>0.41720890459999999</v>
      </c>
      <c r="CC104" s="69">
        <v>0.41718108729999998</v>
      </c>
      <c r="CD104" s="69">
        <v>0.41715525190000002</v>
      </c>
      <c r="CE104" s="69">
        <v>0.41713140180000002</v>
      </c>
      <c r="CF104" s="69">
        <v>0.41710953890000002</v>
      </c>
      <c r="CG104" s="69">
        <v>0.41708966400000003</v>
      </c>
      <c r="CH104" s="69">
        <v>0.41707177639999998</v>
      </c>
      <c r="CI104" s="69">
        <v>0.41705587459999999</v>
      </c>
      <c r="CJ104" s="69">
        <v>0.41704195570000002</v>
      </c>
      <c r="CK104" s="69">
        <v>0.41703001620000002</v>
      </c>
      <c r="CL104" s="69">
        <v>0.41702005149999999</v>
      </c>
      <c r="CM104" s="69">
        <v>0.41701205629999999</v>
      </c>
      <c r="CN104" s="69">
        <v>0.4170060243</v>
      </c>
      <c r="CO104" s="69">
        <v>0.41700194889999997</v>
      </c>
      <c r="CP104" s="69">
        <v>0.41699982250000001</v>
      </c>
      <c r="CQ104" s="69">
        <v>0.41699963709999999</v>
      </c>
      <c r="CR104" s="69">
        <v>0.41700138399999997</v>
      </c>
      <c r="CS104" s="69">
        <v>0.4170050542</v>
      </c>
      <c r="CT104" s="69">
        <v>0.41701063820000001</v>
      </c>
      <c r="CU104" s="69">
        <v>0.41701812579999997</v>
      </c>
      <c r="CV104" s="69">
        <v>0.4170275068</v>
      </c>
      <c r="CW104" s="69">
        <v>0.41703877039999998</v>
      </c>
      <c r="CX104" s="69">
        <v>0.4170519057</v>
      </c>
      <c r="CY104" s="69">
        <v>0.4170669011</v>
      </c>
      <c r="CZ104" s="69">
        <v>0.41708374520000002</v>
      </c>
      <c r="DA104" s="69">
        <v>0.41710242609999998</v>
      </c>
      <c r="DB104" s="69">
        <v>0.41712293169999998</v>
      </c>
      <c r="DC104" s="69">
        <v>0.41714524980000001</v>
      </c>
      <c r="DD104" s="69">
        <v>0.41716936789999998</v>
      </c>
      <c r="DE104" s="69">
        <v>0.41719527340000001</v>
      </c>
      <c r="DF104" s="69">
        <v>0.4172229536</v>
      </c>
      <c r="DG104" s="69">
        <v>0.4172523957</v>
      </c>
      <c r="DH104" s="69">
        <v>0.41728358669999999</v>
      </c>
      <c r="DI104" s="69">
        <v>0.41731651349999999</v>
      </c>
      <c r="DJ104" s="69">
        <v>0.41735116290000002</v>
      </c>
      <c r="DK104" s="69">
        <v>0.4173875219</v>
      </c>
      <c r="DL104" s="69">
        <v>0.41742557699999999</v>
      </c>
      <c r="DM104" s="69">
        <v>0.41746531510000001</v>
      </c>
      <c r="DN104" s="69">
        <v>0.4175067227</v>
      </c>
      <c r="DO104" s="69">
        <v>0.41754978650000002</v>
      </c>
      <c r="DP104" s="69">
        <v>0.41759449310000002</v>
      </c>
      <c r="DQ104" s="69">
        <v>0.4176408291</v>
      </c>
      <c r="DR104" s="69">
        <v>0.41768878110000002</v>
      </c>
      <c r="DS104" s="69">
        <v>0.41773833570000002</v>
      </c>
      <c r="DT104" s="69">
        <v>0.4177894794</v>
      </c>
      <c r="DU104" s="69">
        <v>0.41784219900000003</v>
      </c>
      <c r="DV104" s="69">
        <v>0.41789648099999999</v>
      </c>
      <c r="DW104" s="69">
        <v>0.41795231220000001</v>
      </c>
      <c r="DX104" s="69">
        <v>0.41800967909999998</v>
      </c>
      <c r="DY104" s="69">
        <v>0.41806856869999998</v>
      </c>
      <c r="DZ104" s="69">
        <v>0.41812896760000001</v>
      </c>
      <c r="EA104" s="69">
        <v>0.41819086259999999</v>
      </c>
      <c r="EB104" s="69">
        <v>0.41825424059999999</v>
      </c>
      <c r="EC104" s="69">
        <v>0.4183190886</v>
      </c>
      <c r="ED104" s="69">
        <v>0.41838539349999998</v>
      </c>
      <c r="EE104" s="69">
        <v>0.41845314230000002</v>
      </c>
      <c r="EF104" s="69">
        <v>0.418522322</v>
      </c>
      <c r="EG104" s="69">
        <v>0.41859291999999998</v>
      </c>
      <c r="EH104" s="69">
        <v>0.41866492319999998</v>
      </c>
      <c r="EI104" s="69">
        <v>0.41873831900000003</v>
      </c>
      <c r="EJ104" s="69">
        <v>0.41881309480000001</v>
      </c>
      <c r="EK104" s="69">
        <v>0.41888923789999999</v>
      </c>
      <c r="EL104" s="69">
        <v>0.41896673579999999</v>
      </c>
      <c r="EM104" s="69">
        <v>0.41904557590000002</v>
      </c>
      <c r="EN104" s="69">
        <v>0.41912574600000002</v>
      </c>
      <c r="EO104" s="69">
        <v>0.41920723380000002</v>
      </c>
      <c r="EP104" s="69">
        <v>0.41929002679999999</v>
      </c>
      <c r="EQ104" s="69">
        <v>0.41937411299999999</v>
      </c>
      <c r="ER104" s="69">
        <v>0.41945948030000002</v>
      </c>
      <c r="ES104" s="69">
        <v>0.41954611670000003</v>
      </c>
      <c r="ET104" s="69">
        <v>0.41963401010000001</v>
      </c>
      <c r="EU104" s="69">
        <v>0.4197231488</v>
      </c>
      <c r="EV104" s="69">
        <v>0.41981352090000001</v>
      </c>
      <c r="EW104" s="69">
        <v>0.41990511470000003</v>
      </c>
      <c r="EX104" s="69">
        <v>0.41999791860000002</v>
      </c>
      <c r="EY104" s="69">
        <v>0.42009192099999998</v>
      </c>
      <c r="EZ104" s="69">
        <v>0.42018711040000001</v>
      </c>
      <c r="FA104" s="69">
        <v>0.4202834755</v>
      </c>
      <c r="FB104" s="69">
        <v>0.42038100480000001</v>
      </c>
      <c r="FC104" s="69">
        <v>0.42047968720000001</v>
      </c>
      <c r="FD104" s="69">
        <v>0.4205795115</v>
      </c>
      <c r="FE104" s="69">
        <v>0.42068046650000002</v>
      </c>
      <c r="FF104" s="69">
        <v>0.42078254139999999</v>
      </c>
      <c r="FG104" s="69">
        <v>0.4208857251</v>
      </c>
      <c r="FH104" s="69">
        <v>0.42099000679999998</v>
      </c>
      <c r="FI104" s="69">
        <v>0.4210953757</v>
      </c>
      <c r="FJ104" s="69">
        <v>0.42120182119999999</v>
      </c>
      <c r="FK104" s="69">
        <v>0.42130933250000002</v>
      </c>
      <c r="FL104" s="69">
        <v>0.42141789930000001</v>
      </c>
      <c r="FM104" s="69">
        <v>0.42152751090000001</v>
      </c>
      <c r="FN104" s="69">
        <v>0.42163815710000002</v>
      </c>
      <c r="FO104" s="69">
        <v>0.42174982750000001</v>
      </c>
      <c r="FP104" s="69">
        <v>0.42186251200000002</v>
      </c>
      <c r="FQ104" s="69">
        <v>0.42197620019999998</v>
      </c>
    </row>
    <row r="105" spans="1:173" x14ac:dyDescent="0.25">
      <c r="A105" s="71">
        <v>103</v>
      </c>
      <c r="B105" s="69">
        <v>0.43082526809999999</v>
      </c>
      <c r="C105" s="69">
        <v>0.4317920307</v>
      </c>
      <c r="D105" s="69">
        <v>0.4326851786</v>
      </c>
      <c r="E105" s="69">
        <v>0.43351004110000002</v>
      </c>
      <c r="F105" s="69">
        <v>0.43427157859999999</v>
      </c>
      <c r="G105" s="69">
        <v>0.4349744076</v>
      </c>
      <c r="H105" s="69">
        <v>0.43562282390000001</v>
      </c>
      <c r="I105" s="69">
        <v>0.43622082480000002</v>
      </c>
      <c r="J105" s="69">
        <v>0.4367721289</v>
      </c>
      <c r="K105" s="69">
        <v>0.4372801959</v>
      </c>
      <c r="L105" s="69">
        <v>0.43774824429999998</v>
      </c>
      <c r="M105" s="69">
        <v>0.43817926779999999</v>
      </c>
      <c r="N105" s="69">
        <v>0.43857605119999998</v>
      </c>
      <c r="O105" s="69">
        <v>0.43894118479999999</v>
      </c>
      <c r="P105" s="69">
        <v>0.43927707789999998</v>
      </c>
      <c r="Q105" s="69">
        <v>0.4395859714</v>
      </c>
      <c r="R105" s="69">
        <v>0.43986994940000002</v>
      </c>
      <c r="S105" s="69">
        <v>0.44013095029999999</v>
      </c>
      <c r="T105" s="69">
        <v>0.44037077679999997</v>
      </c>
      <c r="U105" s="69">
        <v>0.44059110559999998</v>
      </c>
      <c r="V105" s="69">
        <v>0.44079349569999998</v>
      </c>
      <c r="W105" s="69">
        <v>0.44097939689999999</v>
      </c>
      <c r="X105" s="69">
        <v>0.44115015759999998</v>
      </c>
      <c r="Y105" s="69">
        <v>0.44130703139999999</v>
      </c>
      <c r="Z105" s="69">
        <v>0.44145118370000003</v>
      </c>
      <c r="AA105" s="69">
        <v>0.4415836984</v>
      </c>
      <c r="AB105" s="69">
        <v>0.4417055829</v>
      </c>
      <c r="AC105" s="69">
        <v>0.44181777379999998</v>
      </c>
      <c r="AD105" s="69">
        <v>0.44192114160000001</v>
      </c>
      <c r="AE105" s="69">
        <v>0.44201649529999998</v>
      </c>
      <c r="AF105" s="69">
        <v>0.44210458699999999</v>
      </c>
      <c r="AG105" s="69">
        <v>0.4421861151</v>
      </c>
      <c r="AH105" s="69">
        <v>0.44226172899999999</v>
      </c>
      <c r="AI105" s="69">
        <v>0.44233203160000001</v>
      </c>
      <c r="AJ105" s="69">
        <v>0.44239758289999997</v>
      </c>
      <c r="AK105" s="69">
        <v>0.44245890310000002</v>
      </c>
      <c r="AL105" s="69">
        <v>0.44251647509999997</v>
      </c>
      <c r="AM105" s="69">
        <v>0.44257074709999999</v>
      </c>
      <c r="AN105" s="69">
        <v>0.44262213509999998</v>
      </c>
      <c r="AO105" s="69">
        <v>0.4426710251</v>
      </c>
      <c r="AP105" s="69">
        <v>0.4427177752</v>
      </c>
      <c r="AQ105" s="69">
        <v>0.4427627173</v>
      </c>
      <c r="AR105" s="69">
        <v>0.44280615919999999</v>
      </c>
      <c r="AS105" s="69">
        <v>0.44284838609999999</v>
      </c>
      <c r="AT105" s="69">
        <v>0.44288966219999998</v>
      </c>
      <c r="AU105" s="69">
        <v>0.44293023199999998</v>
      </c>
      <c r="AV105" s="69">
        <v>0.44297032209999998</v>
      </c>
      <c r="AW105" s="69">
        <v>0.44301014179999998</v>
      </c>
      <c r="AX105" s="69">
        <v>0.44304988480000002</v>
      </c>
      <c r="AY105" s="69">
        <v>0.44308973000000001</v>
      </c>
      <c r="AZ105" s="69">
        <v>0.4431298427</v>
      </c>
      <c r="BA105" s="69">
        <v>0.44317037539999998</v>
      </c>
      <c r="BB105" s="69">
        <v>0.4432114687</v>
      </c>
      <c r="BC105" s="69">
        <v>0.44325325230000001</v>
      </c>
      <c r="BD105" s="69">
        <v>0.44329584529999999</v>
      </c>
      <c r="BE105" s="69">
        <v>0.44333935740000002</v>
      </c>
      <c r="BF105" s="69">
        <v>0.44338388960000003</v>
      </c>
      <c r="BG105" s="69">
        <v>0.44342953419999998</v>
      </c>
      <c r="BH105" s="69">
        <v>0.44347637600000001</v>
      </c>
      <c r="BI105" s="69">
        <v>0.44352449259999999</v>
      </c>
      <c r="BJ105" s="69">
        <v>0.44357395490000001</v>
      </c>
      <c r="BK105" s="69">
        <v>0.44362482739999998</v>
      </c>
      <c r="BL105" s="69">
        <v>0.44367716899999998</v>
      </c>
      <c r="BM105" s="69">
        <v>0.44373103310000001</v>
      </c>
      <c r="BN105" s="69">
        <v>0.4437864681</v>
      </c>
      <c r="BO105" s="69">
        <v>0.44384351779999998</v>
      </c>
      <c r="BP105" s="69">
        <v>0.44390222159999998</v>
      </c>
      <c r="BQ105" s="69">
        <v>0.44396261469999998</v>
      </c>
      <c r="BR105" s="69">
        <v>0.44402472879999999</v>
      </c>
      <c r="BS105" s="69">
        <v>0.444088592</v>
      </c>
      <c r="BT105" s="69">
        <v>0.44415422900000001</v>
      </c>
      <c r="BU105" s="69">
        <v>0.44422166169999999</v>
      </c>
      <c r="BV105" s="69">
        <v>0.44429090900000001</v>
      </c>
      <c r="BW105" s="69">
        <v>0.44436198739999999</v>
      </c>
      <c r="BX105" s="69">
        <v>0.44443491080000003</v>
      </c>
      <c r="BY105" s="69">
        <v>0.44450969080000002</v>
      </c>
      <c r="BZ105" s="69">
        <v>0.44458633720000001</v>
      </c>
      <c r="CA105" s="69">
        <v>0.44466485750000001</v>
      </c>
      <c r="CB105" s="69">
        <v>0.4447452576</v>
      </c>
      <c r="CC105" s="69">
        <v>0.4448275418</v>
      </c>
      <c r="CD105" s="69">
        <v>0.4449117125</v>
      </c>
      <c r="CE105" s="69">
        <v>0.44499777099999999</v>
      </c>
      <c r="CF105" s="69">
        <v>0.44508571720000001</v>
      </c>
      <c r="CG105" s="69">
        <v>0.44517554970000001</v>
      </c>
      <c r="CH105" s="69">
        <v>0.44526726589999999</v>
      </c>
      <c r="CI105" s="69">
        <v>0.44536086219999999</v>
      </c>
      <c r="CJ105" s="69">
        <v>0.44545633420000003</v>
      </c>
      <c r="CK105" s="69">
        <v>0.44555367620000003</v>
      </c>
      <c r="CL105" s="69">
        <v>0.44565288209999998</v>
      </c>
      <c r="CM105" s="69">
        <v>0.44575394460000001</v>
      </c>
      <c r="CN105" s="69">
        <v>0.44585685609999998</v>
      </c>
      <c r="CO105" s="69">
        <v>0.44596160810000002</v>
      </c>
      <c r="CP105" s="69">
        <v>0.44606819139999998</v>
      </c>
      <c r="CQ105" s="69">
        <v>0.44617659650000002</v>
      </c>
      <c r="CR105" s="69">
        <v>0.44628681329999997</v>
      </c>
      <c r="CS105" s="69">
        <v>0.44639883120000001</v>
      </c>
      <c r="CT105" s="69">
        <v>0.4465126391</v>
      </c>
      <c r="CU105" s="69">
        <v>0.44662822559999998</v>
      </c>
      <c r="CV105" s="69">
        <v>0.4467455789</v>
      </c>
      <c r="CW105" s="69">
        <v>0.44686468699999998</v>
      </c>
      <c r="CX105" s="69">
        <v>0.44698553730000001</v>
      </c>
      <c r="CY105" s="69">
        <v>0.4471081173</v>
      </c>
      <c r="CZ105" s="69">
        <v>0.44723241409999998</v>
      </c>
      <c r="DA105" s="69">
        <v>0.44735841440000002</v>
      </c>
      <c r="DB105" s="69">
        <v>0.44748610500000002</v>
      </c>
      <c r="DC105" s="69">
        <v>0.44761547229999998</v>
      </c>
      <c r="DD105" s="69">
        <v>0.44774650259999998</v>
      </c>
      <c r="DE105" s="69">
        <v>0.4478791822</v>
      </c>
      <c r="DF105" s="69">
        <v>0.44801349699999998</v>
      </c>
      <c r="DG105" s="69">
        <v>0.44814943309999999</v>
      </c>
      <c r="DH105" s="69">
        <v>0.44828697629999997</v>
      </c>
      <c r="DI105" s="69">
        <v>0.44842611230000001</v>
      </c>
      <c r="DJ105" s="69">
        <v>0.448566827</v>
      </c>
      <c r="DK105" s="69">
        <v>0.44870910580000001</v>
      </c>
      <c r="DL105" s="69">
        <v>0.44885293450000002</v>
      </c>
      <c r="DM105" s="69">
        <v>0.44899829870000002</v>
      </c>
      <c r="DN105" s="69">
        <v>0.44914518370000001</v>
      </c>
      <c r="DO105" s="69">
        <v>0.44929357530000003</v>
      </c>
      <c r="DP105" s="69">
        <v>0.44944345889999998</v>
      </c>
      <c r="DQ105" s="69">
        <v>0.44959482000000001</v>
      </c>
      <c r="DR105" s="69">
        <v>0.44974764420000002</v>
      </c>
      <c r="DS105" s="69">
        <v>0.44990191689999998</v>
      </c>
      <c r="DT105" s="69">
        <v>0.45005762379999997</v>
      </c>
      <c r="DU105" s="69">
        <v>0.45021475039999997</v>
      </c>
      <c r="DV105" s="69">
        <v>0.45037328240000002</v>
      </c>
      <c r="DW105" s="69">
        <v>0.45053320540000003</v>
      </c>
      <c r="DX105" s="69">
        <v>0.45069450500000002</v>
      </c>
      <c r="DY105" s="69">
        <v>0.450857167</v>
      </c>
      <c r="DZ105" s="69">
        <v>0.4510211771</v>
      </c>
      <c r="EA105" s="69">
        <v>0.45118652129999998</v>
      </c>
      <c r="EB105" s="69">
        <v>0.45135318520000001</v>
      </c>
      <c r="EC105" s="69">
        <v>0.45152115500000001</v>
      </c>
      <c r="ED105" s="69">
        <v>0.45169041650000002</v>
      </c>
      <c r="EE105" s="69">
        <v>0.45186095590000003</v>
      </c>
      <c r="EF105" s="69">
        <v>0.45203275910000001</v>
      </c>
      <c r="EG105" s="69">
        <v>0.45220581250000003</v>
      </c>
      <c r="EH105" s="69">
        <v>0.45238010220000002</v>
      </c>
      <c r="EI105" s="69">
        <v>0.45255561459999999</v>
      </c>
      <c r="EJ105" s="69">
        <v>0.45273233610000002</v>
      </c>
      <c r="EK105" s="69">
        <v>0.45291025309999999</v>
      </c>
      <c r="EL105" s="69">
        <v>0.45308935210000001</v>
      </c>
      <c r="EM105" s="69">
        <v>0.45326961989999998</v>
      </c>
      <c r="EN105" s="69">
        <v>0.453451043</v>
      </c>
      <c r="EO105" s="69">
        <v>0.45363360819999998</v>
      </c>
      <c r="EP105" s="69">
        <v>0.45381730240000001</v>
      </c>
      <c r="EQ105" s="69">
        <v>0.4540021125</v>
      </c>
      <c r="ER105" s="69">
        <v>0.45418802549999998</v>
      </c>
      <c r="ES105" s="69">
        <v>0.4543750285</v>
      </c>
      <c r="ET105" s="69">
        <v>0.4545631087</v>
      </c>
      <c r="EU105" s="69">
        <v>0.45475225330000002</v>
      </c>
      <c r="EV105" s="69">
        <v>0.45494244960000002</v>
      </c>
      <c r="EW105" s="69">
        <v>0.45513368510000002</v>
      </c>
      <c r="EX105" s="69">
        <v>0.45532594729999998</v>
      </c>
      <c r="EY105" s="69">
        <v>0.45551922379999998</v>
      </c>
      <c r="EZ105" s="69">
        <v>0.4557135021</v>
      </c>
      <c r="FA105" s="69">
        <v>0.45590877019999998</v>
      </c>
      <c r="FB105" s="69">
        <v>0.4561050157</v>
      </c>
      <c r="FC105" s="69">
        <v>0.45630222669999998</v>
      </c>
      <c r="FD105" s="69">
        <v>0.45650039110000001</v>
      </c>
      <c r="FE105" s="69">
        <v>0.45669949710000002</v>
      </c>
      <c r="FF105" s="69">
        <v>0.45689953280000001</v>
      </c>
      <c r="FG105" s="69">
        <v>0.45710048640000001</v>
      </c>
      <c r="FH105" s="69">
        <v>0.4573023464</v>
      </c>
      <c r="FI105" s="69">
        <v>0.45750510109999998</v>
      </c>
      <c r="FJ105" s="69">
        <v>0.45770873909999998</v>
      </c>
      <c r="FK105" s="69">
        <v>0.45791324890000001</v>
      </c>
      <c r="FL105" s="69">
        <v>0.45811861929999997</v>
      </c>
      <c r="FM105" s="69">
        <v>0.45832483889999998</v>
      </c>
      <c r="FN105" s="69">
        <v>0.45853189680000001</v>
      </c>
      <c r="FO105" s="69">
        <v>0.45873978170000002</v>
      </c>
      <c r="FP105" s="69">
        <v>0.45894848259999999</v>
      </c>
      <c r="FQ105" s="69">
        <v>0.45915798880000003</v>
      </c>
    </row>
    <row r="106" spans="1:173" x14ac:dyDescent="0.25">
      <c r="A106" s="71">
        <v>104</v>
      </c>
      <c r="B106" s="69">
        <v>0.44920070410000001</v>
      </c>
      <c r="C106" s="69">
        <v>0.45022804630000002</v>
      </c>
      <c r="D106" s="69">
        <v>0.45118399460000003</v>
      </c>
      <c r="E106" s="69">
        <v>0.45207378819999999</v>
      </c>
      <c r="F106" s="69">
        <v>0.45290229539999999</v>
      </c>
      <c r="G106" s="69">
        <v>0.45367404020000002</v>
      </c>
      <c r="H106" s="69">
        <v>0.45439322609999999</v>
      </c>
      <c r="I106" s="69">
        <v>0.45506375850000003</v>
      </c>
      <c r="J106" s="69">
        <v>0.45568926609999999</v>
      </c>
      <c r="K106" s="69">
        <v>0.45627312050000002</v>
      </c>
      <c r="L106" s="69">
        <v>0.45681845389999998</v>
      </c>
      <c r="M106" s="69">
        <v>0.45732817689999999</v>
      </c>
      <c r="N106" s="69">
        <v>0.45780499320000001</v>
      </c>
      <c r="O106" s="69">
        <v>0.45825141539999997</v>
      </c>
      <c r="P106" s="69">
        <v>0.45866977759999999</v>
      </c>
      <c r="Q106" s="69">
        <v>0.45906224870000001</v>
      </c>
      <c r="R106" s="69">
        <v>0.45943084379999999</v>
      </c>
      <c r="S106" s="69">
        <v>0.45977743539999999</v>
      </c>
      <c r="T106" s="69">
        <v>0.46010376289999999</v>
      </c>
      <c r="U106" s="69">
        <v>0.46041144290000002</v>
      </c>
      <c r="V106" s="69">
        <v>0.46070197709999999</v>
      </c>
      <c r="W106" s="69">
        <v>0.46097676069999999</v>
      </c>
      <c r="X106" s="69">
        <v>0.46123709010000002</v>
      </c>
      <c r="Y106" s="69">
        <v>0.46148416959999999</v>
      </c>
      <c r="Z106" s="69">
        <v>0.46171911799999998</v>
      </c>
      <c r="AA106" s="69">
        <v>0.4619429746</v>
      </c>
      <c r="AB106" s="69">
        <v>0.46215670479999998</v>
      </c>
      <c r="AC106" s="69">
        <v>0.46236120520000001</v>
      </c>
      <c r="AD106" s="69">
        <v>0.4625573087</v>
      </c>
      <c r="AE106" s="69">
        <v>0.46274578849999998</v>
      </c>
      <c r="AF106" s="69">
        <v>0.4629273626</v>
      </c>
      <c r="AG106" s="69">
        <v>0.46310269780000002</v>
      </c>
      <c r="AH106" s="69">
        <v>0.46327241279999998</v>
      </c>
      <c r="AI106" s="69">
        <v>0.463437082</v>
      </c>
      <c r="AJ106" s="69">
        <v>0.46359723850000001</v>
      </c>
      <c r="AK106" s="69">
        <v>0.46375337659999999</v>
      </c>
      <c r="AL106" s="69">
        <v>0.46390595509999999</v>
      </c>
      <c r="AM106" s="69">
        <v>0.4640553993</v>
      </c>
      <c r="AN106" s="69">
        <v>0.46420210369999998</v>
      </c>
      <c r="AO106" s="69">
        <v>0.46434643370000001</v>
      </c>
      <c r="AP106" s="69">
        <v>0.46448872800000002</v>
      </c>
      <c r="AQ106" s="69">
        <v>0.46462930050000001</v>
      </c>
      <c r="AR106" s="69">
        <v>0.46476844150000002</v>
      </c>
      <c r="AS106" s="69">
        <v>0.46490641989999998</v>
      </c>
      <c r="AT106" s="69">
        <v>0.46504348439999998</v>
      </c>
      <c r="AU106" s="69">
        <v>0.46517986519999999</v>
      </c>
      <c r="AV106" s="69">
        <v>0.46531577460000001</v>
      </c>
      <c r="AW106" s="69">
        <v>0.46545140909999999</v>
      </c>
      <c r="AX106" s="69">
        <v>0.46558695</v>
      </c>
      <c r="AY106" s="69">
        <v>0.46572256439999998</v>
      </c>
      <c r="AZ106" s="69">
        <v>0.46585840649999999</v>
      </c>
      <c r="BA106" s="69">
        <v>0.4659946183</v>
      </c>
      <c r="BB106" s="69">
        <v>0.46613133039999999</v>
      </c>
      <c r="BC106" s="69">
        <v>0.46626866290000002</v>
      </c>
      <c r="BD106" s="69">
        <v>0.46640672620000001</v>
      </c>
      <c r="BE106" s="69">
        <v>0.4665456214</v>
      </c>
      <c r="BF106" s="69">
        <v>0.4666854412</v>
      </c>
      <c r="BG106" s="69">
        <v>0.46682627040000002</v>
      </c>
      <c r="BH106" s="69">
        <v>0.46696818639999998</v>
      </c>
      <c r="BI106" s="69">
        <v>0.46711125999999997</v>
      </c>
      <c r="BJ106" s="69">
        <v>0.46725555520000001</v>
      </c>
      <c r="BK106" s="69">
        <v>0.46740113039999998</v>
      </c>
      <c r="BL106" s="69">
        <v>0.46754803849999998</v>
      </c>
      <c r="BM106" s="69">
        <v>0.46769632719999998</v>
      </c>
      <c r="BN106" s="69">
        <v>0.46784603940000002</v>
      </c>
      <c r="BO106" s="69">
        <v>0.46799721360000002</v>
      </c>
      <c r="BP106" s="69">
        <v>0.46814988429999999</v>
      </c>
      <c r="BQ106" s="69">
        <v>0.4683040819</v>
      </c>
      <c r="BR106" s="69">
        <v>0.46845983359999999</v>
      </c>
      <c r="BS106" s="69">
        <v>0.468617163</v>
      </c>
      <c r="BT106" s="69">
        <v>0.46877609079999999</v>
      </c>
      <c r="BU106" s="69">
        <v>0.46893663479999997</v>
      </c>
      <c r="BV106" s="69">
        <v>0.46909880999999998</v>
      </c>
      <c r="BW106" s="69">
        <v>0.46926262930000001</v>
      </c>
      <c r="BX106" s="69">
        <v>0.46942810289999998</v>
      </c>
      <c r="BY106" s="69">
        <v>0.46959523930000002</v>
      </c>
      <c r="BZ106" s="69">
        <v>0.46976404449999998</v>
      </c>
      <c r="CA106" s="69">
        <v>0.46993452330000002</v>
      </c>
      <c r="CB106" s="69">
        <v>0.47010667820000002</v>
      </c>
      <c r="CC106" s="69">
        <v>0.47028051059999998</v>
      </c>
      <c r="CD106" s="69">
        <v>0.4704560203</v>
      </c>
      <c r="CE106" s="69">
        <v>0.47063320559999999</v>
      </c>
      <c r="CF106" s="69">
        <v>0.47081206370000001</v>
      </c>
      <c r="CG106" s="69">
        <v>0.47099259059999998</v>
      </c>
      <c r="CH106" s="69">
        <v>0.47117478140000002</v>
      </c>
      <c r="CI106" s="69">
        <v>0.47135862989999999</v>
      </c>
      <c r="CJ106" s="69">
        <v>0.4715441293</v>
      </c>
      <c r="CK106" s="69">
        <v>0.47173127170000001</v>
      </c>
      <c r="CL106" s="69">
        <v>0.47192004869999998</v>
      </c>
      <c r="CM106" s="69">
        <v>0.47211045089999998</v>
      </c>
      <c r="CN106" s="69">
        <v>0.47230246840000001</v>
      </c>
      <c r="CO106" s="69">
        <v>0.47249609069999998</v>
      </c>
      <c r="CP106" s="69">
        <v>0.47269130669999998</v>
      </c>
      <c r="CQ106" s="69">
        <v>0.47288810479999999</v>
      </c>
      <c r="CR106" s="69">
        <v>0.47308647310000002</v>
      </c>
      <c r="CS106" s="69">
        <v>0.47328639890000002</v>
      </c>
      <c r="CT106" s="69">
        <v>0.47348786939999998</v>
      </c>
      <c r="CU106" s="69">
        <v>0.4736908715</v>
      </c>
      <c r="CV106" s="69">
        <v>0.47389539159999999</v>
      </c>
      <c r="CW106" s="69">
        <v>0.47410141569999997</v>
      </c>
      <c r="CX106" s="69">
        <v>0.47430893000000002</v>
      </c>
      <c r="CY106" s="69">
        <v>0.47451791989999997</v>
      </c>
      <c r="CZ106" s="69">
        <v>0.47472837089999997</v>
      </c>
      <c r="DA106" s="69">
        <v>0.47494026839999998</v>
      </c>
      <c r="DB106" s="69">
        <v>0.47515359740000002</v>
      </c>
      <c r="DC106" s="69">
        <v>0.47536834280000001</v>
      </c>
      <c r="DD106" s="69">
        <v>0.47558448949999999</v>
      </c>
      <c r="DE106" s="69">
        <v>0.4758020221</v>
      </c>
      <c r="DF106" s="69">
        <v>0.47602092530000001</v>
      </c>
      <c r="DG106" s="69">
        <v>0.4762411835</v>
      </c>
      <c r="DH106" s="69">
        <v>0.47646278110000001</v>
      </c>
      <c r="DI106" s="69">
        <v>0.47668570269999999</v>
      </c>
      <c r="DJ106" s="69">
        <v>0.47690993240000001</v>
      </c>
      <c r="DK106" s="69">
        <v>0.47713545460000001</v>
      </c>
      <c r="DL106" s="69">
        <v>0.47736225360000001</v>
      </c>
      <c r="DM106" s="69">
        <v>0.47759031349999997</v>
      </c>
      <c r="DN106" s="69">
        <v>0.47781961880000001</v>
      </c>
      <c r="DO106" s="69">
        <v>0.47805015360000003</v>
      </c>
      <c r="DP106" s="69">
        <v>0.47828190209999999</v>
      </c>
      <c r="DQ106" s="69">
        <v>0.4785148488</v>
      </c>
      <c r="DR106" s="69">
        <v>0.47874897770000002</v>
      </c>
      <c r="DS106" s="69">
        <v>0.47898427339999999</v>
      </c>
      <c r="DT106" s="69">
        <v>0.4792207201</v>
      </c>
      <c r="DU106" s="69">
        <v>0.47945830230000003</v>
      </c>
      <c r="DV106" s="69">
        <v>0.47969700440000002</v>
      </c>
      <c r="DW106" s="69">
        <v>0.4799368108</v>
      </c>
      <c r="DX106" s="69">
        <v>0.48017770630000001</v>
      </c>
      <c r="DY106" s="69">
        <v>0.48041967530000002</v>
      </c>
      <c r="DZ106" s="69">
        <v>0.48066270249999998</v>
      </c>
      <c r="EA106" s="69">
        <v>0.48090677269999998</v>
      </c>
      <c r="EB106" s="69">
        <v>0.48115187069999998</v>
      </c>
      <c r="EC106" s="69">
        <v>0.4813979813</v>
      </c>
      <c r="ED106" s="69">
        <v>0.48164508960000002</v>
      </c>
      <c r="EE106" s="69">
        <v>0.48189318040000001</v>
      </c>
      <c r="EF106" s="69">
        <v>0.48214223899999997</v>
      </c>
      <c r="EG106" s="69">
        <v>0.4823922504</v>
      </c>
      <c r="EH106" s="69">
        <v>0.48264319999999999</v>
      </c>
      <c r="EI106" s="69">
        <v>0.48289507310000002</v>
      </c>
      <c r="EJ106" s="69">
        <v>0.48314785519999998</v>
      </c>
      <c r="EK106" s="69">
        <v>0.4834015317</v>
      </c>
      <c r="EL106" s="69">
        <v>0.4836560882</v>
      </c>
      <c r="EM106" s="69">
        <v>0.48391151049999998</v>
      </c>
      <c r="EN106" s="69">
        <v>0.48416778420000001</v>
      </c>
      <c r="EO106" s="69">
        <v>0.4844248954</v>
      </c>
      <c r="EP106" s="69">
        <v>0.48468283000000001</v>
      </c>
      <c r="EQ106" s="69">
        <v>0.48494157389999998</v>
      </c>
      <c r="ER106" s="69">
        <v>0.48520111339999999</v>
      </c>
      <c r="ES106" s="69">
        <v>0.48546143479999998</v>
      </c>
      <c r="ET106" s="69">
        <v>0.48572252420000001</v>
      </c>
      <c r="EU106" s="69">
        <v>0.48598436830000002</v>
      </c>
      <c r="EV106" s="69">
        <v>0.48624695350000002</v>
      </c>
      <c r="EW106" s="69">
        <v>0.4865102664</v>
      </c>
      <c r="EX106" s="69">
        <v>0.48677429370000003</v>
      </c>
      <c r="EY106" s="69">
        <v>0.48703902230000001</v>
      </c>
      <c r="EZ106" s="69">
        <v>0.48730443909999999</v>
      </c>
      <c r="FA106" s="69">
        <v>0.48757053109999998</v>
      </c>
      <c r="FB106" s="69">
        <v>0.48783728539999999</v>
      </c>
      <c r="FC106" s="69">
        <v>0.4881046892</v>
      </c>
      <c r="FD106" s="69">
        <v>0.48837272980000002</v>
      </c>
      <c r="FE106" s="69">
        <v>0.48864139470000001</v>
      </c>
      <c r="FF106" s="69">
        <v>0.48891067110000003</v>
      </c>
      <c r="FG106" s="69">
        <v>0.48918054690000001</v>
      </c>
      <c r="FH106" s="69">
        <v>0.48945100969999999</v>
      </c>
      <c r="FI106" s="69">
        <v>0.48972204720000001</v>
      </c>
      <c r="FJ106" s="69">
        <v>0.4899936473</v>
      </c>
      <c r="FK106" s="69">
        <v>0.49026579809999998</v>
      </c>
      <c r="FL106" s="69">
        <v>0.49053848750000001</v>
      </c>
      <c r="FM106" s="69">
        <v>0.4908117038</v>
      </c>
      <c r="FN106" s="69">
        <v>0.49108543519999998</v>
      </c>
      <c r="FO106" s="69">
        <v>0.49135967009999998</v>
      </c>
      <c r="FP106" s="69">
        <v>0.49163439679999998</v>
      </c>
      <c r="FQ106" s="69">
        <v>0.49190960410000001</v>
      </c>
    </row>
    <row r="107" spans="1:173" x14ac:dyDescent="0.25">
      <c r="A107" s="71">
        <v>105</v>
      </c>
      <c r="B107" s="69">
        <v>0.4665347762</v>
      </c>
      <c r="C107" s="69">
        <v>0.4676049679</v>
      </c>
      <c r="D107" s="69">
        <v>0.46860627360000001</v>
      </c>
      <c r="E107" s="69">
        <v>0.46954381369999998</v>
      </c>
      <c r="F107" s="69">
        <v>0.47042233820000001</v>
      </c>
      <c r="G107" s="69">
        <v>0.4712462543</v>
      </c>
      <c r="H107" s="69">
        <v>0.47201965070000002</v>
      </c>
      <c r="I107" s="69">
        <v>0.47274632080000001</v>
      </c>
      <c r="J107" s="69">
        <v>0.47342978419999998</v>
      </c>
      <c r="K107" s="69">
        <v>0.47407330669999997</v>
      </c>
      <c r="L107" s="69">
        <v>0.47467991840000001</v>
      </c>
      <c r="M107" s="69">
        <v>0.47525243119999999</v>
      </c>
      <c r="N107" s="69">
        <v>0.47579345470000001</v>
      </c>
      <c r="O107" s="69">
        <v>0.4763054102</v>
      </c>
      <c r="P107" s="69">
        <v>0.47679054529999998</v>
      </c>
      <c r="Q107" s="69">
        <v>0.47725094579999999</v>
      </c>
      <c r="R107" s="69">
        <v>0.4776885474</v>
      </c>
      <c r="S107" s="69">
        <v>0.47810514710000002</v>
      </c>
      <c r="T107" s="69">
        <v>0.47850241249999997</v>
      </c>
      <c r="U107" s="69">
        <v>0.47888189170000001</v>
      </c>
      <c r="V107" s="69">
        <v>0.47924502140000003</v>
      </c>
      <c r="W107" s="69">
        <v>0.47959313520000002</v>
      </c>
      <c r="X107" s="69">
        <v>0.47992747099999999</v>
      </c>
      <c r="Y107" s="69">
        <v>0.4802491774</v>
      </c>
      <c r="Z107" s="69">
        <v>0.48055932080000002</v>
      </c>
      <c r="AA107" s="69">
        <v>0.48085889059999998</v>
      </c>
      <c r="AB107" s="69">
        <v>0.48114880500000001</v>
      </c>
      <c r="AC107" s="69">
        <v>0.48142991619999997</v>
      </c>
      <c r="AD107" s="69">
        <v>0.48170301450000003</v>
      </c>
      <c r="AE107" s="69">
        <v>0.48196883350000003</v>
      </c>
      <c r="AF107" s="69">
        <v>0.48222805330000001</v>
      </c>
      <c r="AG107" s="69">
        <v>0.48248130509999998</v>
      </c>
      <c r="AH107" s="69">
        <v>0.48272917380000002</v>
      </c>
      <c r="AI107" s="69">
        <v>0.48297220190000001</v>
      </c>
      <c r="AJ107" s="69">
        <v>0.48321089229999997</v>
      </c>
      <c r="AK107" s="69">
        <v>0.48344571110000001</v>
      </c>
      <c r="AL107" s="69">
        <v>0.48367708990000002</v>
      </c>
      <c r="AM107" s="69">
        <v>0.48390542879999998</v>
      </c>
      <c r="AN107" s="69">
        <v>0.48413109809999999</v>
      </c>
      <c r="AO107" s="69">
        <v>0.48435444059999999</v>
      </c>
      <c r="AP107" s="69">
        <v>0.48457577359999998</v>
      </c>
      <c r="AQ107" s="69">
        <v>0.48479539059999999</v>
      </c>
      <c r="AR107" s="69">
        <v>0.48501356270000001</v>
      </c>
      <c r="AS107" s="69">
        <v>0.48523054090000001</v>
      </c>
      <c r="AT107" s="69">
        <v>0.48544655660000002</v>
      </c>
      <c r="AU107" s="69">
        <v>0.4856618238</v>
      </c>
      <c r="AV107" s="69">
        <v>0.48587653949999998</v>
      </c>
      <c r="AW107" s="69">
        <v>0.48609088569999997</v>
      </c>
      <c r="AX107" s="69">
        <v>0.48630502990000002</v>
      </c>
      <c r="AY107" s="69">
        <v>0.48651912619999998</v>
      </c>
      <c r="AZ107" s="69">
        <v>0.48673331669999997</v>
      </c>
      <c r="BA107" s="69">
        <v>0.48694773139999997</v>
      </c>
      <c r="BB107" s="69">
        <v>0.48716249010000001</v>
      </c>
      <c r="BC107" s="69">
        <v>0.48737770229999999</v>
      </c>
      <c r="BD107" s="69">
        <v>0.48759346850000002</v>
      </c>
      <c r="BE107" s="69">
        <v>0.48780988040000001</v>
      </c>
      <c r="BF107" s="69">
        <v>0.48802702170000001</v>
      </c>
      <c r="BG107" s="69">
        <v>0.4882449687</v>
      </c>
      <c r="BH107" s="69">
        <v>0.48846379080000002</v>
      </c>
      <c r="BI107" s="69">
        <v>0.48868355089999999</v>
      </c>
      <c r="BJ107" s="69">
        <v>0.48890430610000002</v>
      </c>
      <c r="BK107" s="69">
        <v>0.48912610760000003</v>
      </c>
      <c r="BL107" s="69">
        <v>0.4893490016</v>
      </c>
      <c r="BM107" s="69">
        <v>0.4895730297</v>
      </c>
      <c r="BN107" s="69">
        <v>0.4897982286</v>
      </c>
      <c r="BO107" s="69">
        <v>0.49002463130000001</v>
      </c>
      <c r="BP107" s="69">
        <v>0.49025226669999999</v>
      </c>
      <c r="BQ107" s="69">
        <v>0.49048116009999998</v>
      </c>
      <c r="BR107" s="69">
        <v>0.49071133360000002</v>
      </c>
      <c r="BS107" s="69">
        <v>0.49094280620000003</v>
      </c>
      <c r="BT107" s="69">
        <v>0.49117559379999998</v>
      </c>
      <c r="BU107" s="69">
        <v>0.49140971010000001</v>
      </c>
      <c r="BV107" s="69">
        <v>0.49164516590000001</v>
      </c>
      <c r="BW107" s="69">
        <v>0.49188196989999999</v>
      </c>
      <c r="BX107" s="69">
        <v>0.49212012869999999</v>
      </c>
      <c r="BY107" s="69">
        <v>0.49235964700000001</v>
      </c>
      <c r="BZ107" s="69">
        <v>0.49260052739999999</v>
      </c>
      <c r="CA107" s="69">
        <v>0.49284277110000002</v>
      </c>
      <c r="CB107" s="69">
        <v>0.49308637760000001</v>
      </c>
      <c r="CC107" s="69">
        <v>0.49333134499999998</v>
      </c>
      <c r="CD107" s="69">
        <v>0.49357767009999998</v>
      </c>
      <c r="CE107" s="69">
        <v>0.49382534830000002</v>
      </c>
      <c r="CF107" s="69">
        <v>0.4940743742</v>
      </c>
      <c r="CG107" s="69">
        <v>0.4943247409</v>
      </c>
      <c r="CH107" s="69">
        <v>0.49457644090000003</v>
      </c>
      <c r="CI107" s="69">
        <v>0.49482946560000002</v>
      </c>
      <c r="CJ107" s="69">
        <v>0.49508380569999999</v>
      </c>
      <c r="CK107" s="69">
        <v>0.49533945099999999</v>
      </c>
      <c r="CL107" s="69">
        <v>0.49559639080000001</v>
      </c>
      <c r="CM107" s="69">
        <v>0.49585461349999999</v>
      </c>
      <c r="CN107" s="69">
        <v>0.49611410719999999</v>
      </c>
      <c r="CO107" s="69">
        <v>0.49637485930000003</v>
      </c>
      <c r="CP107" s="69">
        <v>0.49663685670000002</v>
      </c>
      <c r="CQ107" s="69">
        <v>0.49690008590000001</v>
      </c>
      <c r="CR107" s="69">
        <v>0.49716453290000001</v>
      </c>
      <c r="CS107" s="69">
        <v>0.49743018360000002</v>
      </c>
      <c r="CT107" s="69">
        <v>0.49769702329999999</v>
      </c>
      <c r="CU107" s="69">
        <v>0.497965037</v>
      </c>
      <c r="CV107" s="69">
        <v>0.49823420959999998</v>
      </c>
      <c r="CW107" s="69">
        <v>0.49850452569999998</v>
      </c>
      <c r="CX107" s="69">
        <v>0.49877596950000003</v>
      </c>
      <c r="CY107" s="69">
        <v>0.49904852529999999</v>
      </c>
      <c r="CZ107" s="69">
        <v>0.49932217690000003</v>
      </c>
      <c r="DA107" s="69">
        <v>0.49959690839999998</v>
      </c>
      <c r="DB107" s="69">
        <v>0.49987270319999999</v>
      </c>
      <c r="DC107" s="69">
        <v>0.50014954509999998</v>
      </c>
      <c r="DD107" s="69">
        <v>0.50042741759999998</v>
      </c>
      <c r="DE107" s="69">
        <v>0.50070630400000005</v>
      </c>
      <c r="DF107" s="69">
        <v>0.50098618770000003</v>
      </c>
      <c r="DG107" s="69">
        <v>0.5012670521</v>
      </c>
      <c r="DH107" s="69">
        <v>0.5015488803</v>
      </c>
      <c r="DI107" s="69">
        <v>0.50183165559999998</v>
      </c>
      <c r="DJ107" s="69">
        <v>0.50211536130000001</v>
      </c>
      <c r="DK107" s="69">
        <v>0.50239998060000002</v>
      </c>
      <c r="DL107" s="69">
        <v>0.50268549669999996</v>
      </c>
      <c r="DM107" s="69">
        <v>0.50297189279999999</v>
      </c>
      <c r="DN107" s="69">
        <v>0.50325915210000005</v>
      </c>
      <c r="DO107" s="69">
        <v>0.50354725810000001</v>
      </c>
      <c r="DP107" s="69">
        <v>0.50383619400000001</v>
      </c>
      <c r="DQ107" s="69">
        <v>0.50412594330000005</v>
      </c>
      <c r="DR107" s="69">
        <v>0.50441648920000004</v>
      </c>
      <c r="DS107" s="69">
        <v>0.50470781529999997</v>
      </c>
      <c r="DT107" s="69">
        <v>0.50499990520000004</v>
      </c>
      <c r="DU107" s="69">
        <v>0.50529274239999999</v>
      </c>
      <c r="DV107" s="69">
        <v>0.50558631060000003</v>
      </c>
      <c r="DW107" s="69">
        <v>0.50588059360000004</v>
      </c>
      <c r="DX107" s="69">
        <v>0.50617557520000001</v>
      </c>
      <c r="DY107" s="69">
        <v>0.50647123930000004</v>
      </c>
      <c r="DZ107" s="69">
        <v>0.50676756990000005</v>
      </c>
      <c r="EA107" s="69">
        <v>0.50706455100000003</v>
      </c>
      <c r="EB107" s="69">
        <v>0.50736216690000002</v>
      </c>
      <c r="EC107" s="69">
        <v>0.50766040180000005</v>
      </c>
      <c r="ED107" s="69">
        <v>0.50795924010000004</v>
      </c>
      <c r="EE107" s="69">
        <v>0.50825866630000005</v>
      </c>
      <c r="EF107" s="69">
        <v>0.5085586648</v>
      </c>
      <c r="EG107" s="69">
        <v>0.50885922029999997</v>
      </c>
      <c r="EH107" s="69">
        <v>0.50916031770000003</v>
      </c>
      <c r="EI107" s="69">
        <v>0.50946194180000004</v>
      </c>
      <c r="EJ107" s="69">
        <v>0.50976407759999998</v>
      </c>
      <c r="EK107" s="69">
        <v>0.51006671000000003</v>
      </c>
      <c r="EL107" s="69">
        <v>0.51036982450000001</v>
      </c>
      <c r="EM107" s="69">
        <v>0.5106734061</v>
      </c>
      <c r="EN107" s="69">
        <v>0.51097744040000004</v>
      </c>
      <c r="EO107" s="69">
        <v>0.51128191290000002</v>
      </c>
      <c r="EP107" s="69">
        <v>0.51158680919999999</v>
      </c>
      <c r="EQ107" s="69">
        <v>0.51189211509999999</v>
      </c>
      <c r="ER107" s="69">
        <v>0.51219781639999995</v>
      </c>
      <c r="ES107" s="69">
        <v>0.51250389900000004</v>
      </c>
      <c r="ET107" s="69">
        <v>0.51281034920000002</v>
      </c>
      <c r="EU107" s="69">
        <v>0.51311715309999995</v>
      </c>
      <c r="EV107" s="69">
        <v>0.51342429700000003</v>
      </c>
      <c r="EW107" s="69">
        <v>0.51373176730000003</v>
      </c>
      <c r="EX107" s="69">
        <v>0.51403955059999995</v>
      </c>
      <c r="EY107" s="69">
        <v>0.51434763360000002</v>
      </c>
      <c r="EZ107" s="69">
        <v>0.51465600310000004</v>
      </c>
      <c r="FA107" s="69">
        <v>0.51496464590000002</v>
      </c>
      <c r="FB107" s="69">
        <v>0.515273549</v>
      </c>
      <c r="FC107" s="69">
        <v>0.51558269970000004</v>
      </c>
      <c r="FD107" s="69">
        <v>0.51589208509999995</v>
      </c>
      <c r="FE107" s="69">
        <v>0.51620169260000004</v>
      </c>
      <c r="FF107" s="69">
        <v>0.51651150970000004</v>
      </c>
      <c r="FG107" s="69">
        <v>0.51682152390000002</v>
      </c>
      <c r="FH107" s="69">
        <v>0.51713172299999999</v>
      </c>
      <c r="FI107" s="69">
        <v>0.51744209480000003</v>
      </c>
      <c r="FJ107" s="69">
        <v>0.51775262720000004</v>
      </c>
      <c r="FK107" s="69">
        <v>0.51806330840000003</v>
      </c>
      <c r="FL107" s="69">
        <v>0.51837412630000002</v>
      </c>
      <c r="FM107" s="69">
        <v>0.51868506940000003</v>
      </c>
      <c r="FN107" s="69">
        <v>0.518996126</v>
      </c>
      <c r="FO107" s="69">
        <v>0.51930728459999997</v>
      </c>
      <c r="FP107" s="69">
        <v>0.5196185338</v>
      </c>
      <c r="FQ107" s="69">
        <v>0.51992986240000005</v>
      </c>
    </row>
    <row r="108" spans="1:173" x14ac:dyDescent="0.25">
      <c r="A108" s="71">
        <v>106</v>
      </c>
      <c r="B108" s="69">
        <v>0.48276196249999997</v>
      </c>
      <c r="C108" s="69">
        <v>0.48385783440000002</v>
      </c>
      <c r="D108" s="69">
        <v>0.4848875533</v>
      </c>
      <c r="E108" s="69">
        <v>0.48585609419999998</v>
      </c>
      <c r="F108" s="69">
        <v>0.48676806550000001</v>
      </c>
      <c r="G108" s="69">
        <v>0.48762773539999998</v>
      </c>
      <c r="H108" s="69">
        <v>0.48843905809999999</v>
      </c>
      <c r="I108" s="69">
        <v>0.48920569660000002</v>
      </c>
      <c r="J108" s="69">
        <v>0.48993104500000001</v>
      </c>
      <c r="K108" s="69">
        <v>0.49061824780000002</v>
      </c>
      <c r="L108" s="69">
        <v>0.49127021929999998</v>
      </c>
      <c r="M108" s="69">
        <v>0.49188966020000002</v>
      </c>
      <c r="N108" s="69">
        <v>0.49247907359999998</v>
      </c>
      <c r="O108" s="69">
        <v>0.49304077950000003</v>
      </c>
      <c r="P108" s="69">
        <v>0.49357692869999997</v>
      </c>
      <c r="Q108" s="69">
        <v>0.49408951480000002</v>
      </c>
      <c r="R108" s="69">
        <v>0.4945803862</v>
      </c>
      <c r="S108" s="69">
        <v>0.49505125649999998</v>
      </c>
      <c r="T108" s="69">
        <v>0.49550371450000003</v>
      </c>
      <c r="U108" s="69">
        <v>0.4959392332</v>
      </c>
      <c r="V108" s="69">
        <v>0.4963591785</v>
      </c>
      <c r="W108" s="69">
        <v>0.49676481680000001</v>
      </c>
      <c r="X108" s="69">
        <v>0.49715732219999997</v>
      </c>
      <c r="Y108" s="69">
        <v>0.49753778329999998</v>
      </c>
      <c r="Z108" s="69">
        <v>0.49790720939999999</v>
      </c>
      <c r="AA108" s="69">
        <v>0.49826653609999999</v>
      </c>
      <c r="AB108" s="69">
        <v>0.49861663090000002</v>
      </c>
      <c r="AC108" s="69">
        <v>0.4989582977</v>
      </c>
      <c r="AD108" s="69">
        <v>0.49929228149999999</v>
      </c>
      <c r="AE108" s="69">
        <v>0.49961927309999998</v>
      </c>
      <c r="AF108" s="69">
        <v>0.49993991199999999</v>
      </c>
      <c r="AG108" s="69">
        <v>0.50025479120000005</v>
      </c>
      <c r="AH108" s="69">
        <v>0.50056445949999995</v>
      </c>
      <c r="AI108" s="69">
        <v>0.50086942550000002</v>
      </c>
      <c r="AJ108" s="69">
        <v>0.50117015990000002</v>
      </c>
      <c r="AK108" s="69">
        <v>0.50146709820000002</v>
      </c>
      <c r="AL108" s="69">
        <v>0.50176064379999996</v>
      </c>
      <c r="AM108" s="69">
        <v>0.50205116959999996</v>
      </c>
      <c r="AN108" s="69">
        <v>0.5023390204</v>
      </c>
      <c r="AO108" s="69">
        <v>0.50262451490000004</v>
      </c>
      <c r="AP108" s="69">
        <v>0.50290794780000003</v>
      </c>
      <c r="AQ108" s="69">
        <v>0.50318959100000005</v>
      </c>
      <c r="AR108" s="69">
        <v>0.50346969559999999</v>
      </c>
      <c r="AS108" s="69">
        <v>0.50374849330000004</v>
      </c>
      <c r="AT108" s="69">
        <v>0.50402619770000001</v>
      </c>
      <c r="AU108" s="69">
        <v>0.50430300539999995</v>
      </c>
      <c r="AV108" s="69">
        <v>0.50457909769999998</v>
      </c>
      <c r="AW108" s="69">
        <v>0.50485464120000001</v>
      </c>
      <c r="AX108" s="69">
        <v>0.50512978900000005</v>
      </c>
      <c r="AY108" s="69">
        <v>0.50540468189999999</v>
      </c>
      <c r="AZ108" s="69">
        <v>0.50567944890000005</v>
      </c>
      <c r="BA108" s="69">
        <v>0.50595420810000002</v>
      </c>
      <c r="BB108" s="69">
        <v>0.50622906759999997</v>
      </c>
      <c r="BC108" s="69">
        <v>0.50650412639999998</v>
      </c>
      <c r="BD108" s="69">
        <v>0.50677947440000004</v>
      </c>
      <c r="BE108" s="69">
        <v>0.50705519379999997</v>
      </c>
      <c r="BF108" s="69">
        <v>0.50733135910000005</v>
      </c>
      <c r="BG108" s="69">
        <v>0.50760803789999998</v>
      </c>
      <c r="BH108" s="69">
        <v>0.50788529149999995</v>
      </c>
      <c r="BI108" s="69">
        <v>0.50816317479999995</v>
      </c>
      <c r="BJ108" s="69">
        <v>0.50844173749999999</v>
      </c>
      <c r="BK108" s="69">
        <v>0.50872102399999997</v>
      </c>
      <c r="BL108" s="69">
        <v>0.50900107390000005</v>
      </c>
      <c r="BM108" s="69">
        <v>0.50928192220000001</v>
      </c>
      <c r="BN108" s="69">
        <v>0.50956360010000001</v>
      </c>
      <c r="BO108" s="69">
        <v>0.50984613450000005</v>
      </c>
      <c r="BP108" s="69">
        <v>0.51012954919999998</v>
      </c>
      <c r="BQ108" s="69">
        <v>0.51041386430000002</v>
      </c>
      <c r="BR108" s="69">
        <v>0.51069909710000005</v>
      </c>
      <c r="BS108" s="69">
        <v>0.51098526190000004</v>
      </c>
      <c r="BT108" s="69">
        <v>0.51127237049999996</v>
      </c>
      <c r="BU108" s="69">
        <v>0.51156043220000003</v>
      </c>
      <c r="BV108" s="69">
        <v>0.51184945400000004</v>
      </c>
      <c r="BW108" s="69">
        <v>0.51213944089999996</v>
      </c>
      <c r="BX108" s="69">
        <v>0.51243039580000005</v>
      </c>
      <c r="BY108" s="69">
        <v>0.51272231989999995</v>
      </c>
      <c r="BZ108" s="69">
        <v>0.51301521289999996</v>
      </c>
      <c r="CA108" s="69">
        <v>0.51330907280000004</v>
      </c>
      <c r="CB108" s="69">
        <v>0.51360389620000002</v>
      </c>
      <c r="CC108" s="69">
        <v>0.51389967839999995</v>
      </c>
      <c r="CD108" s="69">
        <v>0.5141964135</v>
      </c>
      <c r="CE108" s="69">
        <v>0.51449409459999995</v>
      </c>
      <c r="CF108" s="69">
        <v>0.51479271360000001</v>
      </c>
      <c r="CG108" s="69">
        <v>0.51509226159999999</v>
      </c>
      <c r="CH108" s="69">
        <v>0.51539272879999998</v>
      </c>
      <c r="CI108" s="69">
        <v>0.51569410459999998</v>
      </c>
      <c r="CJ108" s="69">
        <v>0.51599637779999996</v>
      </c>
      <c r="CK108" s="69">
        <v>0.51629953620000002</v>
      </c>
      <c r="CL108" s="69">
        <v>0.51660356740000002</v>
      </c>
      <c r="CM108" s="69">
        <v>0.51690845819999998</v>
      </c>
      <c r="CN108" s="69">
        <v>0.51721419489999998</v>
      </c>
      <c r="CO108" s="69">
        <v>0.51752076359999999</v>
      </c>
      <c r="CP108" s="69">
        <v>0.51782814960000001</v>
      </c>
      <c r="CQ108" s="69">
        <v>0.51813633820000005</v>
      </c>
      <c r="CR108" s="69">
        <v>0.51844531400000005</v>
      </c>
      <c r="CS108" s="69">
        <v>0.51875506159999996</v>
      </c>
      <c r="CT108" s="69">
        <v>0.51906556530000003</v>
      </c>
      <c r="CU108" s="69">
        <v>0.51937680890000004</v>
      </c>
      <c r="CV108" s="69">
        <v>0.51968877629999999</v>
      </c>
      <c r="CW108" s="69">
        <v>0.52000145109999996</v>
      </c>
      <c r="CX108" s="69">
        <v>0.52031481660000001</v>
      </c>
      <c r="CY108" s="69">
        <v>0.52062885619999999</v>
      </c>
      <c r="CZ108" s="69">
        <v>0.52094355309999996</v>
      </c>
      <c r="DA108" s="69">
        <v>0.52125889020000005</v>
      </c>
      <c r="DB108" s="69">
        <v>0.52157485069999998</v>
      </c>
      <c r="DC108" s="69">
        <v>0.5218914174</v>
      </c>
      <c r="DD108" s="69">
        <v>0.52220857320000003</v>
      </c>
      <c r="DE108" s="69">
        <v>0.52252630099999997</v>
      </c>
      <c r="DF108" s="69">
        <v>0.52284458359999997</v>
      </c>
      <c r="DG108" s="69">
        <v>0.52316340380000004</v>
      </c>
      <c r="DH108" s="69">
        <v>0.52348274449999999</v>
      </c>
      <c r="DI108" s="69">
        <v>0.52380258850000005</v>
      </c>
      <c r="DJ108" s="69">
        <v>0.52412291870000005</v>
      </c>
      <c r="DK108" s="69">
        <v>0.52444371789999999</v>
      </c>
      <c r="DL108" s="69">
        <v>0.52476496920000004</v>
      </c>
      <c r="DM108" s="69">
        <v>0.5250866555</v>
      </c>
      <c r="DN108" s="69">
        <v>0.52540876000000003</v>
      </c>
      <c r="DO108" s="69">
        <v>0.52573126560000005</v>
      </c>
      <c r="DP108" s="69">
        <v>0.52605415570000003</v>
      </c>
      <c r="DQ108" s="69">
        <v>0.5263774135</v>
      </c>
      <c r="DR108" s="69">
        <v>0.52670102240000005</v>
      </c>
      <c r="DS108" s="69">
        <v>0.52702496580000002</v>
      </c>
      <c r="DT108" s="69">
        <v>0.5273492273</v>
      </c>
      <c r="DU108" s="69">
        <v>0.52767379059999997</v>
      </c>
      <c r="DV108" s="69">
        <v>0.52799863920000001</v>
      </c>
      <c r="DW108" s="69">
        <v>0.52832375720000002</v>
      </c>
      <c r="DX108" s="69">
        <v>0.52864912850000001</v>
      </c>
      <c r="DY108" s="69">
        <v>0.52897473719999999</v>
      </c>
      <c r="DZ108" s="69">
        <v>0.52930056739999998</v>
      </c>
      <c r="EA108" s="69">
        <v>0.52962660350000001</v>
      </c>
      <c r="EB108" s="69">
        <v>0.52995282980000002</v>
      </c>
      <c r="EC108" s="69">
        <v>0.53027923099999996</v>
      </c>
      <c r="ED108" s="69">
        <v>0.5306057917</v>
      </c>
      <c r="EE108" s="69">
        <v>0.53093249669999998</v>
      </c>
      <c r="EF108" s="69">
        <v>0.53125933089999999</v>
      </c>
      <c r="EG108" s="69">
        <v>0.53158627940000003</v>
      </c>
      <c r="EH108" s="69">
        <v>0.53191332739999997</v>
      </c>
      <c r="EI108" s="69">
        <v>0.53224046020000004</v>
      </c>
      <c r="EJ108" s="69">
        <v>0.53256766330000005</v>
      </c>
      <c r="EK108" s="69">
        <v>0.53289492220000001</v>
      </c>
      <c r="EL108" s="69">
        <v>0.53322222269999997</v>
      </c>
      <c r="EM108" s="69">
        <v>0.53354955059999998</v>
      </c>
      <c r="EN108" s="69">
        <v>0.53387689189999998</v>
      </c>
      <c r="EO108" s="69">
        <v>0.53420423269999995</v>
      </c>
      <c r="EP108" s="69">
        <v>0.53453155929999996</v>
      </c>
      <c r="EQ108" s="69">
        <v>0.53485885820000001</v>
      </c>
      <c r="ER108" s="69">
        <v>0.53518611579999997</v>
      </c>
      <c r="ES108" s="69">
        <v>0.53551331879999997</v>
      </c>
      <c r="ET108" s="69">
        <v>0.53584045410000003</v>
      </c>
      <c r="EU108" s="69">
        <v>0.53616750859999995</v>
      </c>
      <c r="EV108" s="69">
        <v>0.53649446940000001</v>
      </c>
      <c r="EW108" s="69">
        <v>0.53682132370000002</v>
      </c>
      <c r="EX108" s="69">
        <v>0.53714805880000005</v>
      </c>
      <c r="EY108" s="69">
        <v>0.53747466239999997</v>
      </c>
      <c r="EZ108" s="69">
        <v>0.53780112209999997</v>
      </c>
      <c r="FA108" s="69">
        <v>0.53812742550000003</v>
      </c>
      <c r="FB108" s="69">
        <v>0.53845356079999995</v>
      </c>
      <c r="FC108" s="69">
        <v>0.53877951580000005</v>
      </c>
      <c r="FD108" s="69">
        <v>0.53910527880000003</v>
      </c>
      <c r="FE108" s="69">
        <v>0.53943083810000003</v>
      </c>
      <c r="FF108" s="69">
        <v>0.5397561823</v>
      </c>
      <c r="FG108" s="69">
        <v>0.54008129979999997</v>
      </c>
      <c r="FH108" s="69">
        <v>0.54040617950000003</v>
      </c>
      <c r="FI108" s="69">
        <v>0.54073081020000002</v>
      </c>
      <c r="FJ108" s="69">
        <v>0.54105518090000004</v>
      </c>
      <c r="FK108" s="69">
        <v>0.54137928069999997</v>
      </c>
      <c r="FL108" s="69">
        <v>0.54170309890000001</v>
      </c>
      <c r="FM108" s="69">
        <v>0.54202662499999998</v>
      </c>
      <c r="FN108" s="69">
        <v>0.54234984850000001</v>
      </c>
      <c r="FO108" s="69">
        <v>0.5426727589</v>
      </c>
      <c r="FP108" s="69">
        <v>0.54299534620000001</v>
      </c>
      <c r="FQ108" s="69">
        <v>0.54331760029999998</v>
      </c>
    </row>
    <row r="109" spans="1:173" x14ac:dyDescent="0.25">
      <c r="A109" s="71">
        <v>107</v>
      </c>
      <c r="B109" s="69">
        <v>0.49784507560000002</v>
      </c>
      <c r="C109" s="69">
        <v>0.49895060270000002</v>
      </c>
      <c r="D109" s="69">
        <v>0.49999287840000001</v>
      </c>
      <c r="E109" s="69">
        <v>0.50097670989999998</v>
      </c>
      <c r="F109" s="69">
        <v>0.50190654239999999</v>
      </c>
      <c r="G109" s="69">
        <v>0.50278648670000003</v>
      </c>
      <c r="H109" s="69">
        <v>0.5036203454</v>
      </c>
      <c r="I109" s="69">
        <v>0.50441163580000004</v>
      </c>
      <c r="J109" s="69">
        <v>0.50516361229999995</v>
      </c>
      <c r="K109" s="69">
        <v>0.5058792862</v>
      </c>
      <c r="L109" s="69">
        <v>0.50656144410000004</v>
      </c>
      <c r="M109" s="69">
        <v>0.50721266529999998</v>
      </c>
      <c r="N109" s="69">
        <v>0.50783533719999996</v>
      </c>
      <c r="O109" s="69">
        <v>0.50843167020000002</v>
      </c>
      <c r="P109" s="69">
        <v>0.50900371040000003</v>
      </c>
      <c r="Q109" s="69">
        <v>0.50955335270000002</v>
      </c>
      <c r="R109" s="69">
        <v>0.51008235150000003</v>
      </c>
      <c r="S109" s="69">
        <v>0.51059233150000005</v>
      </c>
      <c r="T109" s="69">
        <v>0.51108479760000003</v>
      </c>
      <c r="U109" s="69">
        <v>0.5115611431</v>
      </c>
      <c r="V109" s="69">
        <v>0.51202265879999997</v>
      </c>
      <c r="W109" s="69">
        <v>0.51247054010000004</v>
      </c>
      <c r="X109" s="69">
        <v>0.51290589379999996</v>
      </c>
      <c r="Y109" s="69">
        <v>0.51332974539999998</v>
      </c>
      <c r="Z109" s="69">
        <v>0.51374304439999996</v>
      </c>
      <c r="AA109" s="69">
        <v>0.51414666990000002</v>
      </c>
      <c r="AB109" s="69">
        <v>0.51454143620000004</v>
      </c>
      <c r="AC109" s="69">
        <v>0.51492809709999998</v>
      </c>
      <c r="AD109" s="69">
        <v>0.51530735039999997</v>
      </c>
      <c r="AE109" s="69">
        <v>0.51567984209999995</v>
      </c>
      <c r="AF109" s="69">
        <v>0.51604616999999997</v>
      </c>
      <c r="AG109" s="69">
        <v>0.51640688729999995</v>
      </c>
      <c r="AH109" s="69">
        <v>0.51676250570000004</v>
      </c>
      <c r="AI109" s="69">
        <v>0.51711349849999999</v>
      </c>
      <c r="AJ109" s="69">
        <v>0.51746030330000004</v>
      </c>
      <c r="AK109" s="69">
        <v>0.51780332480000002</v>
      </c>
      <c r="AL109" s="69">
        <v>0.51814293659999999</v>
      </c>
      <c r="AM109" s="69">
        <v>0.51847948420000001</v>
      </c>
      <c r="AN109" s="69">
        <v>0.51881328640000002</v>
      </c>
      <c r="AO109" s="69">
        <v>0.51914463740000005</v>
      </c>
      <c r="AP109" s="69">
        <v>0.51947380870000004</v>
      </c>
      <c r="AQ109" s="69">
        <v>0.51980105060000004</v>
      </c>
      <c r="AR109" s="69">
        <v>0.52012659370000003</v>
      </c>
      <c r="AS109" s="69">
        <v>0.52045065040000005</v>
      </c>
      <c r="AT109" s="69">
        <v>0.52077341610000005</v>
      </c>
      <c r="AU109" s="69">
        <v>0.52109507060000004</v>
      </c>
      <c r="AV109" s="69">
        <v>0.52141577880000001</v>
      </c>
      <c r="AW109" s="69">
        <v>0.52173569239999995</v>
      </c>
      <c r="AX109" s="69">
        <v>0.52205495030000004</v>
      </c>
      <c r="AY109" s="69">
        <v>0.52237367970000004</v>
      </c>
      <c r="AZ109" s="69">
        <v>0.52269199690000001</v>
      </c>
      <c r="BA109" s="69">
        <v>0.5230100083</v>
      </c>
      <c r="BB109" s="69">
        <v>0.52332781090000002</v>
      </c>
      <c r="BC109" s="69">
        <v>0.52364549279999995</v>
      </c>
      <c r="BD109" s="69">
        <v>0.52396313439999997</v>
      </c>
      <c r="BE109" s="69">
        <v>0.52428080830000001</v>
      </c>
      <c r="BF109" s="69">
        <v>0.52459858020000005</v>
      </c>
      <c r="BG109" s="69">
        <v>0.52491650970000003</v>
      </c>
      <c r="BH109" s="69">
        <v>0.52523464990000002</v>
      </c>
      <c r="BI109" s="69">
        <v>0.52555304879999998</v>
      </c>
      <c r="BJ109" s="69">
        <v>0.525871749</v>
      </c>
      <c r="BK109" s="69">
        <v>0.5261907884</v>
      </c>
      <c r="BL109" s="69">
        <v>0.52651020059999998</v>
      </c>
      <c r="BM109" s="69">
        <v>0.52683001500000004</v>
      </c>
      <c r="BN109" s="69">
        <v>0.52715025699999996</v>
      </c>
      <c r="BO109" s="69">
        <v>0.52747094900000002</v>
      </c>
      <c r="BP109" s="69">
        <v>0.5277921096</v>
      </c>
      <c r="BQ109" s="69">
        <v>0.52811375459999998</v>
      </c>
      <c r="BR109" s="69">
        <v>0.52843589719999995</v>
      </c>
      <c r="BS109" s="69">
        <v>0.52875854779999998</v>
      </c>
      <c r="BT109" s="69">
        <v>0.52908171439999996</v>
      </c>
      <c r="BU109" s="69">
        <v>0.52940540280000004</v>
      </c>
      <c r="BV109" s="69">
        <v>0.52972961699999999</v>
      </c>
      <c r="BW109" s="69">
        <v>0.53005435879999996</v>
      </c>
      <c r="BX109" s="69">
        <v>0.53037962839999997</v>
      </c>
      <c r="BY109" s="69">
        <v>0.53070542440000001</v>
      </c>
      <c r="BZ109" s="69">
        <v>0.53103174399999997</v>
      </c>
      <c r="CA109" s="69">
        <v>0.53135858280000003</v>
      </c>
      <c r="CB109" s="69">
        <v>0.53168593549999998</v>
      </c>
      <c r="CC109" s="69">
        <v>0.53201379530000004</v>
      </c>
      <c r="CD109" s="69">
        <v>0.5323421545</v>
      </c>
      <c r="CE109" s="69">
        <v>0.53267100460000005</v>
      </c>
      <c r="CF109" s="69">
        <v>0.53300033589999996</v>
      </c>
      <c r="CG109" s="69">
        <v>0.53333013809999996</v>
      </c>
      <c r="CH109" s="69">
        <v>0.53366040020000005</v>
      </c>
      <c r="CI109" s="69">
        <v>0.53399111020000001</v>
      </c>
      <c r="CJ109" s="69">
        <v>0.53432225590000004</v>
      </c>
      <c r="CK109" s="69">
        <v>0.53465382429999997</v>
      </c>
      <c r="CL109" s="69">
        <v>0.5349858019</v>
      </c>
      <c r="CM109" s="69">
        <v>0.5353181749</v>
      </c>
      <c r="CN109" s="69">
        <v>0.53565092889999999</v>
      </c>
      <c r="CO109" s="69">
        <v>0.53598404919999998</v>
      </c>
      <c r="CP109" s="69">
        <v>0.53631752089999996</v>
      </c>
      <c r="CQ109" s="69">
        <v>0.53665132869999999</v>
      </c>
      <c r="CR109" s="69">
        <v>0.536985457</v>
      </c>
      <c r="CS109" s="69">
        <v>0.53731989000000002</v>
      </c>
      <c r="CT109" s="69">
        <v>0.53765461179999996</v>
      </c>
      <c r="CU109" s="69">
        <v>0.53798960620000003</v>
      </c>
      <c r="CV109" s="69">
        <v>0.53832485689999998</v>
      </c>
      <c r="CW109" s="69">
        <v>0.53866034750000003</v>
      </c>
      <c r="CX109" s="69">
        <v>0.53899606160000002</v>
      </c>
      <c r="CY109" s="69">
        <v>0.53933198250000003</v>
      </c>
      <c r="CZ109" s="69">
        <v>0.53966809360000001</v>
      </c>
      <c r="DA109" s="69">
        <v>0.54000437820000002</v>
      </c>
      <c r="DB109" s="69">
        <v>0.54034081960000002</v>
      </c>
      <c r="DC109" s="69">
        <v>0.54067740119999996</v>
      </c>
      <c r="DD109" s="69">
        <v>0.54101410620000001</v>
      </c>
      <c r="DE109" s="69">
        <v>0.54135091790000001</v>
      </c>
      <c r="DF109" s="69">
        <v>0.54168781970000002</v>
      </c>
      <c r="DG109" s="69">
        <v>0.542024795</v>
      </c>
      <c r="DH109" s="69">
        <v>0.54236182710000003</v>
      </c>
      <c r="DI109" s="69">
        <v>0.54269889959999995</v>
      </c>
      <c r="DJ109" s="69">
        <v>0.54303599609999997</v>
      </c>
      <c r="DK109" s="69">
        <v>0.54337310019999996</v>
      </c>
      <c r="DL109" s="69">
        <v>0.5437101956</v>
      </c>
      <c r="DM109" s="69">
        <v>0.54404726619999999</v>
      </c>
      <c r="DN109" s="69">
        <v>0.54438429590000004</v>
      </c>
      <c r="DO109" s="69">
        <v>0.54472126860000003</v>
      </c>
      <c r="DP109" s="69">
        <v>0.54505816870000001</v>
      </c>
      <c r="DQ109" s="69">
        <v>0.54539498019999999</v>
      </c>
      <c r="DR109" s="69">
        <v>0.54573168770000002</v>
      </c>
      <c r="DS109" s="69">
        <v>0.54606827550000003</v>
      </c>
      <c r="DT109" s="69">
        <v>0.54640472839999998</v>
      </c>
      <c r="DU109" s="69">
        <v>0.54674103110000005</v>
      </c>
      <c r="DV109" s="69">
        <v>0.54707716839999998</v>
      </c>
      <c r="DW109" s="69">
        <v>0.54741312549999999</v>
      </c>
      <c r="DX109" s="69">
        <v>0.54774888749999995</v>
      </c>
      <c r="DY109" s="69">
        <v>0.54808443979999999</v>
      </c>
      <c r="DZ109" s="69">
        <v>0.5484197677</v>
      </c>
      <c r="EA109" s="69">
        <v>0.54875485700000004</v>
      </c>
      <c r="EB109" s="69">
        <v>0.54908969330000001</v>
      </c>
      <c r="EC109" s="69">
        <v>0.5494242627</v>
      </c>
      <c r="ED109" s="69">
        <v>0.54975855119999995</v>
      </c>
      <c r="EE109" s="69">
        <v>0.55009254500000004</v>
      </c>
      <c r="EF109" s="69">
        <v>0.55042623049999995</v>
      </c>
      <c r="EG109" s="69">
        <v>0.55075959419999998</v>
      </c>
      <c r="EH109" s="69">
        <v>0.55109262280000004</v>
      </c>
      <c r="EI109" s="69">
        <v>0.55142530329999995</v>
      </c>
      <c r="EJ109" s="69">
        <v>0.55175762250000004</v>
      </c>
      <c r="EK109" s="69">
        <v>0.55208956769999995</v>
      </c>
      <c r="EL109" s="69">
        <v>0.55242112629999995</v>
      </c>
      <c r="EM109" s="69">
        <v>0.5527522856</v>
      </c>
      <c r="EN109" s="69">
        <v>0.55308303329999997</v>
      </c>
      <c r="EO109" s="69">
        <v>0.55341335739999997</v>
      </c>
      <c r="EP109" s="69">
        <v>0.55374324559999999</v>
      </c>
      <c r="EQ109" s="69">
        <v>0.55407268620000005</v>
      </c>
      <c r="ER109" s="69">
        <v>0.55440166739999996</v>
      </c>
      <c r="ES109" s="69">
        <v>0.5547301778</v>
      </c>
      <c r="ET109" s="69">
        <v>0.55505820579999998</v>
      </c>
      <c r="EU109" s="69">
        <v>0.55538574029999999</v>
      </c>
      <c r="EV109" s="69">
        <v>0.55571277019999998</v>
      </c>
      <c r="EW109" s="69">
        <v>0.55603928459999996</v>
      </c>
      <c r="EX109" s="69">
        <v>0.55636527270000002</v>
      </c>
      <c r="EY109" s="69">
        <v>0.55669072389999996</v>
      </c>
      <c r="EZ109" s="69">
        <v>0.55701562770000002</v>
      </c>
      <c r="FA109" s="69">
        <v>0.55733997400000002</v>
      </c>
      <c r="FB109" s="69">
        <v>0.5576637525</v>
      </c>
      <c r="FC109" s="69">
        <v>0.55798695320000002</v>
      </c>
      <c r="FD109" s="69">
        <v>0.55830956639999996</v>
      </c>
      <c r="FE109" s="69">
        <v>0.55863158239999999</v>
      </c>
      <c r="FF109" s="69">
        <v>0.5589529916</v>
      </c>
      <c r="FG109" s="69">
        <v>0.5592737847</v>
      </c>
      <c r="FH109" s="69">
        <v>0.55959395239999998</v>
      </c>
      <c r="FI109" s="69">
        <v>0.55991348569999999</v>
      </c>
      <c r="FJ109" s="69">
        <v>0.56023237569999995</v>
      </c>
      <c r="FK109" s="69">
        <v>0.56055061350000002</v>
      </c>
      <c r="FL109" s="69">
        <v>0.56086819070000005</v>
      </c>
      <c r="FM109" s="69">
        <v>0.56118509859999999</v>
      </c>
      <c r="FN109" s="69">
        <v>0.56150132900000005</v>
      </c>
      <c r="FO109" s="69">
        <v>0.5618168737</v>
      </c>
      <c r="FP109" s="69">
        <v>0.56213172460000005</v>
      </c>
      <c r="FQ109" s="69">
        <v>0.5624458738</v>
      </c>
    </row>
    <row r="110" spans="1:173" x14ac:dyDescent="0.25">
      <c r="A110" s="71">
        <v>108</v>
      </c>
      <c r="B110" s="69">
        <v>0.51177271930000001</v>
      </c>
      <c r="C110" s="69">
        <v>0.51287345360000003</v>
      </c>
      <c r="D110" s="69">
        <v>0.51391395689999997</v>
      </c>
      <c r="E110" s="69">
        <v>0.51489884890000004</v>
      </c>
      <c r="F110" s="69">
        <v>0.51583239430000005</v>
      </c>
      <c r="G110" s="69">
        <v>0.51671853130000001</v>
      </c>
      <c r="H110" s="69">
        <v>0.51756089679999995</v>
      </c>
      <c r="I110" s="69">
        <v>0.51836285029999996</v>
      </c>
      <c r="J110" s="69">
        <v>0.51912749560000004</v>
      </c>
      <c r="K110" s="69">
        <v>0.51985770080000004</v>
      </c>
      <c r="L110" s="69">
        <v>0.5205561165</v>
      </c>
      <c r="M110" s="69">
        <v>0.52122519290000002</v>
      </c>
      <c r="N110" s="69">
        <v>0.52186719500000001</v>
      </c>
      <c r="O110" s="69">
        <v>0.52248421700000003</v>
      </c>
      <c r="P110" s="69">
        <v>0.52307819560000002</v>
      </c>
      <c r="Q110" s="69">
        <v>0.52365092189999995</v>
      </c>
      <c r="R110" s="69">
        <v>0.52420405219999999</v>
      </c>
      <c r="S110" s="69">
        <v>0.52473911900000003</v>
      </c>
      <c r="T110" s="69">
        <v>0.52525753939999997</v>
      </c>
      <c r="U110" s="69">
        <v>0.52576062469999996</v>
      </c>
      <c r="V110" s="69">
        <v>0.52624958789999998</v>
      </c>
      <c r="W110" s="69">
        <v>0.52672555099999996</v>
      </c>
      <c r="X110" s="69">
        <v>0.52718955229999998</v>
      </c>
      <c r="Y110" s="69">
        <v>0.52764255189999998</v>
      </c>
      <c r="Z110" s="69">
        <v>0.52808543829999999</v>
      </c>
      <c r="AA110" s="69">
        <v>0.52851903320000004</v>
      </c>
      <c r="AB110" s="69">
        <v>0.52894409659999997</v>
      </c>
      <c r="AC110" s="69">
        <v>0.52936133139999997</v>
      </c>
      <c r="AD110" s="69">
        <v>0.52977138739999996</v>
      </c>
      <c r="AE110" s="69">
        <v>0.53017486560000004</v>
      </c>
      <c r="AF110" s="69">
        <v>0.5305723215</v>
      </c>
      <c r="AG110" s="69">
        <v>0.53096426829999999</v>
      </c>
      <c r="AH110" s="69">
        <v>0.53135118039999996</v>
      </c>
      <c r="AI110" s="69">
        <v>0.53173349599999997</v>
      </c>
      <c r="AJ110" s="69">
        <v>0.53211161949999997</v>
      </c>
      <c r="AK110" s="69">
        <v>0.53248592449999999</v>
      </c>
      <c r="AL110" s="69">
        <v>0.53285675580000003</v>
      </c>
      <c r="AM110" s="69">
        <v>0.53322443109999995</v>
      </c>
      <c r="AN110" s="69">
        <v>0.53358924370000005</v>
      </c>
      <c r="AO110" s="69">
        <v>0.53395146370000002</v>
      </c>
      <c r="AP110" s="69">
        <v>0.53431134000000002</v>
      </c>
      <c r="AQ110" s="69">
        <v>0.53466910140000001</v>
      </c>
      <c r="AR110" s="69">
        <v>0.53502495890000001</v>
      </c>
      <c r="AS110" s="69">
        <v>0.53537910600000005</v>
      </c>
      <c r="AT110" s="69">
        <v>0.53573172059999996</v>
      </c>
      <c r="AU110" s="69">
        <v>0.53608296600000005</v>
      </c>
      <c r="AV110" s="69">
        <v>0.53643299190000004</v>
      </c>
      <c r="AW110" s="69">
        <v>0.53678193529999996</v>
      </c>
      <c r="AX110" s="69">
        <v>0.53712992159999995</v>
      </c>
      <c r="AY110" s="69">
        <v>0.53747706549999996</v>
      </c>
      <c r="AZ110" s="69">
        <v>0.53782347149999998</v>
      </c>
      <c r="BA110" s="69">
        <v>0.53816923459999999</v>
      </c>
      <c r="BB110" s="69">
        <v>0.53851444159999995</v>
      </c>
      <c r="BC110" s="69">
        <v>0.53885917100000003</v>
      </c>
      <c r="BD110" s="69">
        <v>0.5392034939</v>
      </c>
      <c r="BE110" s="69">
        <v>0.53954747459999997</v>
      </c>
      <c r="BF110" s="69">
        <v>0.53989117090000005</v>
      </c>
      <c r="BG110" s="69">
        <v>0.54023463490000001</v>
      </c>
      <c r="BH110" s="69">
        <v>0.54057791310000003</v>
      </c>
      <c r="BI110" s="69">
        <v>0.54092104679999997</v>
      </c>
      <c r="BJ110" s="69">
        <v>0.5412640729</v>
      </c>
      <c r="BK110" s="69">
        <v>0.54160702360000001</v>
      </c>
      <c r="BL110" s="69">
        <v>0.54194992750000004</v>
      </c>
      <c r="BM110" s="69">
        <v>0.5422928091</v>
      </c>
      <c r="BN110" s="69">
        <v>0.54263568969999998</v>
      </c>
      <c r="BO110" s="69">
        <v>0.54297858720000003</v>
      </c>
      <c r="BP110" s="69">
        <v>0.54332151679999996</v>
      </c>
      <c r="BQ110" s="69">
        <v>0.54366449090000002</v>
      </c>
      <c r="BR110" s="69">
        <v>0.54400751930000002</v>
      </c>
      <c r="BS110" s="69">
        <v>0.54435060960000003</v>
      </c>
      <c r="BT110" s="69">
        <v>0.54469376719999996</v>
      </c>
      <c r="BU110" s="69">
        <v>0.54503699549999995</v>
      </c>
      <c r="BV110" s="69">
        <v>0.54538029619999995</v>
      </c>
      <c r="BW110" s="69">
        <v>0.54572366930000005</v>
      </c>
      <c r="BX110" s="69">
        <v>0.54606711320000001</v>
      </c>
      <c r="BY110" s="69">
        <v>0.54641062490000003</v>
      </c>
      <c r="BZ110" s="69">
        <v>0.54675420019999998</v>
      </c>
      <c r="CA110" s="69">
        <v>0.54709783369999998</v>
      </c>
      <c r="CB110" s="69">
        <v>0.54744151880000003</v>
      </c>
      <c r="CC110" s="69">
        <v>0.54778524799999995</v>
      </c>
      <c r="CD110" s="69">
        <v>0.54812901280000004</v>
      </c>
      <c r="CE110" s="69">
        <v>0.54847280409999999</v>
      </c>
      <c r="CF110" s="69">
        <v>0.54881661179999996</v>
      </c>
      <c r="CG110" s="69">
        <v>0.54916042529999998</v>
      </c>
      <c r="CH110" s="69">
        <v>0.54950423319999997</v>
      </c>
      <c r="CI110" s="69">
        <v>0.54984802379999997</v>
      </c>
      <c r="CJ110" s="69">
        <v>0.55019178449999995</v>
      </c>
      <c r="CK110" s="69">
        <v>0.55053550279999997</v>
      </c>
      <c r="CL110" s="69">
        <v>0.55087916530000003</v>
      </c>
      <c r="CM110" s="69">
        <v>0.55122275840000001</v>
      </c>
      <c r="CN110" s="69">
        <v>0.5515662684</v>
      </c>
      <c r="CO110" s="69">
        <v>0.55190968100000004</v>
      </c>
      <c r="CP110" s="69">
        <v>0.55225298199999995</v>
      </c>
      <c r="CQ110" s="69">
        <v>0.55259615650000005</v>
      </c>
      <c r="CR110" s="69">
        <v>0.55293919000000002</v>
      </c>
      <c r="CS110" s="69">
        <v>0.55328206739999997</v>
      </c>
      <c r="CT110" s="69">
        <v>0.55362477369999996</v>
      </c>
      <c r="CU110" s="69">
        <v>0.55396729379999998</v>
      </c>
      <c r="CV110" s="69">
        <v>0.55430961239999998</v>
      </c>
      <c r="CW110" s="69">
        <v>0.55465171430000004</v>
      </c>
      <c r="CX110" s="69">
        <v>0.55499358409999999</v>
      </c>
      <c r="CY110" s="69">
        <v>0.55533520650000001</v>
      </c>
      <c r="CZ110" s="69">
        <v>0.55567656610000005</v>
      </c>
      <c r="DA110" s="69">
        <v>0.55601764779999996</v>
      </c>
      <c r="DB110" s="69">
        <v>0.55635843610000002</v>
      </c>
      <c r="DC110" s="69">
        <v>0.55669891589999998</v>
      </c>
      <c r="DD110" s="69">
        <v>0.55703907190000002</v>
      </c>
      <c r="DE110" s="69">
        <v>0.55737888899999999</v>
      </c>
      <c r="DF110" s="69">
        <v>0.5577183523</v>
      </c>
      <c r="DG110" s="69">
        <v>0.55805744660000001</v>
      </c>
      <c r="DH110" s="69">
        <v>0.55839615730000003</v>
      </c>
      <c r="DI110" s="69">
        <v>0.55873446940000004</v>
      </c>
      <c r="DJ110" s="69">
        <v>0.55907236849999997</v>
      </c>
      <c r="DK110" s="69">
        <v>0.55940983990000004</v>
      </c>
      <c r="DL110" s="69">
        <v>0.55974686920000005</v>
      </c>
      <c r="DM110" s="69">
        <v>0.56008344219999995</v>
      </c>
      <c r="DN110" s="69">
        <v>0.5604195448</v>
      </c>
      <c r="DO110" s="69">
        <v>0.56075516290000005</v>
      </c>
      <c r="DP110" s="69">
        <v>0.56109028279999995</v>
      </c>
      <c r="DQ110" s="69">
        <v>0.5614248906</v>
      </c>
      <c r="DR110" s="69">
        <v>0.56175897289999999</v>
      </c>
      <c r="DS110" s="69">
        <v>0.56209251630000001</v>
      </c>
      <c r="DT110" s="69">
        <v>0.56242550749999998</v>
      </c>
      <c r="DU110" s="69">
        <v>0.56275793350000003</v>
      </c>
      <c r="DV110" s="69">
        <v>0.56308978129999998</v>
      </c>
      <c r="DW110" s="69">
        <v>0.56342103830000001</v>
      </c>
      <c r="DX110" s="69">
        <v>0.56375169179999995</v>
      </c>
      <c r="DY110" s="69">
        <v>0.56408172950000002</v>
      </c>
      <c r="DZ110" s="69">
        <v>0.56441113919999997</v>
      </c>
      <c r="EA110" s="69">
        <v>0.56473990870000002</v>
      </c>
      <c r="EB110" s="69">
        <v>0.56506802619999996</v>
      </c>
      <c r="EC110" s="69">
        <v>0.56539547999999995</v>
      </c>
      <c r="ED110" s="69">
        <v>0.56572225850000002</v>
      </c>
      <c r="EE110" s="69">
        <v>0.56604835040000001</v>
      </c>
      <c r="EF110" s="69">
        <v>0.56637374460000001</v>
      </c>
      <c r="EG110" s="69">
        <v>0.56669842999999998</v>
      </c>
      <c r="EH110" s="69">
        <v>0.56702239580000002</v>
      </c>
      <c r="EI110" s="69">
        <v>0.56734563130000004</v>
      </c>
      <c r="EJ110" s="69">
        <v>0.56766812609999995</v>
      </c>
      <c r="EK110" s="69">
        <v>0.56798986979999999</v>
      </c>
      <c r="EL110" s="69">
        <v>0.56831085240000001</v>
      </c>
      <c r="EM110" s="69">
        <v>0.56863106399999996</v>
      </c>
      <c r="EN110" s="69">
        <v>0.56895049460000002</v>
      </c>
      <c r="EO110" s="69">
        <v>0.56926913479999997</v>
      </c>
      <c r="EP110" s="69">
        <v>0.56958697520000001</v>
      </c>
      <c r="EQ110" s="69">
        <v>0.56990400640000005</v>
      </c>
      <c r="ER110" s="69">
        <v>0.57022021950000001</v>
      </c>
      <c r="ES110" s="69">
        <v>0.57053560550000004</v>
      </c>
      <c r="ET110" s="69">
        <v>0.57085015569999997</v>
      </c>
      <c r="EU110" s="69">
        <v>0.57116386149999998</v>
      </c>
      <c r="EV110" s="69">
        <v>0.57147671460000005</v>
      </c>
      <c r="EW110" s="69">
        <v>0.57178870670000004</v>
      </c>
      <c r="EX110" s="69">
        <v>0.57209982979999996</v>
      </c>
      <c r="EY110" s="69">
        <v>0.57241007600000005</v>
      </c>
      <c r="EZ110" s="69">
        <v>0.5727194377</v>
      </c>
      <c r="FA110" s="69">
        <v>0.57302790719999996</v>
      </c>
      <c r="FB110" s="69">
        <v>0.57333547709999999</v>
      </c>
      <c r="FC110" s="69">
        <v>0.57364214030000005</v>
      </c>
      <c r="FD110" s="69">
        <v>0.57394788969999999</v>
      </c>
      <c r="FE110" s="69">
        <v>0.57425271840000003</v>
      </c>
      <c r="FF110" s="69">
        <v>0.57455661960000004</v>
      </c>
      <c r="FG110" s="69">
        <v>0.57485958670000004</v>
      </c>
      <c r="FH110" s="69">
        <v>0.57516161349999995</v>
      </c>
      <c r="FI110" s="69">
        <v>0.5754626934</v>
      </c>
      <c r="FJ110" s="69">
        <v>0.57576282050000005</v>
      </c>
      <c r="FK110" s="69">
        <v>0.57606198880000004</v>
      </c>
      <c r="FL110" s="69">
        <v>0.57636019250000003</v>
      </c>
      <c r="FM110" s="69">
        <v>0.57665742590000002</v>
      </c>
      <c r="FN110" s="69">
        <v>0.57695368349999998</v>
      </c>
      <c r="FO110" s="69">
        <v>0.57724895990000002</v>
      </c>
      <c r="FP110" s="69">
        <v>0.57754324990000006</v>
      </c>
      <c r="FQ110" s="69">
        <v>0.57783654839999998</v>
      </c>
    </row>
    <row r="111" spans="1:173" x14ac:dyDescent="0.25">
      <c r="A111" s="71">
        <v>109</v>
      </c>
      <c r="B111" s="69">
        <v>0.52455590949999997</v>
      </c>
      <c r="C111" s="69">
        <v>0.52563925919999999</v>
      </c>
      <c r="D111" s="69">
        <v>0.52666547269999997</v>
      </c>
      <c r="E111" s="69">
        <v>0.52763896639999996</v>
      </c>
      <c r="F111" s="69">
        <v>0.52856381119999996</v>
      </c>
      <c r="G111" s="69">
        <v>0.52944376010000005</v>
      </c>
      <c r="H111" s="69">
        <v>0.53028227429999997</v>
      </c>
      <c r="I111" s="69">
        <v>0.53108254629999996</v>
      </c>
      <c r="J111" s="69">
        <v>0.53184752140000002</v>
      </c>
      <c r="K111" s="69">
        <v>0.53257991780000002</v>
      </c>
      <c r="L111" s="69">
        <v>0.53328224410000002</v>
      </c>
      <c r="M111" s="69">
        <v>0.533956816</v>
      </c>
      <c r="N111" s="69">
        <v>0.53460577200000003</v>
      </c>
      <c r="O111" s="69">
        <v>0.53523108669999997</v>
      </c>
      <c r="P111" s="69">
        <v>0.53583458390000005</v>
      </c>
      <c r="Q111" s="69">
        <v>0.53641794809999999</v>
      </c>
      <c r="R111" s="69">
        <v>0.5369827358</v>
      </c>
      <c r="S111" s="69">
        <v>0.53753038480000004</v>
      </c>
      <c r="T111" s="69">
        <v>0.53806222370000001</v>
      </c>
      <c r="U111" s="69">
        <v>0.53857948010000001</v>
      </c>
      <c r="V111" s="69">
        <v>0.53908328859999999</v>
      </c>
      <c r="W111" s="69">
        <v>0.53957469719999995</v>
      </c>
      <c r="X111" s="69">
        <v>0.54005467490000003</v>
      </c>
      <c r="Y111" s="69">
        <v>0.54052411680000001</v>
      </c>
      <c r="Z111" s="69">
        <v>0.54098384990000004</v>
      </c>
      <c r="AA111" s="69">
        <v>0.54143463859999996</v>
      </c>
      <c r="AB111" s="69">
        <v>0.54187718900000004</v>
      </c>
      <c r="AC111" s="69">
        <v>0.54231215320000004</v>
      </c>
      <c r="AD111" s="69">
        <v>0.54274013379999997</v>
      </c>
      <c r="AE111" s="69">
        <v>0.543161687</v>
      </c>
      <c r="AF111" s="69">
        <v>0.54357732670000003</v>
      </c>
      <c r="AG111" s="69">
        <v>0.54398752689999996</v>
      </c>
      <c r="AH111" s="69">
        <v>0.54439272540000005</v>
      </c>
      <c r="AI111" s="69">
        <v>0.54479332579999995</v>
      </c>
      <c r="AJ111" s="69">
        <v>0.54518970069999995</v>
      </c>
      <c r="AK111" s="69">
        <v>0.54558219330000002</v>
      </c>
      <c r="AL111" s="69">
        <v>0.54597112020000005</v>
      </c>
      <c r="AM111" s="69">
        <v>0.54635677289999995</v>
      </c>
      <c r="AN111" s="69">
        <v>0.54673941969999995</v>
      </c>
      <c r="AO111" s="69">
        <v>0.54711930779999995</v>
      </c>
      <c r="AP111" s="69">
        <v>0.5474966644</v>
      </c>
      <c r="AQ111" s="69">
        <v>0.54787169830000004</v>
      </c>
      <c r="AR111" s="69">
        <v>0.54824460139999998</v>
      </c>
      <c r="AS111" s="69">
        <v>0.54861554990000005</v>
      </c>
      <c r="AT111" s="69">
        <v>0.54898470509999997</v>
      </c>
      <c r="AU111" s="69">
        <v>0.54935221509999999</v>
      </c>
      <c r="AV111" s="69">
        <v>0.54971821519999997</v>
      </c>
      <c r="AW111" s="69">
        <v>0.55008282929999996</v>
      </c>
      <c r="AX111" s="69">
        <v>0.55044617039999999</v>
      </c>
      <c r="AY111" s="69">
        <v>0.55080834150000002</v>
      </c>
      <c r="AZ111" s="69">
        <v>0.55116943659999995</v>
      </c>
      <c r="BA111" s="69">
        <v>0.55152954089999995</v>
      </c>
      <c r="BB111" s="69">
        <v>0.55188873169999997</v>
      </c>
      <c r="BC111" s="69">
        <v>0.55224707930000005</v>
      </c>
      <c r="BD111" s="69">
        <v>0.55260464669999998</v>
      </c>
      <c r="BE111" s="69">
        <v>0.55296149100000003</v>
      </c>
      <c r="BF111" s="69">
        <v>0.55331766339999999</v>
      </c>
      <c r="BG111" s="69">
        <v>0.55367320980000001</v>
      </c>
      <c r="BH111" s="69">
        <v>0.5540281708</v>
      </c>
      <c r="BI111" s="69">
        <v>0.55438258289999998</v>
      </c>
      <c r="BJ111" s="69">
        <v>0.55473647790000002</v>
      </c>
      <c r="BK111" s="69">
        <v>0.55508988390000003</v>
      </c>
      <c r="BL111" s="69">
        <v>0.55544282550000001</v>
      </c>
      <c r="BM111" s="69">
        <v>0.55579532359999995</v>
      </c>
      <c r="BN111" s="69">
        <v>0.55614739639999999</v>
      </c>
      <c r="BO111" s="69">
        <v>0.55649905889999995</v>
      </c>
      <c r="BP111" s="69">
        <v>0.55685032369999998</v>
      </c>
      <c r="BQ111" s="69">
        <v>0.55720120100000003</v>
      </c>
      <c r="BR111" s="69">
        <v>0.55755169859999998</v>
      </c>
      <c r="BS111" s="69">
        <v>0.55790182239999997</v>
      </c>
      <c r="BT111" s="69">
        <v>0.5582515763</v>
      </c>
      <c r="BU111" s="69">
        <v>0.55860096260000003</v>
      </c>
      <c r="BV111" s="69">
        <v>0.5589499819</v>
      </c>
      <c r="BW111" s="69">
        <v>0.55929863339999997</v>
      </c>
      <c r="BX111" s="69">
        <v>0.55964691499999997</v>
      </c>
      <c r="BY111" s="69">
        <v>0.55999482320000005</v>
      </c>
      <c r="BZ111" s="69">
        <v>0.56034235369999996</v>
      </c>
      <c r="CA111" s="69">
        <v>0.56068950100000003</v>
      </c>
      <c r="CB111" s="69">
        <v>0.56103625850000005</v>
      </c>
      <c r="CC111" s="69">
        <v>0.56138261919999999</v>
      </c>
      <c r="CD111" s="69">
        <v>0.56172857490000005</v>
      </c>
      <c r="CE111" s="69">
        <v>0.56207411699999998</v>
      </c>
      <c r="CF111" s="69">
        <v>0.56241923620000001</v>
      </c>
      <c r="CG111" s="69">
        <v>0.56276392259999997</v>
      </c>
      <c r="CH111" s="69">
        <v>0.5631081658</v>
      </c>
      <c r="CI111" s="69">
        <v>0.56345195510000001</v>
      </c>
      <c r="CJ111" s="69">
        <v>0.56379527910000005</v>
      </c>
      <c r="CK111" s="69">
        <v>0.56413812640000005</v>
      </c>
      <c r="CL111" s="69">
        <v>0.56448048510000004</v>
      </c>
      <c r="CM111" s="69">
        <v>0.56482234310000001</v>
      </c>
      <c r="CN111" s="69">
        <v>0.56516368809999995</v>
      </c>
      <c r="CO111" s="69">
        <v>0.56550450740000002</v>
      </c>
      <c r="CP111" s="69">
        <v>0.56584478839999997</v>
      </c>
      <c r="CQ111" s="69">
        <v>0.56618451820000004</v>
      </c>
      <c r="CR111" s="69">
        <v>0.56652368399999997</v>
      </c>
      <c r="CS111" s="69">
        <v>0.56686227259999999</v>
      </c>
      <c r="CT111" s="69">
        <v>0.56720027100000003</v>
      </c>
      <c r="CU111" s="69">
        <v>0.5675376661</v>
      </c>
      <c r="CV111" s="69">
        <v>0.56787444480000004</v>
      </c>
      <c r="CW111" s="69">
        <v>0.56821059389999995</v>
      </c>
      <c r="CX111" s="69">
        <v>0.56854610029999997</v>
      </c>
      <c r="CY111" s="69">
        <v>0.56888095100000002</v>
      </c>
      <c r="CZ111" s="69">
        <v>0.56921513290000003</v>
      </c>
      <c r="DA111" s="69">
        <v>0.56954863310000003</v>
      </c>
      <c r="DB111" s="69">
        <v>0.56988143869999996</v>
      </c>
      <c r="DC111" s="69">
        <v>0.57021353689999998</v>
      </c>
      <c r="DD111" s="69">
        <v>0.57054491510000005</v>
      </c>
      <c r="DE111" s="69">
        <v>0.57087556049999999</v>
      </c>
      <c r="DF111" s="69">
        <v>0.57120546080000001</v>
      </c>
      <c r="DG111" s="69">
        <v>0.57153460369999998</v>
      </c>
      <c r="DH111" s="69">
        <v>0.57186297679999998</v>
      </c>
      <c r="DI111" s="69">
        <v>0.57219056810000002</v>
      </c>
      <c r="DJ111" s="69">
        <v>0.5725173657</v>
      </c>
      <c r="DK111" s="69">
        <v>0.57284335770000006</v>
      </c>
      <c r="DL111" s="69">
        <v>0.5731685326</v>
      </c>
      <c r="DM111" s="69">
        <v>0.5734928789</v>
      </c>
      <c r="DN111" s="69">
        <v>0.57381638530000001</v>
      </c>
      <c r="DO111" s="69">
        <v>0.57413904059999998</v>
      </c>
      <c r="DP111" s="69">
        <v>0.57446083380000001</v>
      </c>
      <c r="DQ111" s="69">
        <v>0.57478175409999999</v>
      </c>
      <c r="DR111" s="69">
        <v>0.57510179100000003</v>
      </c>
      <c r="DS111" s="69">
        <v>0.57542093390000004</v>
      </c>
      <c r="DT111" s="69">
        <v>0.57573917259999996</v>
      </c>
      <c r="DU111" s="69">
        <v>0.57605649699999995</v>
      </c>
      <c r="DV111" s="69">
        <v>0.57637289709999995</v>
      </c>
      <c r="DW111" s="69">
        <v>0.57668836329999995</v>
      </c>
      <c r="DX111" s="69">
        <v>0.57700288609999995</v>
      </c>
      <c r="DY111" s="69">
        <v>0.57731645600000003</v>
      </c>
      <c r="DZ111" s="69">
        <v>0.57762906380000001</v>
      </c>
      <c r="EA111" s="69">
        <v>0.57794070070000003</v>
      </c>
      <c r="EB111" s="69">
        <v>0.57825135780000003</v>
      </c>
      <c r="EC111" s="69">
        <v>0.57856102649999996</v>
      </c>
      <c r="ED111" s="69">
        <v>0.57886969830000001</v>
      </c>
      <c r="EE111" s="69">
        <v>0.57917736509999995</v>
      </c>
      <c r="EF111" s="69">
        <v>0.57948401869999999</v>
      </c>
      <c r="EG111" s="69">
        <v>0.57978965140000005</v>
      </c>
      <c r="EH111" s="69">
        <v>0.58009425530000003</v>
      </c>
      <c r="EI111" s="69">
        <v>0.5803978232</v>
      </c>
      <c r="EJ111" s="69">
        <v>0.58070034749999999</v>
      </c>
      <c r="EK111" s="69">
        <v>0.58100182119999999</v>
      </c>
      <c r="EL111" s="69">
        <v>0.58130223729999997</v>
      </c>
      <c r="EM111" s="69">
        <v>0.58160158910000004</v>
      </c>
      <c r="EN111" s="69">
        <v>0.58189986999999999</v>
      </c>
      <c r="EO111" s="69">
        <v>0.58219707359999995</v>
      </c>
      <c r="EP111" s="69">
        <v>0.58249319349999995</v>
      </c>
      <c r="EQ111" s="69">
        <v>0.58278822389999996</v>
      </c>
      <c r="ER111" s="69">
        <v>0.58308215880000003</v>
      </c>
      <c r="ES111" s="69">
        <v>0.58337499250000002</v>
      </c>
      <c r="ET111" s="69">
        <v>0.58366671940000003</v>
      </c>
      <c r="EU111" s="69">
        <v>0.58395733419999996</v>
      </c>
      <c r="EV111" s="69">
        <v>0.58424683180000003</v>
      </c>
      <c r="EW111" s="69">
        <v>0.58453520699999995</v>
      </c>
      <c r="EX111" s="69">
        <v>0.58482245509999997</v>
      </c>
      <c r="EY111" s="69">
        <v>0.58510857130000005</v>
      </c>
      <c r="EZ111" s="69">
        <v>0.58539355110000002</v>
      </c>
      <c r="FA111" s="69">
        <v>0.58567739009999997</v>
      </c>
      <c r="FB111" s="69">
        <v>0.58596008420000001</v>
      </c>
      <c r="FC111" s="69">
        <v>0.58624162930000001</v>
      </c>
      <c r="FD111" s="69">
        <v>0.58652202149999999</v>
      </c>
      <c r="FE111" s="69">
        <v>0.58680125709999997</v>
      </c>
      <c r="FF111" s="69">
        <v>0.5870793325</v>
      </c>
      <c r="FG111" s="69">
        <v>0.58735624419999999</v>
      </c>
      <c r="FH111" s="69">
        <v>0.58763198910000003</v>
      </c>
      <c r="FI111" s="69">
        <v>0.58790656389999996</v>
      </c>
      <c r="FJ111" s="69">
        <v>0.58817996569999997</v>
      </c>
      <c r="FK111" s="69">
        <v>0.58845219169999996</v>
      </c>
      <c r="FL111" s="69">
        <v>0.58872323920000003</v>
      </c>
      <c r="FM111" s="69">
        <v>0.58899310549999995</v>
      </c>
      <c r="FN111" s="69">
        <v>0.58926178839999999</v>
      </c>
      <c r="FO111" s="69">
        <v>0.58952928559999995</v>
      </c>
      <c r="FP111" s="69">
        <v>0.5897955949</v>
      </c>
      <c r="FQ111" s="69">
        <v>0.59006071429999996</v>
      </c>
    </row>
    <row r="112" spans="1:173" x14ac:dyDescent="0.25">
      <c r="A112" s="71">
        <v>110</v>
      </c>
      <c r="B112" s="69">
        <v>0.53622424530000001</v>
      </c>
      <c r="C112" s="69">
        <v>0.5372796124</v>
      </c>
      <c r="D112" s="69">
        <v>0.5382809731</v>
      </c>
      <c r="E112" s="69">
        <v>0.53923252889999995</v>
      </c>
      <c r="F112" s="69">
        <v>0.54013814680000005</v>
      </c>
      <c r="G112" s="69">
        <v>0.54100138649999996</v>
      </c>
      <c r="H112" s="69">
        <v>0.54182552620000002</v>
      </c>
      <c r="I112" s="69">
        <v>0.54261358540000004</v>
      </c>
      <c r="J112" s="69">
        <v>0.54336834599999995</v>
      </c>
      <c r="K112" s="69">
        <v>0.54409237190000004</v>
      </c>
      <c r="L112" s="69">
        <v>0.54478802650000002</v>
      </c>
      <c r="M112" s="69">
        <v>0.54545748869999999</v>
      </c>
      <c r="N112" s="69">
        <v>0.54610276810000002</v>
      </c>
      <c r="O112" s="69">
        <v>0.54672571800000003</v>
      </c>
      <c r="P112" s="69">
        <v>0.54732804820000003</v>
      </c>
      <c r="Q112" s="69">
        <v>0.54791133619999999</v>
      </c>
      <c r="R112" s="69">
        <v>0.54847703790000002</v>
      </c>
      <c r="S112" s="69">
        <v>0.54902649650000002</v>
      </c>
      <c r="T112" s="69">
        <v>0.5495609521</v>
      </c>
      <c r="U112" s="69">
        <v>0.55008154909999996</v>
      </c>
      <c r="V112" s="69">
        <v>0.55058934380000002</v>
      </c>
      <c r="W112" s="69">
        <v>0.55108531159999996</v>
      </c>
      <c r="X112" s="69">
        <v>0.55157035249999997</v>
      </c>
      <c r="Y112" s="69">
        <v>0.55204529739999997</v>
      </c>
      <c r="Z112" s="69">
        <v>0.55251091340000003</v>
      </c>
      <c r="AA112" s="69">
        <v>0.55296790839999999</v>
      </c>
      <c r="AB112" s="69">
        <v>0.55341693560000005</v>
      </c>
      <c r="AC112" s="69">
        <v>0.55385859820000005</v>
      </c>
      <c r="AD112" s="69">
        <v>0.55429345220000004</v>
      </c>
      <c r="AE112" s="69">
        <v>0.55472201089999995</v>
      </c>
      <c r="AF112" s="69">
        <v>0.55514474759999999</v>
      </c>
      <c r="AG112" s="69">
        <v>0.55556209889999997</v>
      </c>
      <c r="AH112" s="69">
        <v>0.55597446709999998</v>
      </c>
      <c r="AI112" s="69">
        <v>0.55638222309999996</v>
      </c>
      <c r="AJ112" s="69">
        <v>0.55678570849999998</v>
      </c>
      <c r="AK112" s="69">
        <v>0.55718523809999998</v>
      </c>
      <c r="AL112" s="69">
        <v>0.55758110169999997</v>
      </c>
      <c r="AM112" s="69">
        <v>0.55797356580000002</v>
      </c>
      <c r="AN112" s="69">
        <v>0.55836287569999998</v>
      </c>
      <c r="AO112" s="69">
        <v>0.55874925679999998</v>
      </c>
      <c r="AP112" s="69">
        <v>0.55913291629999995</v>
      </c>
      <c r="AQ112" s="69">
        <v>0.55951404429999996</v>
      </c>
      <c r="AR112" s="69">
        <v>0.55989281530000001</v>
      </c>
      <c r="AS112" s="69">
        <v>0.56026938930000003</v>
      </c>
      <c r="AT112" s="69">
        <v>0.56064391280000003</v>
      </c>
      <c r="AU112" s="69">
        <v>0.56101651990000001</v>
      </c>
      <c r="AV112" s="69">
        <v>0.5613873332</v>
      </c>
      <c r="AW112" s="69">
        <v>0.56175646469999996</v>
      </c>
      <c r="AX112" s="69">
        <v>0.56212401649999999</v>
      </c>
      <c r="AY112" s="69">
        <v>0.56249008150000002</v>
      </c>
      <c r="AZ112" s="69">
        <v>0.56285474420000003</v>
      </c>
      <c r="BA112" s="69">
        <v>0.56321808159999998</v>
      </c>
      <c r="BB112" s="69">
        <v>0.56358016310000003</v>
      </c>
      <c r="BC112" s="69">
        <v>0.56394105159999997</v>
      </c>
      <c r="BD112" s="69">
        <v>0.56430080380000003</v>
      </c>
      <c r="BE112" s="69">
        <v>0.56465947090000002</v>
      </c>
      <c r="BF112" s="69">
        <v>0.56501709860000005</v>
      </c>
      <c r="BG112" s="69">
        <v>0.56537372789999996</v>
      </c>
      <c r="BH112" s="69">
        <v>0.56572939529999999</v>
      </c>
      <c r="BI112" s="69">
        <v>0.56608413300000004</v>
      </c>
      <c r="BJ112" s="69">
        <v>0.56643796960000004</v>
      </c>
      <c r="BK112" s="69">
        <v>0.56679093020000004</v>
      </c>
      <c r="BL112" s="69">
        <v>0.56714303639999997</v>
      </c>
      <c r="BM112" s="69">
        <v>0.56749430700000003</v>
      </c>
      <c r="BN112" s="69">
        <v>0.56784475820000002</v>
      </c>
      <c r="BO112" s="69">
        <v>0.56819440330000004</v>
      </c>
      <c r="BP112" s="69">
        <v>0.56854325370000003</v>
      </c>
      <c r="BQ112" s="69">
        <v>0.56889131820000005</v>
      </c>
      <c r="BR112" s="69">
        <v>0.56923860410000005</v>
      </c>
      <c r="BS112" s="69">
        <v>0.5695851166</v>
      </c>
      <c r="BT112" s="69">
        <v>0.56993085939999999</v>
      </c>
      <c r="BU112" s="69">
        <v>0.57027583459999998</v>
      </c>
      <c r="BV112" s="69">
        <v>0.57062004300000002</v>
      </c>
      <c r="BW112" s="69">
        <v>0.57096348409999997</v>
      </c>
      <c r="BX112" s="69">
        <v>0.57130615620000003</v>
      </c>
      <c r="BY112" s="69">
        <v>0.57164805679999997</v>
      </c>
      <c r="BZ112" s="69">
        <v>0.57198918210000005</v>
      </c>
      <c r="CA112" s="69">
        <v>0.57232952780000002</v>
      </c>
      <c r="CB112" s="69">
        <v>0.57266908849999998</v>
      </c>
      <c r="CC112" s="69">
        <v>0.57300785840000001</v>
      </c>
      <c r="CD112" s="69">
        <v>0.57334583080000001</v>
      </c>
      <c r="CE112" s="69">
        <v>0.57368299869999995</v>
      </c>
      <c r="CF112" s="69">
        <v>0.57401935439999996</v>
      </c>
      <c r="CG112" s="69">
        <v>0.57435488980000005</v>
      </c>
      <c r="CH112" s="69">
        <v>0.57468959649999996</v>
      </c>
      <c r="CI112" s="69">
        <v>0.57502346559999995</v>
      </c>
      <c r="CJ112" s="69">
        <v>0.57535648809999995</v>
      </c>
      <c r="CK112" s="69">
        <v>0.57568865459999996</v>
      </c>
      <c r="CL112" s="69">
        <v>0.57601995549999996</v>
      </c>
      <c r="CM112" s="69">
        <v>0.57635038100000002</v>
      </c>
      <c r="CN112" s="69">
        <v>0.5766799212</v>
      </c>
      <c r="CO112" s="69">
        <v>0.57700856609999995</v>
      </c>
      <c r="CP112" s="69">
        <v>0.57733630550000004</v>
      </c>
      <c r="CQ112" s="69">
        <v>0.57766312919999996</v>
      </c>
      <c r="CR112" s="69">
        <v>0.57798902699999999</v>
      </c>
      <c r="CS112" s="69">
        <v>0.57831398850000004</v>
      </c>
      <c r="CT112" s="69">
        <v>0.57863800359999995</v>
      </c>
      <c r="CU112" s="69">
        <v>0.57896106179999995</v>
      </c>
      <c r="CV112" s="69">
        <v>0.5792831531</v>
      </c>
      <c r="CW112" s="69">
        <v>0.57960426720000002</v>
      </c>
      <c r="CX112" s="69">
        <v>0.57992439399999995</v>
      </c>
      <c r="CY112" s="69">
        <v>0.58024352339999996</v>
      </c>
      <c r="CZ112" s="69">
        <v>0.5805616455</v>
      </c>
      <c r="DA112" s="69">
        <v>0.58087875040000003</v>
      </c>
      <c r="DB112" s="69">
        <v>0.58119482840000003</v>
      </c>
      <c r="DC112" s="69">
        <v>0.58150986979999997</v>
      </c>
      <c r="DD112" s="69">
        <v>0.58182386519999996</v>
      </c>
      <c r="DE112" s="69">
        <v>0.58213680509999999</v>
      </c>
      <c r="DF112" s="69">
        <v>0.58244868039999997</v>
      </c>
      <c r="DG112" s="69">
        <v>0.58275948190000004</v>
      </c>
      <c r="DH112" s="69">
        <v>0.58306920070000001</v>
      </c>
      <c r="DI112" s="69">
        <v>0.58337782800000004</v>
      </c>
      <c r="DJ112" s="69">
        <v>0.58368535529999999</v>
      </c>
      <c r="DK112" s="69">
        <v>0.58399177400000002</v>
      </c>
      <c r="DL112" s="69">
        <v>0.58429707600000003</v>
      </c>
      <c r="DM112" s="69">
        <v>0.58460125299999999</v>
      </c>
      <c r="DN112" s="69">
        <v>0.58490429720000003</v>
      </c>
      <c r="DO112" s="69">
        <v>0.58520620089999997</v>
      </c>
      <c r="DP112" s="69">
        <v>0.58550695639999994</v>
      </c>
      <c r="DQ112" s="69">
        <v>0.58580655640000001</v>
      </c>
      <c r="DR112" s="69">
        <v>0.58610499370000002</v>
      </c>
      <c r="DS112" s="69">
        <v>0.58640226120000005</v>
      </c>
      <c r="DT112" s="69">
        <v>0.5866983522</v>
      </c>
      <c r="DU112" s="69">
        <v>0.58699325989999995</v>
      </c>
      <c r="DV112" s="69">
        <v>0.58728697799999996</v>
      </c>
      <c r="DW112" s="69">
        <v>0.58757950010000004</v>
      </c>
      <c r="DX112" s="69">
        <v>0.58787082020000003</v>
      </c>
      <c r="DY112" s="69">
        <v>0.58816093250000001</v>
      </c>
      <c r="DZ112" s="69">
        <v>0.58844983100000003</v>
      </c>
      <c r="EA112" s="69">
        <v>0.58873751050000001</v>
      </c>
      <c r="EB112" s="69">
        <v>0.58902396540000002</v>
      </c>
      <c r="EC112" s="69">
        <v>0.58930919069999999</v>
      </c>
      <c r="ED112" s="69">
        <v>0.58959318149999995</v>
      </c>
      <c r="EE112" s="69">
        <v>0.58987593279999995</v>
      </c>
      <c r="EF112" s="69">
        <v>0.59015744020000005</v>
      </c>
      <c r="EG112" s="69">
        <v>0.59043769909999999</v>
      </c>
      <c r="EH112" s="69">
        <v>0.59071670549999999</v>
      </c>
      <c r="EI112" s="69">
        <v>0.59099445510000004</v>
      </c>
      <c r="EJ112" s="69">
        <v>0.59127094410000003</v>
      </c>
      <c r="EK112" s="69">
        <v>0.5915461689</v>
      </c>
      <c r="EL112" s="69">
        <v>0.59182012589999999</v>
      </c>
      <c r="EM112" s="69">
        <v>0.59209281160000005</v>
      </c>
      <c r="EN112" s="69">
        <v>0.59236422310000003</v>
      </c>
      <c r="EO112" s="69">
        <v>0.59263435710000001</v>
      </c>
      <c r="EP112" s="69">
        <v>0.59290321089999998</v>
      </c>
      <c r="EQ112" s="69">
        <v>0.59317078190000005</v>
      </c>
      <c r="ER112" s="69">
        <v>0.59343706740000002</v>
      </c>
      <c r="ES112" s="69">
        <v>0.59370206510000001</v>
      </c>
      <c r="ET112" s="69">
        <v>0.59396577279999996</v>
      </c>
      <c r="EU112" s="69">
        <v>0.59422818860000004</v>
      </c>
      <c r="EV112" s="69">
        <v>0.59448931049999998</v>
      </c>
      <c r="EW112" s="69">
        <v>0.59474913679999997</v>
      </c>
      <c r="EX112" s="69">
        <v>0.59500766589999998</v>
      </c>
      <c r="EY112" s="69">
        <v>0.59526489640000002</v>
      </c>
      <c r="EZ112" s="69">
        <v>0.59552082709999998</v>
      </c>
      <c r="FA112" s="69">
        <v>0.59577545679999999</v>
      </c>
      <c r="FB112" s="69">
        <v>0.59602878459999997</v>
      </c>
      <c r="FC112" s="69">
        <v>0.59628080969999997</v>
      </c>
      <c r="FD112" s="69">
        <v>0.59653153130000003</v>
      </c>
      <c r="FE112" s="69">
        <v>0.5967809489</v>
      </c>
      <c r="FF112" s="69">
        <v>0.59702906200000005</v>
      </c>
      <c r="FG112" s="69">
        <v>0.59727587059999998</v>
      </c>
      <c r="FH112" s="69">
        <v>0.59752137429999996</v>
      </c>
      <c r="FI112" s="69">
        <v>0.5977655731</v>
      </c>
      <c r="FJ112" s="69">
        <v>0.59800846730000001</v>
      </c>
      <c r="FK112" s="69">
        <v>0.598250057</v>
      </c>
      <c r="FL112" s="69">
        <v>0.59849034270000001</v>
      </c>
      <c r="FM112" s="69">
        <v>0.59872932479999996</v>
      </c>
      <c r="FN112" s="69">
        <v>0.59896700400000003</v>
      </c>
      <c r="FO112" s="69">
        <v>0.59920338090000003</v>
      </c>
      <c r="FP112" s="69">
        <v>0.59943845650000005</v>
      </c>
      <c r="FQ112" s="69">
        <v>0.59967223169999995</v>
      </c>
    </row>
    <row r="113" spans="1:173" x14ac:dyDescent="0.25">
      <c r="A113" s="71">
        <v>111</v>
      </c>
      <c r="B113" s="69">
        <v>0.54682196890000001</v>
      </c>
      <c r="C113" s="69">
        <v>0.54784076550000005</v>
      </c>
      <c r="D113" s="69">
        <v>0.5488086861</v>
      </c>
      <c r="E113" s="69">
        <v>0.54972970970000001</v>
      </c>
      <c r="F113" s="69">
        <v>0.5506074929</v>
      </c>
      <c r="G113" s="69">
        <v>0.55144539699999995</v>
      </c>
      <c r="H113" s="69">
        <v>0.55224651309999995</v>
      </c>
      <c r="I113" s="69">
        <v>0.5530136846</v>
      </c>
      <c r="J113" s="69">
        <v>0.55374952789999998</v>
      </c>
      <c r="K113" s="69">
        <v>0.55445645109999997</v>
      </c>
      <c r="L113" s="69">
        <v>0.55513667119999999</v>
      </c>
      <c r="M113" s="69">
        <v>0.55579222979999998</v>
      </c>
      <c r="N113" s="69">
        <v>0.55642500750000001</v>
      </c>
      <c r="O113" s="69">
        <v>0.55703673669999998</v>
      </c>
      <c r="P113" s="69">
        <v>0.55762901399999998</v>
      </c>
      <c r="Q113" s="69">
        <v>0.55820331059999995</v>
      </c>
      <c r="R113" s="69">
        <v>0.55876098279999997</v>
      </c>
      <c r="S113" s="69">
        <v>0.55930328080000002</v>
      </c>
      <c r="T113" s="69">
        <v>0.5598313573</v>
      </c>
      <c r="U113" s="69">
        <v>0.56034627520000002</v>
      </c>
      <c r="V113" s="69">
        <v>0.56084901450000002</v>
      </c>
      <c r="W113" s="69">
        <v>0.56134047909999996</v>
      </c>
      <c r="X113" s="69">
        <v>0.56182150239999995</v>
      </c>
      <c r="Y113" s="69">
        <v>0.56229285299999998</v>
      </c>
      <c r="Z113" s="69">
        <v>0.56275523959999996</v>
      </c>
      <c r="AA113" s="69">
        <v>0.56320931569999999</v>
      </c>
      <c r="AB113" s="69">
        <v>0.56365568389999998</v>
      </c>
      <c r="AC113" s="69">
        <v>0.56409489970000004</v>
      </c>
      <c r="AD113" s="69">
        <v>0.56452747530000003</v>
      </c>
      <c r="AE113" s="69">
        <v>0.5649538825</v>
      </c>
      <c r="AF113" s="69">
        <v>0.56537455640000001</v>
      </c>
      <c r="AG113" s="69">
        <v>0.56578989759999998</v>
      </c>
      <c r="AH113" s="69">
        <v>0.56620027520000005</v>
      </c>
      <c r="AI113" s="69">
        <v>0.56660602920000003</v>
      </c>
      <c r="AJ113" s="69">
        <v>0.56700747220000003</v>
      </c>
      <c r="AK113" s="69">
        <v>0.56740489230000002</v>
      </c>
      <c r="AL113" s="69">
        <v>0.56779855430000004</v>
      </c>
      <c r="AM113" s="69">
        <v>0.56818870180000003</v>
      </c>
      <c r="AN113" s="69">
        <v>0.56857555839999996</v>
      </c>
      <c r="AO113" s="69">
        <v>0.56895932989999998</v>
      </c>
      <c r="AP113" s="69">
        <v>0.56934020490000004</v>
      </c>
      <c r="AQ113" s="69">
        <v>0.56971835660000003</v>
      </c>
      <c r="AR113" s="69">
        <v>0.57009394390000001</v>
      </c>
      <c r="AS113" s="69">
        <v>0.57046711220000001</v>
      </c>
      <c r="AT113" s="69">
        <v>0.57083799469999996</v>
      </c>
      <c r="AU113" s="69">
        <v>0.57120671320000005</v>
      </c>
      <c r="AV113" s="69">
        <v>0.57157337909999995</v>
      </c>
      <c r="AW113" s="69">
        <v>0.57193809390000006</v>
      </c>
      <c r="AX113" s="69">
        <v>0.57230095030000006</v>
      </c>
      <c r="AY113" s="69">
        <v>0.57266203260000004</v>
      </c>
      <c r="AZ113" s="69">
        <v>0.57302141770000004</v>
      </c>
      <c r="BA113" s="69">
        <v>0.57337917510000003</v>
      </c>
      <c r="BB113" s="69">
        <v>0.57373536790000002</v>
      </c>
      <c r="BC113" s="69">
        <v>0.57409005329999996</v>
      </c>
      <c r="BD113" s="69">
        <v>0.57444328280000001</v>
      </c>
      <c r="BE113" s="69">
        <v>0.57479510280000001</v>
      </c>
      <c r="BF113" s="69">
        <v>0.57514555519999999</v>
      </c>
      <c r="BG113" s="69">
        <v>0.57549467710000002</v>
      </c>
      <c r="BH113" s="69">
        <v>0.57584250189999997</v>
      </c>
      <c r="BI113" s="69">
        <v>0.57618905929999997</v>
      </c>
      <c r="BJ113" s="69">
        <v>0.57653437559999998</v>
      </c>
      <c r="BK113" s="69">
        <v>0.57687847370000001</v>
      </c>
      <c r="BL113" s="69">
        <v>0.57722137409999996</v>
      </c>
      <c r="BM113" s="69">
        <v>0.57756309409999995</v>
      </c>
      <c r="BN113" s="69">
        <v>0.57790364910000003</v>
      </c>
      <c r="BO113" s="69">
        <v>0.57824305180000002</v>
      </c>
      <c r="BP113" s="69">
        <v>0.57858131329999996</v>
      </c>
      <c r="BQ113" s="69">
        <v>0.57891844260000003</v>
      </c>
      <c r="BR113" s="69">
        <v>0.57925444680000004</v>
      </c>
      <c r="BS113" s="69">
        <v>0.57958933189999995</v>
      </c>
      <c r="BT113" s="69">
        <v>0.57992310209999998</v>
      </c>
      <c r="BU113" s="69">
        <v>0.58025576030000003</v>
      </c>
      <c r="BV113" s="69">
        <v>0.58058730859999996</v>
      </c>
      <c r="BW113" s="69">
        <v>0.58091774750000003</v>
      </c>
      <c r="BX113" s="69">
        <v>0.581247077</v>
      </c>
      <c r="BY113" s="69">
        <v>0.5815752958</v>
      </c>
      <c r="BZ113" s="69">
        <v>0.5819024022</v>
      </c>
      <c r="CA113" s="69">
        <v>0.5822283935</v>
      </c>
      <c r="CB113" s="69">
        <v>0.58255326640000005</v>
      </c>
      <c r="CC113" s="69">
        <v>0.58287701709999995</v>
      </c>
      <c r="CD113" s="69">
        <v>0.58319964140000002</v>
      </c>
      <c r="CE113" s="69">
        <v>0.58352113429999997</v>
      </c>
      <c r="CF113" s="69">
        <v>0.58384149080000003</v>
      </c>
      <c r="CG113" s="69">
        <v>0.58416070529999997</v>
      </c>
      <c r="CH113" s="69">
        <v>0.58447877189999997</v>
      </c>
      <c r="CI113" s="69">
        <v>0.58479568449999997</v>
      </c>
      <c r="CJ113" s="69">
        <v>0.5851114369</v>
      </c>
      <c r="CK113" s="69">
        <v>0.58542602249999998</v>
      </c>
      <c r="CL113" s="69">
        <v>0.5857394346</v>
      </c>
      <c r="CM113" s="69">
        <v>0.58605166659999997</v>
      </c>
      <c r="CN113" s="69">
        <v>0.58636271139999996</v>
      </c>
      <c r="CO113" s="69">
        <v>0.58667256219999997</v>
      </c>
      <c r="CP113" s="69">
        <v>0.58698121189999997</v>
      </c>
      <c r="CQ113" s="69">
        <v>0.58728865370000005</v>
      </c>
      <c r="CR113" s="69">
        <v>0.58759488029999996</v>
      </c>
      <c r="CS113" s="69">
        <v>0.58789988500000001</v>
      </c>
      <c r="CT113" s="69">
        <v>0.58820366059999996</v>
      </c>
      <c r="CU113" s="69">
        <v>0.58850620040000001</v>
      </c>
      <c r="CV113" s="69">
        <v>0.58880749740000005</v>
      </c>
      <c r="CW113" s="69">
        <v>0.58910754489999995</v>
      </c>
      <c r="CX113" s="69">
        <v>0.58940633620000005</v>
      </c>
      <c r="CY113" s="69">
        <v>0.58970386470000002</v>
      </c>
      <c r="CZ113" s="69">
        <v>0.59000012410000002</v>
      </c>
      <c r="DA113" s="69">
        <v>0.59029510780000005</v>
      </c>
      <c r="DB113" s="69">
        <v>0.59058880979999995</v>
      </c>
      <c r="DC113" s="69">
        <v>0.59088122379999997</v>
      </c>
      <c r="DD113" s="69">
        <v>0.59117234399999996</v>
      </c>
      <c r="DE113" s="69">
        <v>0.59146216460000001</v>
      </c>
      <c r="DF113" s="69">
        <v>0.59175067989999997</v>
      </c>
      <c r="DG113" s="69">
        <v>0.59203788440000005</v>
      </c>
      <c r="DH113" s="69">
        <v>0.59232377280000004</v>
      </c>
      <c r="DI113" s="69">
        <v>0.59260833989999995</v>
      </c>
      <c r="DJ113" s="69">
        <v>0.59289158070000003</v>
      </c>
      <c r="DK113" s="69">
        <v>0.59317349029999999</v>
      </c>
      <c r="DL113" s="69">
        <v>0.59345406420000002</v>
      </c>
      <c r="DM113" s="69">
        <v>0.59373329779999995</v>
      </c>
      <c r="DN113" s="69">
        <v>0.59401118679999998</v>
      </c>
      <c r="DO113" s="69">
        <v>0.5942877271</v>
      </c>
      <c r="DP113" s="69">
        <v>0.59456291459999999</v>
      </c>
      <c r="DQ113" s="69">
        <v>0.5948367457</v>
      </c>
      <c r="DR113" s="69">
        <v>0.59510921679999995</v>
      </c>
      <c r="DS113" s="69">
        <v>0.59538032429999999</v>
      </c>
      <c r="DT113" s="69">
        <v>0.59565006499999995</v>
      </c>
      <c r="DU113" s="69">
        <v>0.59591843600000005</v>
      </c>
      <c r="DV113" s="69">
        <v>0.59618543420000003</v>
      </c>
      <c r="DW113" s="69">
        <v>0.59645105710000001</v>
      </c>
      <c r="DX113" s="69">
        <v>0.596715302</v>
      </c>
      <c r="DY113" s="69">
        <v>0.59697816650000002</v>
      </c>
      <c r="DZ113" s="69">
        <v>0.59723964860000001</v>
      </c>
      <c r="EA113" s="69">
        <v>0.59749974620000001</v>
      </c>
      <c r="EB113" s="69">
        <v>0.5977584574</v>
      </c>
      <c r="EC113" s="69">
        <v>0.59801578070000005</v>
      </c>
      <c r="ED113" s="69">
        <v>0.59827171440000004</v>
      </c>
      <c r="EE113" s="69">
        <v>0.59852625739999998</v>
      </c>
      <c r="EF113" s="69">
        <v>0.59877940829999998</v>
      </c>
      <c r="EG113" s="69">
        <v>0.59903116629999997</v>
      </c>
      <c r="EH113" s="69">
        <v>0.59928153039999998</v>
      </c>
      <c r="EI113" s="69">
        <v>0.59953050009999997</v>
      </c>
      <c r="EJ113" s="69">
        <v>0.59977807480000001</v>
      </c>
      <c r="EK113" s="69">
        <v>0.60002425410000004</v>
      </c>
      <c r="EL113" s="69">
        <v>0.60026903789999997</v>
      </c>
      <c r="EM113" s="69">
        <v>0.6005124261</v>
      </c>
      <c r="EN113" s="69">
        <v>0.60075441890000003</v>
      </c>
      <c r="EO113" s="69">
        <v>0.60099501639999997</v>
      </c>
      <c r="EP113" s="69">
        <v>0.60123421919999998</v>
      </c>
      <c r="EQ113" s="69">
        <v>0.60147202759999996</v>
      </c>
      <c r="ER113" s="69">
        <v>0.6017084426</v>
      </c>
      <c r="ES113" s="69">
        <v>0.60194346480000005</v>
      </c>
      <c r="ET113" s="69">
        <v>0.60217709519999996</v>
      </c>
      <c r="EU113" s="69">
        <v>0.60240933510000005</v>
      </c>
      <c r="EV113" s="69">
        <v>0.60264018559999999</v>
      </c>
      <c r="EW113" s="69">
        <v>0.60286964799999998</v>
      </c>
      <c r="EX113" s="69">
        <v>0.60309772399999995</v>
      </c>
      <c r="EY113" s="69">
        <v>0.60332441510000001</v>
      </c>
      <c r="EZ113" s="69">
        <v>0.6035497232</v>
      </c>
      <c r="FA113" s="69">
        <v>0.60377365009999995</v>
      </c>
      <c r="FB113" s="69">
        <v>0.60399619780000002</v>
      </c>
      <c r="FC113" s="69">
        <v>0.60421736839999995</v>
      </c>
      <c r="FD113" s="69">
        <v>0.60443716430000005</v>
      </c>
      <c r="FE113" s="69">
        <v>0.60465558770000005</v>
      </c>
      <c r="FF113" s="69">
        <v>0.60487264119999995</v>
      </c>
      <c r="FG113" s="69">
        <v>0.60508832729999995</v>
      </c>
      <c r="FH113" s="69">
        <v>0.60530264879999995</v>
      </c>
      <c r="FI113" s="69">
        <v>0.60551560829999995</v>
      </c>
      <c r="FJ113" s="69">
        <v>0.60572720899999999</v>
      </c>
      <c r="FK113" s="69">
        <v>0.60593745359999995</v>
      </c>
      <c r="FL113" s="69">
        <v>0.60614634550000002</v>
      </c>
      <c r="FM113" s="69">
        <v>0.60635388769999998</v>
      </c>
      <c r="FN113" s="69">
        <v>0.60656008350000001</v>
      </c>
      <c r="FO113" s="69">
        <v>0.60676493649999996</v>
      </c>
      <c r="FP113" s="69">
        <v>0.60696844999999999</v>
      </c>
      <c r="FQ113" s="69">
        <v>0.60717062759999996</v>
      </c>
    </row>
    <row r="114" spans="1:173" x14ac:dyDescent="0.25">
      <c r="A114" s="71">
        <v>112</v>
      </c>
      <c r="B114" s="69">
        <v>0.5564041783</v>
      </c>
      <c r="C114" s="69">
        <v>0.55737974859999995</v>
      </c>
      <c r="D114" s="69">
        <v>0.55830754419999995</v>
      </c>
      <c r="E114" s="69">
        <v>0.55919131730000005</v>
      </c>
      <c r="F114" s="69">
        <v>0.5600345109</v>
      </c>
      <c r="G114" s="69">
        <v>0.56084028610000003</v>
      </c>
      <c r="H114" s="69">
        <v>0.56161154570000005</v>
      </c>
      <c r="I114" s="69">
        <v>0.5623509565</v>
      </c>
      <c r="J114" s="69">
        <v>0.56306096930000005</v>
      </c>
      <c r="K114" s="69">
        <v>0.56374383709999998</v>
      </c>
      <c r="L114" s="69">
        <v>0.56440163160000001</v>
      </c>
      <c r="M114" s="69">
        <v>0.56503625859999995</v>
      </c>
      <c r="N114" s="69">
        <v>0.56564947119999998</v>
      </c>
      <c r="O114" s="69">
        <v>0.56624288310000004</v>
      </c>
      <c r="P114" s="69">
        <v>0.5668179794</v>
      </c>
      <c r="Q114" s="69">
        <v>0.56737612749999999</v>
      </c>
      <c r="R114" s="69">
        <v>0.56791858640000004</v>
      </c>
      <c r="S114" s="69">
        <v>0.56844651570000004</v>
      </c>
      <c r="T114" s="69">
        <v>0.56896098340000001</v>
      </c>
      <c r="U114" s="69">
        <v>0.56946297329999995</v>
      </c>
      <c r="V114" s="69">
        <v>0.56995339170000003</v>
      </c>
      <c r="W114" s="69">
        <v>0.57043307350000005</v>
      </c>
      <c r="X114" s="69">
        <v>0.57090278819999996</v>
      </c>
      <c r="Y114" s="69">
        <v>0.57136324449999998</v>
      </c>
      <c r="Z114" s="69">
        <v>0.57181509539999997</v>
      </c>
      <c r="AA114" s="69">
        <v>0.57225894259999999</v>
      </c>
      <c r="AB114" s="69">
        <v>0.57269534040000003</v>
      </c>
      <c r="AC114" s="69">
        <v>0.57312479920000003</v>
      </c>
      <c r="AD114" s="69">
        <v>0.57354778959999997</v>
      </c>
      <c r="AE114" s="69">
        <v>0.57396474450000001</v>
      </c>
      <c r="AF114" s="69">
        <v>0.57437606279999998</v>
      </c>
      <c r="AG114" s="69">
        <v>0.57478211160000003</v>
      </c>
      <c r="AH114" s="69">
        <v>0.57518322909999997</v>
      </c>
      <c r="AI114" s="69">
        <v>0.57557972609999997</v>
      </c>
      <c r="AJ114" s="69">
        <v>0.57597188880000005</v>
      </c>
      <c r="AK114" s="69">
        <v>0.57635998050000004</v>
      </c>
      <c r="AL114" s="69">
        <v>0.57674424290000004</v>
      </c>
      <c r="AM114" s="69">
        <v>0.57712489860000005</v>
      </c>
      <c r="AN114" s="69">
        <v>0.57750215179999997</v>
      </c>
      <c r="AO114" s="69">
        <v>0.57787619000000001</v>
      </c>
      <c r="AP114" s="69">
        <v>0.57824718539999997</v>
      </c>
      <c r="AQ114" s="69">
        <v>0.57861529599999995</v>
      </c>
      <c r="AR114" s="69">
        <v>0.57898066660000003</v>
      </c>
      <c r="AS114" s="69">
        <v>0.57934342979999998</v>
      </c>
      <c r="AT114" s="69">
        <v>0.57970370699999996</v>
      </c>
      <c r="AU114" s="69">
        <v>0.58006160929999995</v>
      </c>
      <c r="AV114" s="69">
        <v>0.58041723850000004</v>
      </c>
      <c r="AW114" s="69">
        <v>0.58077068710000002</v>
      </c>
      <c r="AX114" s="69">
        <v>0.58112203979999999</v>
      </c>
      <c r="AY114" s="69">
        <v>0.58147137380000002</v>
      </c>
      <c r="AZ114" s="69">
        <v>0.58181875930000004</v>
      </c>
      <c r="BA114" s="69">
        <v>0.5821642601</v>
      </c>
      <c r="BB114" s="69">
        <v>0.58250793430000003</v>
      </c>
      <c r="BC114" s="69">
        <v>0.58284983430000004</v>
      </c>
      <c r="BD114" s="69">
        <v>0.58319000779999997</v>
      </c>
      <c r="BE114" s="69">
        <v>0.58352849770000004</v>
      </c>
      <c r="BF114" s="69">
        <v>0.58386534270000001</v>
      </c>
      <c r="BG114" s="69">
        <v>0.58420057780000001</v>
      </c>
      <c r="BH114" s="69">
        <v>0.58453423419999995</v>
      </c>
      <c r="BI114" s="69">
        <v>0.58486633990000003</v>
      </c>
      <c r="BJ114" s="69">
        <v>0.58519691979999999</v>
      </c>
      <c r="BK114" s="69">
        <v>0.5855259961</v>
      </c>
      <c r="BL114" s="69">
        <v>0.58585358860000003</v>
      </c>
      <c r="BM114" s="69">
        <v>0.58617971440000005</v>
      </c>
      <c r="BN114" s="69">
        <v>0.5865043888</v>
      </c>
      <c r="BO114" s="69">
        <v>0.58682762499999996</v>
      </c>
      <c r="BP114" s="69">
        <v>0.5871494344</v>
      </c>
      <c r="BQ114" s="69">
        <v>0.58746982680000004</v>
      </c>
      <c r="BR114" s="69">
        <v>0.58778881059999999</v>
      </c>
      <c r="BS114" s="69">
        <v>0.58810639259999997</v>
      </c>
      <c r="BT114" s="69">
        <v>0.58842257870000003</v>
      </c>
      <c r="BU114" s="69">
        <v>0.58873737339999999</v>
      </c>
      <c r="BV114" s="69">
        <v>0.58905078020000001</v>
      </c>
      <c r="BW114" s="69">
        <v>0.58936280190000001</v>
      </c>
      <c r="BX114" s="69">
        <v>0.58967344040000003</v>
      </c>
      <c r="BY114" s="69">
        <v>0.58998269660000002</v>
      </c>
      <c r="BZ114" s="69">
        <v>0.59029057110000005</v>
      </c>
      <c r="CA114" s="69">
        <v>0.59059706359999997</v>
      </c>
      <c r="CB114" s="69">
        <v>0.59090217349999996</v>
      </c>
      <c r="CC114" s="69">
        <v>0.59120589960000003</v>
      </c>
      <c r="CD114" s="69">
        <v>0.59150824030000004</v>
      </c>
      <c r="CE114" s="69">
        <v>0.59180919359999995</v>
      </c>
      <c r="CF114" s="69">
        <v>0.59210875730000001</v>
      </c>
      <c r="CG114" s="69">
        <v>0.59240692880000001</v>
      </c>
      <c r="CH114" s="69">
        <v>0.59270370539999995</v>
      </c>
      <c r="CI114" s="69">
        <v>0.59299908410000002</v>
      </c>
      <c r="CJ114" s="69">
        <v>0.59329306169999996</v>
      </c>
      <c r="CK114" s="69">
        <v>0.59358563490000005</v>
      </c>
      <c r="CL114" s="69">
        <v>0.59387680050000002</v>
      </c>
      <c r="CM114" s="69">
        <v>0.59416655480000002</v>
      </c>
      <c r="CN114" s="69">
        <v>0.5944548945</v>
      </c>
      <c r="CO114" s="69">
        <v>0.59474181599999998</v>
      </c>
      <c r="CP114" s="69">
        <v>0.5950273157</v>
      </c>
      <c r="CQ114" s="69">
        <v>0.59531139020000001</v>
      </c>
      <c r="CR114" s="69">
        <v>0.59559403580000003</v>
      </c>
      <c r="CS114" s="69">
        <v>0.59587524920000001</v>
      </c>
      <c r="CT114" s="69">
        <v>0.5961550269</v>
      </c>
      <c r="CU114" s="69">
        <v>0.59643336550000003</v>
      </c>
      <c r="CV114" s="69">
        <v>0.59671026189999998</v>
      </c>
      <c r="CW114" s="69">
        <v>0.59698571280000001</v>
      </c>
      <c r="CX114" s="69">
        <v>0.59725971509999998</v>
      </c>
      <c r="CY114" s="69">
        <v>0.59753226599999998</v>
      </c>
      <c r="CZ114" s="69">
        <v>0.59780336239999998</v>
      </c>
      <c r="DA114" s="69">
        <v>0.5980730018</v>
      </c>
      <c r="DB114" s="69">
        <v>0.59834118140000003</v>
      </c>
      <c r="DC114" s="69">
        <v>0.59860789889999999</v>
      </c>
      <c r="DD114" s="69">
        <v>0.59887315190000001</v>
      </c>
      <c r="DE114" s="69">
        <v>0.59913693820000002</v>
      </c>
      <c r="DF114" s="69">
        <v>0.59939925589999998</v>
      </c>
      <c r="DG114" s="69">
        <v>0.59966010290000005</v>
      </c>
      <c r="DH114" s="69">
        <v>0.59991947759999997</v>
      </c>
      <c r="DI114" s="69">
        <v>0.60017737839999996</v>
      </c>
      <c r="DJ114" s="69">
        <v>0.60043380390000001</v>
      </c>
      <c r="DK114" s="69">
        <v>0.6006887528</v>
      </c>
      <c r="DL114" s="69">
        <v>0.60094222409999998</v>
      </c>
      <c r="DM114" s="69">
        <v>0.60119421679999996</v>
      </c>
      <c r="DN114" s="69">
        <v>0.60144472999999998</v>
      </c>
      <c r="DO114" s="69">
        <v>0.60169376330000002</v>
      </c>
      <c r="DP114" s="69">
        <v>0.60194131610000001</v>
      </c>
      <c r="DQ114" s="69">
        <v>0.60218738819999995</v>
      </c>
      <c r="DR114" s="69">
        <v>0.60243197940000004</v>
      </c>
      <c r="DS114" s="69">
        <v>0.60267508979999995</v>
      </c>
      <c r="DT114" s="69">
        <v>0.60291671960000004</v>
      </c>
      <c r="DU114" s="69">
        <v>0.60315686909999999</v>
      </c>
      <c r="DV114" s="69">
        <v>0.60339553869999996</v>
      </c>
      <c r="DW114" s="69">
        <v>0.6036327293</v>
      </c>
      <c r="DX114" s="69">
        <v>0.60386844159999997</v>
      </c>
      <c r="DY114" s="69">
        <v>0.60410267650000005</v>
      </c>
      <c r="DZ114" s="69">
        <v>0.6043354353</v>
      </c>
      <c r="EA114" s="69">
        <v>0.60456671920000005</v>
      </c>
      <c r="EB114" s="69">
        <v>0.60479652959999997</v>
      </c>
      <c r="EC114" s="69">
        <v>0.6050248681</v>
      </c>
      <c r="ED114" s="69">
        <v>0.60525173639999996</v>
      </c>
      <c r="EE114" s="69">
        <v>0.6054771363</v>
      </c>
      <c r="EF114" s="69">
        <v>0.60570106999999995</v>
      </c>
      <c r="EG114" s="69">
        <v>0.6059235395</v>
      </c>
      <c r="EH114" s="69">
        <v>0.60614454709999999</v>
      </c>
      <c r="EI114" s="69">
        <v>0.60636409520000001</v>
      </c>
      <c r="EJ114" s="69">
        <v>0.60658218649999995</v>
      </c>
      <c r="EK114" s="69">
        <v>0.60679882350000003</v>
      </c>
      <c r="EL114" s="69">
        <v>0.60701400900000002</v>
      </c>
      <c r="EM114" s="69">
        <v>0.60722774609999997</v>
      </c>
      <c r="EN114" s="69">
        <v>0.60744003769999999</v>
      </c>
      <c r="EO114" s="69">
        <v>0.60765088710000004</v>
      </c>
      <c r="EP114" s="69">
        <v>0.60786029750000004</v>
      </c>
      <c r="EQ114" s="69">
        <v>0.60806827240000005</v>
      </c>
      <c r="ER114" s="69">
        <v>0.60827481539999995</v>
      </c>
      <c r="ES114" s="69">
        <v>0.60847992989999999</v>
      </c>
      <c r="ET114" s="69">
        <v>0.60868361989999997</v>
      </c>
      <c r="EU114" s="69">
        <v>0.60888588909999997</v>
      </c>
      <c r="EV114" s="69">
        <v>0.60908674159999998</v>
      </c>
      <c r="EW114" s="69">
        <v>0.60928618140000002</v>
      </c>
      <c r="EX114" s="69">
        <v>0.60948421259999996</v>
      </c>
      <c r="EY114" s="69">
        <v>0.60968083959999997</v>
      </c>
      <c r="EZ114" s="69">
        <v>0.60987606679999995</v>
      </c>
      <c r="FA114" s="69">
        <v>0.61006989850000004</v>
      </c>
      <c r="FB114" s="69">
        <v>0.61026233929999996</v>
      </c>
      <c r="FC114" s="69">
        <v>0.61045339399999998</v>
      </c>
      <c r="FD114" s="69">
        <v>0.61064306710000005</v>
      </c>
      <c r="FE114" s="69">
        <v>0.61083136360000001</v>
      </c>
      <c r="FF114" s="69">
        <v>0.61101828830000005</v>
      </c>
      <c r="FG114" s="69">
        <v>0.61120384620000001</v>
      </c>
      <c r="FH114" s="69">
        <v>0.61138804229999999</v>
      </c>
      <c r="FI114" s="69">
        <v>0.61157088189999997</v>
      </c>
      <c r="FJ114" s="69">
        <v>0.61175237010000005</v>
      </c>
      <c r="FK114" s="69">
        <v>0.61193251209999999</v>
      </c>
      <c r="FL114" s="69">
        <v>0.61211131340000002</v>
      </c>
      <c r="FM114" s="69">
        <v>0.61228877940000004</v>
      </c>
      <c r="FN114" s="69">
        <v>0.61246491540000003</v>
      </c>
      <c r="FO114" s="69">
        <v>0.61263972720000004</v>
      </c>
      <c r="FP114" s="69">
        <v>0.61281322029999996</v>
      </c>
      <c r="FQ114" s="69">
        <v>0.61298540030000004</v>
      </c>
    </row>
    <row r="115" spans="1:173" x14ac:dyDescent="0.25">
      <c r="A115" s="71">
        <v>113</v>
      </c>
      <c r="B115" s="69">
        <v>0.56503338010000004</v>
      </c>
      <c r="C115" s="69">
        <v>0.56596085519999995</v>
      </c>
      <c r="D115" s="69">
        <v>0.56684360199999995</v>
      </c>
      <c r="E115" s="69">
        <v>0.56768514479999999</v>
      </c>
      <c r="F115" s="69">
        <v>0.56848871339999996</v>
      </c>
      <c r="G115" s="69">
        <v>0.56925726880000005</v>
      </c>
      <c r="H115" s="69">
        <v>0.56999352709999995</v>
      </c>
      <c r="I115" s="69">
        <v>0.57069998020000001</v>
      </c>
      <c r="J115" s="69">
        <v>0.57137891549999997</v>
      </c>
      <c r="K115" s="69">
        <v>0.57203243349999999</v>
      </c>
      <c r="L115" s="69">
        <v>0.57266246340000004</v>
      </c>
      <c r="M115" s="69">
        <v>0.57327077780000002</v>
      </c>
      <c r="N115" s="69">
        <v>0.57385900580000004</v>
      </c>
      <c r="O115" s="69">
        <v>0.57442864530000004</v>
      </c>
      <c r="P115" s="69">
        <v>0.57498107350000005</v>
      </c>
      <c r="Q115" s="69">
        <v>0.57551755689999995</v>
      </c>
      <c r="R115" s="69">
        <v>0.57603926100000002</v>
      </c>
      <c r="S115" s="69">
        <v>0.57654725780000005</v>
      </c>
      <c r="T115" s="69">
        <v>0.57704253400000005</v>
      </c>
      <c r="U115" s="69">
        <v>0.5775259975</v>
      </c>
      <c r="V115" s="69">
        <v>0.5779984842</v>
      </c>
      <c r="W115" s="69">
        <v>0.57846076339999997</v>
      </c>
      <c r="X115" s="69">
        <v>0.57891354350000002</v>
      </c>
      <c r="Y115" s="69">
        <v>0.57935747640000002</v>
      </c>
      <c r="Z115" s="69">
        <v>0.57979316250000001</v>
      </c>
      <c r="AA115" s="69">
        <v>0.58022115439999999</v>
      </c>
      <c r="AB115" s="69">
        <v>0.58064196089999998</v>
      </c>
      <c r="AC115" s="69">
        <v>0.58105605039999997</v>
      </c>
      <c r="AD115" s="69">
        <v>0.58146385410000001</v>
      </c>
      <c r="AE115" s="69">
        <v>0.58186576889999997</v>
      </c>
      <c r="AF115" s="69">
        <v>0.58226215979999996</v>
      </c>
      <c r="AG115" s="69">
        <v>0.58265336310000004</v>
      </c>
      <c r="AH115" s="69">
        <v>0.58303968790000005</v>
      </c>
      <c r="AI115" s="69">
        <v>0.58342141869999997</v>
      </c>
      <c r="AJ115" s="69">
        <v>0.58379881710000003</v>
      </c>
      <c r="AK115" s="69">
        <v>0.58417212350000003</v>
      </c>
      <c r="AL115" s="69">
        <v>0.58454155900000004</v>
      </c>
      <c r="AM115" s="69">
        <v>0.58490732700000003</v>
      </c>
      <c r="AN115" s="69">
        <v>0.58526961379999998</v>
      </c>
      <c r="AO115" s="69">
        <v>0.58562859109999998</v>
      </c>
      <c r="AP115" s="69">
        <v>0.58598441599999995</v>
      </c>
      <c r="AQ115" s="69">
        <v>0.58633723309999997</v>
      </c>
      <c r="AR115" s="69">
        <v>0.58668717459999997</v>
      </c>
      <c r="AS115" s="69">
        <v>0.58703436210000004</v>
      </c>
      <c r="AT115" s="69">
        <v>0.58737890660000003</v>
      </c>
      <c r="AU115" s="69">
        <v>0.58772091010000005</v>
      </c>
      <c r="AV115" s="69">
        <v>0.58806046580000004</v>
      </c>
      <c r="AW115" s="69">
        <v>0.58839765889999995</v>
      </c>
      <c r="AX115" s="69">
        <v>0.58873256730000001</v>
      </c>
      <c r="AY115" s="69">
        <v>0.5890652623</v>
      </c>
      <c r="AZ115" s="69">
        <v>0.58939580859999996</v>
      </c>
      <c r="BA115" s="69">
        <v>0.58972426560000002</v>
      </c>
      <c r="BB115" s="69">
        <v>0.59005068709999997</v>
      </c>
      <c r="BC115" s="69">
        <v>0.59037512219999999</v>
      </c>
      <c r="BD115" s="69">
        <v>0.5906976155</v>
      </c>
      <c r="BE115" s="69">
        <v>0.5910182075</v>
      </c>
      <c r="BF115" s="69">
        <v>0.59133693490000006</v>
      </c>
      <c r="BG115" s="69">
        <v>0.59165383100000002</v>
      </c>
      <c r="BH115" s="69">
        <v>0.59196892580000005</v>
      </c>
      <c r="BI115" s="69">
        <v>0.59228224640000005</v>
      </c>
      <c r="BJ115" s="69">
        <v>0.59259381749999995</v>
      </c>
      <c r="BK115" s="69">
        <v>0.59290366090000002</v>
      </c>
      <c r="BL115" s="69">
        <v>0.59321179639999999</v>
      </c>
      <c r="BM115" s="69">
        <v>0.59351824180000001</v>
      </c>
      <c r="BN115" s="69">
        <v>0.59382301289999995</v>
      </c>
      <c r="BO115" s="69">
        <v>0.59412612379999996</v>
      </c>
      <c r="BP115" s="69">
        <v>0.59442758709999999</v>
      </c>
      <c r="BQ115" s="69">
        <v>0.59472741389999995</v>
      </c>
      <c r="BR115" s="69">
        <v>0.59502561409999999</v>
      </c>
      <c r="BS115" s="69">
        <v>0.59532219630000005</v>
      </c>
      <c r="BT115" s="69">
        <v>0.59561716819999999</v>
      </c>
      <c r="BU115" s="69">
        <v>0.59591053630000002</v>
      </c>
      <c r="BV115" s="69">
        <v>0.59620230640000005</v>
      </c>
      <c r="BW115" s="69">
        <v>0.59649248359999996</v>
      </c>
      <c r="BX115" s="69">
        <v>0.59678107199999997</v>
      </c>
      <c r="BY115" s="69">
        <v>0.59706807539999995</v>
      </c>
      <c r="BZ115" s="69">
        <v>0.59735349680000005</v>
      </c>
      <c r="CA115" s="69">
        <v>0.59763733870000002</v>
      </c>
      <c r="CB115" s="69">
        <v>0.59791960330000005</v>
      </c>
      <c r="CC115" s="69">
        <v>0.59820029240000006</v>
      </c>
      <c r="CD115" s="69">
        <v>0.59847940730000004</v>
      </c>
      <c r="CE115" s="69">
        <v>0.59875694909999999</v>
      </c>
      <c r="CF115" s="69">
        <v>0.59903291869999997</v>
      </c>
      <c r="CG115" s="69">
        <v>0.59930731670000004</v>
      </c>
      <c r="CH115" s="69">
        <v>0.5995801435</v>
      </c>
      <c r="CI115" s="69">
        <v>0.59985139939999998</v>
      </c>
      <c r="CJ115" s="69">
        <v>0.60012108460000002</v>
      </c>
      <c r="CK115" s="69">
        <v>0.60038919909999999</v>
      </c>
      <c r="CL115" s="69">
        <v>0.60065574290000001</v>
      </c>
      <c r="CM115" s="69">
        <v>0.60092071609999997</v>
      </c>
      <c r="CN115" s="69">
        <v>0.60118411829999996</v>
      </c>
      <c r="CO115" s="69">
        <v>0.60144594969999998</v>
      </c>
      <c r="CP115" s="69">
        <v>0.60170621010000003</v>
      </c>
      <c r="CQ115" s="69">
        <v>0.60196489939999998</v>
      </c>
      <c r="CR115" s="69">
        <v>0.60222201760000005</v>
      </c>
      <c r="CS115" s="69">
        <v>0.60247756480000003</v>
      </c>
      <c r="CT115" s="69">
        <v>0.60273154090000003</v>
      </c>
      <c r="CU115" s="69">
        <v>0.60298394619999995</v>
      </c>
      <c r="CV115" s="69">
        <v>0.60323478090000004</v>
      </c>
      <c r="CW115" s="69">
        <v>0.60348404529999999</v>
      </c>
      <c r="CX115" s="69">
        <v>0.60373173979999994</v>
      </c>
      <c r="CY115" s="69">
        <v>0.60397786490000005</v>
      </c>
      <c r="CZ115" s="69">
        <v>0.60422242130000003</v>
      </c>
      <c r="DA115" s="69">
        <v>0.60446540979999996</v>
      </c>
      <c r="DB115" s="69">
        <v>0.60470683110000001</v>
      </c>
      <c r="DC115" s="69">
        <v>0.60494668630000004</v>
      </c>
      <c r="DD115" s="69">
        <v>0.60518497650000003</v>
      </c>
      <c r="DE115" s="69">
        <v>0.60542170289999997</v>
      </c>
      <c r="DF115" s="69">
        <v>0.60565686679999997</v>
      </c>
      <c r="DG115" s="69">
        <v>0.60589046989999995</v>
      </c>
      <c r="DH115" s="69">
        <v>0.60612251370000003</v>
      </c>
      <c r="DI115" s="69">
        <v>0.60635300000000003</v>
      </c>
      <c r="DJ115" s="69">
        <v>0.6065819308</v>
      </c>
      <c r="DK115" s="69">
        <v>0.60680930799999999</v>
      </c>
      <c r="DL115" s="69">
        <v>0.60703513389999997</v>
      </c>
      <c r="DM115" s="69">
        <v>0.60725941080000001</v>
      </c>
      <c r="DN115" s="69">
        <v>0.60748214109999998</v>
      </c>
      <c r="DO115" s="69">
        <v>0.6077033275</v>
      </c>
      <c r="DP115" s="69">
        <v>0.60792297269999995</v>
      </c>
      <c r="DQ115" s="69">
        <v>0.60814107959999997</v>
      </c>
      <c r="DR115" s="69">
        <v>0.60835765119999996</v>
      </c>
      <c r="DS115" s="69">
        <v>0.60857269059999997</v>
      </c>
      <c r="DT115" s="69">
        <v>0.60878620120000004</v>
      </c>
      <c r="DU115" s="69">
        <v>0.60899818620000001</v>
      </c>
      <c r="DV115" s="69">
        <v>0.60920864929999996</v>
      </c>
      <c r="DW115" s="69">
        <v>0.60941759419999997</v>
      </c>
      <c r="DX115" s="69">
        <v>0.6096250245</v>
      </c>
      <c r="DY115" s="69">
        <v>0.60983094429999996</v>
      </c>
      <c r="DZ115" s="69">
        <v>0.61003535760000005</v>
      </c>
      <c r="EA115" s="69">
        <v>0.61023826839999995</v>
      </c>
      <c r="EB115" s="69">
        <v>0.61043968120000003</v>
      </c>
      <c r="EC115" s="69">
        <v>0.61063960029999997</v>
      </c>
      <c r="ED115" s="69">
        <v>0.61083803010000004</v>
      </c>
      <c r="EE115" s="69">
        <v>0.61103497539999996</v>
      </c>
      <c r="EF115" s="69">
        <v>0.6112304409</v>
      </c>
      <c r="EG115" s="69">
        <v>0.61142443130000002</v>
      </c>
      <c r="EH115" s="69">
        <v>0.61161695169999997</v>
      </c>
      <c r="EI115" s="69">
        <v>0.61180800700000004</v>
      </c>
      <c r="EJ115" s="69">
        <v>0.61199760250000002</v>
      </c>
      <c r="EK115" s="69">
        <v>0.61218574329999997</v>
      </c>
      <c r="EL115" s="69">
        <v>0.61237243480000003</v>
      </c>
      <c r="EM115" s="69">
        <v>0.61255768239999997</v>
      </c>
      <c r="EN115" s="69">
        <v>0.61274149170000003</v>
      </c>
      <c r="EO115" s="69">
        <v>0.61292386830000001</v>
      </c>
      <c r="EP115" s="69">
        <v>0.61310481780000003</v>
      </c>
      <c r="EQ115" s="69">
        <v>0.61328434610000004</v>
      </c>
      <c r="ER115" s="69">
        <v>0.61346245899999996</v>
      </c>
      <c r="ES115" s="69">
        <v>0.61363916249999995</v>
      </c>
      <c r="ET115" s="69">
        <v>0.61381446260000005</v>
      </c>
      <c r="EU115" s="69">
        <v>0.61398836530000001</v>
      </c>
      <c r="EV115" s="69">
        <v>0.61416087689999999</v>
      </c>
      <c r="EW115" s="69">
        <v>0.61433200359999995</v>
      </c>
      <c r="EX115" s="69">
        <v>0.6145017518</v>
      </c>
      <c r="EY115" s="69">
        <v>0.61467012769999996</v>
      </c>
      <c r="EZ115" s="69">
        <v>0.61483713780000004</v>
      </c>
      <c r="FA115" s="69">
        <v>0.61500278860000002</v>
      </c>
      <c r="FB115" s="69">
        <v>0.61516708679999998</v>
      </c>
      <c r="FC115" s="69">
        <v>0.61533003880000003</v>
      </c>
      <c r="FD115" s="69">
        <v>0.61549165139999995</v>
      </c>
      <c r="FE115" s="69">
        <v>0.61565193129999995</v>
      </c>
      <c r="FF115" s="69">
        <v>0.61581088530000005</v>
      </c>
      <c r="FG115" s="69">
        <v>0.61596852020000004</v>
      </c>
      <c r="FH115" s="69">
        <v>0.61612484280000002</v>
      </c>
      <c r="FI115" s="69">
        <v>0.61627986020000003</v>
      </c>
      <c r="FJ115" s="69">
        <v>0.61643357919999997</v>
      </c>
      <c r="FK115" s="69">
        <v>0.61658600679999997</v>
      </c>
      <c r="FL115" s="69">
        <v>0.61673715019999997</v>
      </c>
      <c r="FM115" s="69">
        <v>0.61688701629999998</v>
      </c>
      <c r="FN115" s="69">
        <v>0.61703561230000004</v>
      </c>
      <c r="FO115" s="69">
        <v>0.61718294529999995</v>
      </c>
      <c r="FP115" s="69">
        <v>0.6173290226</v>
      </c>
      <c r="FQ115" s="69">
        <v>0.61747385119999998</v>
      </c>
    </row>
    <row r="116" spans="1:173" x14ac:dyDescent="0.25">
      <c r="A116" s="71">
        <v>114</v>
      </c>
      <c r="B116" s="69">
        <v>0.57277649310000001</v>
      </c>
      <c r="C116" s="69">
        <v>0.57365260250000005</v>
      </c>
      <c r="D116" s="69">
        <v>0.57448695360000002</v>
      </c>
      <c r="E116" s="69">
        <v>0.5752828445</v>
      </c>
      <c r="F116" s="69">
        <v>0.5760432942</v>
      </c>
      <c r="G116" s="69">
        <v>0.57677106700000003</v>
      </c>
      <c r="H116" s="69">
        <v>0.57746869519999999</v>
      </c>
      <c r="I116" s="69">
        <v>0.57813849979999998</v>
      </c>
      <c r="J116" s="69">
        <v>0.57878260869999998</v>
      </c>
      <c r="K116" s="69">
        <v>0.57940297360000004</v>
      </c>
      <c r="L116" s="69">
        <v>0.58000138560000003</v>
      </c>
      <c r="M116" s="69">
        <v>0.58057948829999995</v>
      </c>
      <c r="N116" s="69">
        <v>0.5811387911</v>
      </c>
      <c r="O116" s="69">
        <v>0.58168068019999997</v>
      </c>
      <c r="P116" s="69">
        <v>0.58220642879999995</v>
      </c>
      <c r="Q116" s="69">
        <v>0.58271720719999998</v>
      </c>
      <c r="R116" s="69">
        <v>0.58321409099999999</v>
      </c>
      <c r="S116" s="69">
        <v>0.58369806879999997</v>
      </c>
      <c r="T116" s="69">
        <v>0.58417004969999997</v>
      </c>
      <c r="U116" s="69">
        <v>0.5846308697</v>
      </c>
      <c r="V116" s="69">
        <v>0.58508129789999996</v>
      </c>
      <c r="W116" s="69">
        <v>0.58552204139999997</v>
      </c>
      <c r="X116" s="69">
        <v>0.58595375090000001</v>
      </c>
      <c r="Y116" s="69">
        <v>0.58637702520000001</v>
      </c>
      <c r="Z116" s="69">
        <v>0.58679241500000001</v>
      </c>
      <c r="AA116" s="69">
        <v>0.58720042699999997</v>
      </c>
      <c r="AB116" s="69">
        <v>0.58760152759999995</v>
      </c>
      <c r="AC116" s="69">
        <v>0.58799614590000004</v>
      </c>
      <c r="AD116" s="69">
        <v>0.58838467650000004</v>
      </c>
      <c r="AE116" s="69">
        <v>0.58876748270000001</v>
      </c>
      <c r="AF116" s="69">
        <v>0.58914489879999998</v>
      </c>
      <c r="AG116" s="69">
        <v>0.58951723199999995</v>
      </c>
      <c r="AH116" s="69">
        <v>0.58988476519999999</v>
      </c>
      <c r="AI116" s="69">
        <v>0.59024775839999999</v>
      </c>
      <c r="AJ116" s="69">
        <v>0.59060645089999997</v>
      </c>
      <c r="AK116" s="69">
        <v>0.59096106260000003</v>
      </c>
      <c r="AL116" s="69">
        <v>0.59131179550000001</v>
      </c>
      <c r="AM116" s="69">
        <v>0.5916588357</v>
      </c>
      <c r="AN116" s="69">
        <v>0.5920023539</v>
      </c>
      <c r="AO116" s="69">
        <v>0.59234250700000002</v>
      </c>
      <c r="AP116" s="69">
        <v>0.59267943919999999</v>
      </c>
      <c r="AQ116" s="69">
        <v>0.59301328279999999</v>
      </c>
      <c r="AR116" s="69">
        <v>0.59334415929999995</v>
      </c>
      <c r="AS116" s="69">
        <v>0.59367218030000002</v>
      </c>
      <c r="AT116" s="69">
        <v>0.5939974482</v>
      </c>
      <c r="AU116" s="69">
        <v>0.59432005669999999</v>
      </c>
      <c r="AV116" s="69">
        <v>0.59464009210000002</v>
      </c>
      <c r="AW116" s="69">
        <v>0.59495763310000005</v>
      </c>
      <c r="AX116" s="69">
        <v>0.59527275199999996</v>
      </c>
      <c r="AY116" s="69">
        <v>0.59558551510000002</v>
      </c>
      <c r="AZ116" s="69">
        <v>0.59589598310000003</v>
      </c>
      <c r="BA116" s="69">
        <v>0.5962042112</v>
      </c>
      <c r="BB116" s="69">
        <v>0.59651025040000005</v>
      </c>
      <c r="BC116" s="69">
        <v>0.59681414700000002</v>
      </c>
      <c r="BD116" s="69">
        <v>0.59711594349999997</v>
      </c>
      <c r="BE116" s="69">
        <v>0.5974156786</v>
      </c>
      <c r="BF116" s="69">
        <v>0.59771338760000003</v>
      </c>
      <c r="BG116" s="69">
        <v>0.59800910289999998</v>
      </c>
      <c r="BH116" s="69">
        <v>0.59830285400000005</v>
      </c>
      <c r="BI116" s="69">
        <v>0.59859466780000004</v>
      </c>
      <c r="BJ116" s="69">
        <v>0.59888456879999996</v>
      </c>
      <c r="BK116" s="69">
        <v>0.59917257930000001</v>
      </c>
      <c r="BL116" s="69">
        <v>0.59945871979999998</v>
      </c>
      <c r="BM116" s="69">
        <v>0.59974300869999997</v>
      </c>
      <c r="BN116" s="69">
        <v>0.60002546310000004</v>
      </c>
      <c r="BO116" s="69">
        <v>0.60030609820000003</v>
      </c>
      <c r="BP116" s="69">
        <v>0.60058492809999997</v>
      </c>
      <c r="BQ116" s="69">
        <v>0.60086196569999994</v>
      </c>
      <c r="BR116" s="69">
        <v>0.60113722260000002</v>
      </c>
      <c r="BS116" s="69">
        <v>0.60141070929999996</v>
      </c>
      <c r="BT116" s="69">
        <v>0.60168243570000002</v>
      </c>
      <c r="BU116" s="69">
        <v>0.60195241060000004</v>
      </c>
      <c r="BV116" s="69">
        <v>0.60222064210000004</v>
      </c>
      <c r="BW116" s="69">
        <v>0.60248713769999995</v>
      </c>
      <c r="BX116" s="69">
        <v>0.60275190410000001</v>
      </c>
      <c r="BY116" s="69">
        <v>0.60301494779999998</v>
      </c>
      <c r="BZ116" s="69">
        <v>0.60327627439999998</v>
      </c>
      <c r="CA116" s="69">
        <v>0.60353588930000002</v>
      </c>
      <c r="CB116" s="69">
        <v>0.60379379769999997</v>
      </c>
      <c r="CC116" s="69">
        <v>0.60405000399999997</v>
      </c>
      <c r="CD116" s="69">
        <v>0.60430451279999997</v>
      </c>
      <c r="CE116" s="69">
        <v>0.60455732809999996</v>
      </c>
      <c r="CF116" s="69">
        <v>0.60480845380000003</v>
      </c>
      <c r="CG116" s="69">
        <v>0.60505789369999996</v>
      </c>
      <c r="CH116" s="69">
        <v>0.60530565140000003</v>
      </c>
      <c r="CI116" s="69">
        <v>0.60555173029999998</v>
      </c>
      <c r="CJ116" s="69">
        <v>0.60579613379999997</v>
      </c>
      <c r="CK116" s="69">
        <v>0.60603886510000005</v>
      </c>
      <c r="CL116" s="69">
        <v>0.60627992750000004</v>
      </c>
      <c r="CM116" s="69">
        <v>0.60651932409999998</v>
      </c>
      <c r="CN116" s="69">
        <v>0.60675705820000003</v>
      </c>
      <c r="CO116" s="69">
        <v>0.6069931328</v>
      </c>
      <c r="CP116" s="69">
        <v>0.60722755110000004</v>
      </c>
      <c r="CQ116" s="69">
        <v>0.60746031639999998</v>
      </c>
      <c r="CR116" s="69">
        <v>0.60769143179999996</v>
      </c>
      <c r="CS116" s="69">
        <v>0.60792090070000004</v>
      </c>
      <c r="CT116" s="69">
        <v>0.60814872630000005</v>
      </c>
      <c r="CU116" s="69">
        <v>0.60837491200000005</v>
      </c>
      <c r="CV116" s="69">
        <v>0.60859946129999998</v>
      </c>
      <c r="CW116" s="69">
        <v>0.60882237780000004</v>
      </c>
      <c r="CX116" s="69">
        <v>0.60904366489999995</v>
      </c>
      <c r="CY116" s="69">
        <v>0.60926332650000004</v>
      </c>
      <c r="CZ116" s="69">
        <v>0.60948136630000005</v>
      </c>
      <c r="DA116" s="69">
        <v>0.60969778819999998</v>
      </c>
      <c r="DB116" s="69">
        <v>0.60991259620000005</v>
      </c>
      <c r="DC116" s="69">
        <v>0.61012579440000003</v>
      </c>
      <c r="DD116" s="69">
        <v>0.61033738689999995</v>
      </c>
      <c r="DE116" s="69">
        <v>0.61054737800000003</v>
      </c>
      <c r="DF116" s="69">
        <v>0.61075577219999999</v>
      </c>
      <c r="DG116" s="69">
        <v>0.61096257399999998</v>
      </c>
      <c r="DH116" s="69">
        <v>0.61116778790000004</v>
      </c>
      <c r="DI116" s="69">
        <v>0.6113714187</v>
      </c>
      <c r="DJ116" s="69">
        <v>0.61157347129999995</v>
      </c>
      <c r="DK116" s="69">
        <v>0.61177395050000005</v>
      </c>
      <c r="DL116" s="69">
        <v>0.61197286139999996</v>
      </c>
      <c r="DM116" s="69">
        <v>0.61217020919999998</v>
      </c>
      <c r="DN116" s="69">
        <v>0.61236599920000001</v>
      </c>
      <c r="DO116" s="69">
        <v>0.61256023670000004</v>
      </c>
      <c r="DP116" s="69">
        <v>0.61275292709999996</v>
      </c>
      <c r="DQ116" s="69">
        <v>0.61294407620000002</v>
      </c>
      <c r="DR116" s="69">
        <v>0.61313368950000002</v>
      </c>
      <c r="DS116" s="69">
        <v>0.6133217728</v>
      </c>
      <c r="DT116" s="69">
        <v>0.6135083321</v>
      </c>
      <c r="DU116" s="69">
        <v>0.61369337329999996</v>
      </c>
      <c r="DV116" s="69">
        <v>0.61387690250000004</v>
      </c>
      <c r="DW116" s="69">
        <v>0.61405892579999999</v>
      </c>
      <c r="DX116" s="69">
        <v>0.61423944949999998</v>
      </c>
      <c r="DY116" s="69">
        <v>0.6144184801</v>
      </c>
      <c r="DZ116" s="69">
        <v>0.6145960238</v>
      </c>
      <c r="EA116" s="69">
        <v>0.61477208729999999</v>
      </c>
      <c r="EB116" s="69">
        <v>0.61494667719999996</v>
      </c>
      <c r="EC116" s="69">
        <v>0.6151198001</v>
      </c>
      <c r="ED116" s="69">
        <v>0.61529146280000002</v>
      </c>
      <c r="EE116" s="69">
        <v>0.61546167230000004</v>
      </c>
      <c r="EF116" s="69">
        <v>0.61563043529999995</v>
      </c>
      <c r="EG116" s="69">
        <v>0.61579775889999999</v>
      </c>
      <c r="EH116" s="69">
        <v>0.61596365019999999</v>
      </c>
      <c r="EI116" s="69">
        <v>0.61612811629999997</v>
      </c>
      <c r="EJ116" s="69">
        <v>0.61629116439999998</v>
      </c>
      <c r="EK116" s="69">
        <v>0.61645280179999995</v>
      </c>
      <c r="EL116" s="69">
        <v>0.61661303580000004</v>
      </c>
      <c r="EM116" s="69">
        <v>0.61677187379999998</v>
      </c>
      <c r="EN116" s="69">
        <v>0.61692932320000005</v>
      </c>
      <c r="EO116" s="69">
        <v>0.61708539149999997</v>
      </c>
      <c r="EP116" s="69">
        <v>0.61724008640000005</v>
      </c>
      <c r="EQ116" s="69">
        <v>0.61739341530000003</v>
      </c>
      <c r="ER116" s="69">
        <v>0.61754538599999997</v>
      </c>
      <c r="ES116" s="69">
        <v>0.61769600619999998</v>
      </c>
      <c r="ET116" s="69">
        <v>0.61784528350000001</v>
      </c>
      <c r="EU116" s="69">
        <v>0.61799322570000004</v>
      </c>
      <c r="EV116" s="69">
        <v>0.61813984079999995</v>
      </c>
      <c r="EW116" s="69">
        <v>0.61828513650000005</v>
      </c>
      <c r="EX116" s="69">
        <v>0.6184291207</v>
      </c>
      <c r="EY116" s="69">
        <v>0.61857180140000001</v>
      </c>
      <c r="EZ116" s="69">
        <v>0.61871318649999996</v>
      </c>
      <c r="FA116" s="69">
        <v>0.61885328409999996</v>
      </c>
      <c r="FB116" s="69">
        <v>0.61899210199999999</v>
      </c>
      <c r="FC116" s="69">
        <v>0.61912964849999996</v>
      </c>
      <c r="FD116" s="69">
        <v>0.61926593139999997</v>
      </c>
      <c r="FE116" s="69">
        <v>0.61940095900000003</v>
      </c>
      <c r="FF116" s="69">
        <v>0.61953473940000003</v>
      </c>
      <c r="FG116" s="69">
        <v>0.61966728059999998</v>
      </c>
      <c r="FH116" s="69">
        <v>0.61979859079999999</v>
      </c>
      <c r="FI116" s="69">
        <v>0.61992867819999997</v>
      </c>
      <c r="FJ116" s="69">
        <v>0.62005755090000003</v>
      </c>
      <c r="FK116" s="69">
        <v>0.62018521709999996</v>
      </c>
      <c r="FL116" s="69">
        <v>0.620311685</v>
      </c>
      <c r="FM116" s="69">
        <v>0.62043696280000005</v>
      </c>
      <c r="FN116" s="69">
        <v>0.6205610587</v>
      </c>
      <c r="FO116" s="69">
        <v>0.62068398089999999</v>
      </c>
      <c r="FP116" s="69">
        <v>0.62080573770000003</v>
      </c>
      <c r="FQ116" s="69">
        <v>0.62092633720000001</v>
      </c>
    </row>
    <row r="117" spans="1:173" x14ac:dyDescent="0.25">
      <c r="A117" s="71">
        <v>115</v>
      </c>
      <c r="B117" s="69">
        <v>0.57970234970000001</v>
      </c>
      <c r="C117" s="69">
        <v>0.58052521160000004</v>
      </c>
      <c r="D117" s="69">
        <v>0.58130919059999997</v>
      </c>
      <c r="E117" s="69">
        <v>0.58205736340000003</v>
      </c>
      <c r="F117" s="69">
        <v>0.58277254239999998</v>
      </c>
      <c r="G117" s="69">
        <v>0.58345730029999998</v>
      </c>
      <c r="H117" s="69">
        <v>0.58411399070000003</v>
      </c>
      <c r="I117" s="69">
        <v>0.58474476880000004</v>
      </c>
      <c r="J117" s="69">
        <v>0.58535160819999998</v>
      </c>
      <c r="K117" s="69">
        <v>0.58593631739999996</v>
      </c>
      <c r="L117" s="69">
        <v>0.58650055420000002</v>
      </c>
      <c r="M117" s="69">
        <v>0.58704583880000005</v>
      </c>
      <c r="N117" s="69">
        <v>0.58757356540000005</v>
      </c>
      <c r="O117" s="69">
        <v>0.58808501359999998</v>
      </c>
      <c r="P117" s="69">
        <v>0.58858135789999999</v>
      </c>
      <c r="Q117" s="69">
        <v>0.58906367670000004</v>
      </c>
      <c r="R117" s="69">
        <v>0.5895329601</v>
      </c>
      <c r="S117" s="69">
        <v>0.58999011800000001</v>
      </c>
      <c r="T117" s="69">
        <v>0.59043598600000002</v>
      </c>
      <c r="U117" s="69">
        <v>0.5908713324</v>
      </c>
      <c r="V117" s="69">
        <v>0.59129686319999997</v>
      </c>
      <c r="W117" s="69">
        <v>0.59171322729999998</v>
      </c>
      <c r="X117" s="69">
        <v>0.5921210214</v>
      </c>
      <c r="Y117" s="69">
        <v>0.59252079440000005</v>
      </c>
      <c r="Z117" s="69">
        <v>0.59291305059999999</v>
      </c>
      <c r="AA117" s="69">
        <v>0.59329825420000004</v>
      </c>
      <c r="AB117" s="69">
        <v>0.5936768321</v>
      </c>
      <c r="AC117" s="69">
        <v>0.59404917680000002</v>
      </c>
      <c r="AD117" s="69">
        <v>0.59441564960000004</v>
      </c>
      <c r="AE117" s="69">
        <v>0.59477658249999998</v>
      </c>
      <c r="AF117" s="69">
        <v>0.59513228119999995</v>
      </c>
      <c r="AG117" s="69">
        <v>0.59548302679999998</v>
      </c>
      <c r="AH117" s="69">
        <v>0.59582907799999996</v>
      </c>
      <c r="AI117" s="69">
        <v>0.5961706725</v>
      </c>
      <c r="AJ117" s="69">
        <v>0.59650802930000002</v>
      </c>
      <c r="AK117" s="69">
        <v>0.59684134950000001</v>
      </c>
      <c r="AL117" s="69">
        <v>0.59717081829999996</v>
      </c>
      <c r="AM117" s="69">
        <v>0.59749660599999999</v>
      </c>
      <c r="AN117" s="69">
        <v>0.59781886910000004</v>
      </c>
      <c r="AO117" s="69">
        <v>0.59813775160000004</v>
      </c>
      <c r="AP117" s="69">
        <v>0.59845338599999998</v>
      </c>
      <c r="AQ117" s="69">
        <v>0.59876589390000001</v>
      </c>
      <c r="AR117" s="69">
        <v>0.59907538729999998</v>
      </c>
      <c r="AS117" s="69">
        <v>0.59938196909999997</v>
      </c>
      <c r="AT117" s="69">
        <v>0.59968573400000003</v>
      </c>
      <c r="AU117" s="69">
        <v>0.59998676890000002</v>
      </c>
      <c r="AV117" s="69">
        <v>0.60028515380000003</v>
      </c>
      <c r="AW117" s="69">
        <v>0.60058096220000001</v>
      </c>
      <c r="AX117" s="69">
        <v>0.60087426150000001</v>
      </c>
      <c r="AY117" s="69">
        <v>0.60116511399999994</v>
      </c>
      <c r="AZ117" s="69">
        <v>0.60145357669999999</v>
      </c>
      <c r="BA117" s="69">
        <v>0.60173970200000004</v>
      </c>
      <c r="BB117" s="69">
        <v>0.60202353829999999</v>
      </c>
      <c r="BC117" s="69">
        <v>0.60230512989999996</v>
      </c>
      <c r="BD117" s="69">
        <v>0.60258451769999999</v>
      </c>
      <c r="BE117" s="69">
        <v>0.60286173899999995</v>
      </c>
      <c r="BF117" s="69">
        <v>0.60313682869999996</v>
      </c>
      <c r="BG117" s="69">
        <v>0.60340981829999996</v>
      </c>
      <c r="BH117" s="69">
        <v>0.60368073730000005</v>
      </c>
      <c r="BI117" s="69">
        <v>0.60394961260000002</v>
      </c>
      <c r="BJ117" s="69">
        <v>0.60421646910000004</v>
      </c>
      <c r="BK117" s="69">
        <v>0.60448132980000002</v>
      </c>
      <c r="BL117" s="69">
        <v>0.60474421590000005</v>
      </c>
      <c r="BM117" s="69">
        <v>0.60500514709999997</v>
      </c>
      <c r="BN117" s="69">
        <v>0.60526414159999997</v>
      </c>
      <c r="BO117" s="69">
        <v>0.60552121609999998</v>
      </c>
      <c r="BP117" s="69">
        <v>0.60577638629999997</v>
      </c>
      <c r="BQ117" s="69">
        <v>0.60602966670000002</v>
      </c>
      <c r="BR117" s="69">
        <v>0.60628107099999995</v>
      </c>
      <c r="BS117" s="69">
        <v>0.6065306117</v>
      </c>
      <c r="BT117" s="69">
        <v>0.60677830079999995</v>
      </c>
      <c r="BU117" s="69">
        <v>0.60702414920000003</v>
      </c>
      <c r="BV117" s="69">
        <v>0.60726816750000001</v>
      </c>
      <c r="BW117" s="69">
        <v>0.60751036540000003</v>
      </c>
      <c r="BX117" s="69">
        <v>0.60775075239999998</v>
      </c>
      <c r="BY117" s="69">
        <v>0.60798933730000004</v>
      </c>
      <c r="BZ117" s="69">
        <v>0.60822612850000002</v>
      </c>
      <c r="CA117" s="69">
        <v>0.60846113410000002</v>
      </c>
      <c r="CB117" s="69">
        <v>0.60869436170000002</v>
      </c>
      <c r="CC117" s="69">
        <v>0.60892581879999996</v>
      </c>
      <c r="CD117" s="69">
        <v>0.60915551270000001</v>
      </c>
      <c r="CE117" s="69">
        <v>0.60938345019999995</v>
      </c>
      <c r="CF117" s="69">
        <v>0.60960963810000002</v>
      </c>
      <c r="CG117" s="69">
        <v>0.60983408309999998</v>
      </c>
      <c r="CH117" s="69">
        <v>0.61005679160000004</v>
      </c>
      <c r="CI117" s="69">
        <v>0.61027776990000004</v>
      </c>
      <c r="CJ117" s="69">
        <v>0.61049702439999998</v>
      </c>
      <c r="CK117" s="69">
        <v>0.61071456130000001</v>
      </c>
      <c r="CL117" s="69">
        <v>0.61093038669999999</v>
      </c>
      <c r="CM117" s="69">
        <v>0.61114450659999997</v>
      </c>
      <c r="CN117" s="69">
        <v>0.61135692730000002</v>
      </c>
      <c r="CO117" s="69">
        <v>0.61156765469999996</v>
      </c>
      <c r="CP117" s="69">
        <v>0.61177669499999998</v>
      </c>
      <c r="CQ117" s="69">
        <v>0.61198405420000002</v>
      </c>
      <c r="CR117" s="69">
        <v>0.61218973840000002</v>
      </c>
      <c r="CS117" s="69">
        <v>0.61239375389999995</v>
      </c>
      <c r="CT117" s="69">
        <v>0.61259610669999998</v>
      </c>
      <c r="CU117" s="69">
        <v>0.61279680299999995</v>
      </c>
      <c r="CV117" s="69">
        <v>0.61299584920000005</v>
      </c>
      <c r="CW117" s="69">
        <v>0.61319325160000004</v>
      </c>
      <c r="CX117" s="69">
        <v>0.6133890166</v>
      </c>
      <c r="CY117" s="69">
        <v>0.61358315050000001</v>
      </c>
      <c r="CZ117" s="69">
        <v>0.61377565990000005</v>
      </c>
      <c r="DA117" s="69">
        <v>0.61396655150000001</v>
      </c>
      <c r="DB117" s="69">
        <v>0.6141558318</v>
      </c>
      <c r="DC117" s="69">
        <v>0.6143435075</v>
      </c>
      <c r="DD117" s="69">
        <v>0.61452958550000003</v>
      </c>
      <c r="DE117" s="69">
        <v>0.6147140727</v>
      </c>
      <c r="DF117" s="69">
        <v>0.61489697590000003</v>
      </c>
      <c r="DG117" s="69">
        <v>0.61507830220000004</v>
      </c>
      <c r="DH117" s="69">
        <v>0.61525805879999995</v>
      </c>
      <c r="DI117" s="69">
        <v>0.61543625270000002</v>
      </c>
      <c r="DJ117" s="69">
        <v>0.61561289129999996</v>
      </c>
      <c r="DK117" s="69">
        <v>0.61578798189999995</v>
      </c>
      <c r="DL117" s="69">
        <v>0.61596153190000003</v>
      </c>
      <c r="DM117" s="69">
        <v>0.61613354870000003</v>
      </c>
      <c r="DN117" s="69">
        <v>0.61630404000000005</v>
      </c>
      <c r="DO117" s="69">
        <v>0.61647301330000004</v>
      </c>
      <c r="DP117" s="69">
        <v>0.61664047629999996</v>
      </c>
      <c r="DQ117" s="69">
        <v>0.61680643690000003</v>
      </c>
      <c r="DR117" s="69">
        <v>0.6169709028</v>
      </c>
      <c r="DS117" s="69">
        <v>0.61713388189999996</v>
      </c>
      <c r="DT117" s="69">
        <v>0.61729538220000002</v>
      </c>
      <c r="DU117" s="69">
        <v>0.61745541179999996</v>
      </c>
      <c r="DV117" s="69">
        <v>0.6176139786</v>
      </c>
      <c r="DW117" s="69">
        <v>0.61777109090000004</v>
      </c>
      <c r="DX117" s="69">
        <v>0.61792675679999998</v>
      </c>
      <c r="DY117" s="69">
        <v>0.61808098460000005</v>
      </c>
      <c r="DZ117" s="69">
        <v>0.61823378269999996</v>
      </c>
      <c r="EA117" s="69">
        <v>0.61838515930000004</v>
      </c>
      <c r="EB117" s="69">
        <v>0.61853512290000001</v>
      </c>
      <c r="EC117" s="69">
        <v>0.6186836819</v>
      </c>
      <c r="ED117" s="69">
        <v>0.61883084479999995</v>
      </c>
      <c r="EE117" s="69">
        <v>0.61897662009999999</v>
      </c>
      <c r="EF117" s="69">
        <v>0.61912101649999995</v>
      </c>
      <c r="EG117" s="69">
        <v>0.61926404260000001</v>
      </c>
      <c r="EH117" s="69">
        <v>0.61940570699999997</v>
      </c>
      <c r="EI117" s="69">
        <v>0.6195460183</v>
      </c>
      <c r="EJ117" s="69">
        <v>0.61968498540000005</v>
      </c>
      <c r="EK117" s="69">
        <v>0.61982261699999996</v>
      </c>
      <c r="EL117" s="69">
        <v>0.6199589217</v>
      </c>
      <c r="EM117" s="69">
        <v>0.62009390860000002</v>
      </c>
      <c r="EN117" s="69">
        <v>0.62022758629999997</v>
      </c>
      <c r="EO117" s="69">
        <v>0.62035996370000002</v>
      </c>
      <c r="EP117" s="69">
        <v>0.62049104970000002</v>
      </c>
      <c r="EQ117" s="69">
        <v>0.62062085310000004</v>
      </c>
      <c r="ER117" s="69">
        <v>0.62074938300000004</v>
      </c>
      <c r="ES117" s="69">
        <v>0.62087664809999998</v>
      </c>
      <c r="ET117" s="69">
        <v>0.62100265740000005</v>
      </c>
      <c r="EU117" s="69">
        <v>0.62112741989999998</v>
      </c>
      <c r="EV117" s="69">
        <v>0.62125094449999996</v>
      </c>
      <c r="EW117" s="69">
        <v>0.62137324009999995</v>
      </c>
      <c r="EX117" s="69">
        <v>0.62149431570000002</v>
      </c>
      <c r="EY117" s="69">
        <v>0.62161418040000005</v>
      </c>
      <c r="EZ117" s="69">
        <v>0.62173284289999997</v>
      </c>
      <c r="FA117" s="69">
        <v>0.62185031229999999</v>
      </c>
      <c r="FB117" s="69">
        <v>0.62196659759999995</v>
      </c>
      <c r="FC117" s="69">
        <v>0.62208170770000004</v>
      </c>
      <c r="FD117" s="69">
        <v>0.6221956515</v>
      </c>
      <c r="FE117" s="69">
        <v>0.62230843810000003</v>
      </c>
      <c r="FF117" s="69">
        <v>0.62242007629999996</v>
      </c>
      <c r="FG117" s="69">
        <v>0.62253057509999998</v>
      </c>
      <c r="FH117" s="69">
        <v>0.62263994330000005</v>
      </c>
      <c r="FI117" s="69">
        <v>0.62274819000000003</v>
      </c>
      <c r="FJ117" s="69">
        <v>0.62285532389999998</v>
      </c>
      <c r="FK117" s="69">
        <v>0.62296135399999997</v>
      </c>
      <c r="FL117" s="69">
        <v>0.62306628909999995</v>
      </c>
      <c r="FM117" s="69">
        <v>0.62317013799999998</v>
      </c>
      <c r="FN117" s="69">
        <v>0.62327290970000004</v>
      </c>
      <c r="FO117" s="69">
        <v>0.62337461279999995</v>
      </c>
      <c r="FP117" s="69">
        <v>0.62347525609999999</v>
      </c>
      <c r="FQ117" s="69">
        <v>0.6235748485</v>
      </c>
    </row>
    <row r="118" spans="1:173" x14ac:dyDescent="0.25">
      <c r="A118" s="71">
        <v>116</v>
      </c>
      <c r="B118" s="69">
        <v>0.58587969539999996</v>
      </c>
      <c r="C118" s="69">
        <v>0.58664860129999996</v>
      </c>
      <c r="D118" s="69">
        <v>0.58738139109999998</v>
      </c>
      <c r="E118" s="69">
        <v>0.58808092609999996</v>
      </c>
      <c r="F118" s="69">
        <v>0.58874981900000001</v>
      </c>
      <c r="G118" s="69">
        <v>0.58939045690000003</v>
      </c>
      <c r="H118" s="69">
        <v>0.5900050214</v>
      </c>
      <c r="I118" s="69">
        <v>0.59059550819999995</v>
      </c>
      <c r="J118" s="69">
        <v>0.59116374279999995</v>
      </c>
      <c r="K118" s="69">
        <v>0.59171139679999996</v>
      </c>
      <c r="L118" s="69">
        <v>0.59224000060000004</v>
      </c>
      <c r="M118" s="69">
        <v>0.59275095649999998</v>
      </c>
      <c r="N118" s="69">
        <v>0.59324554969999999</v>
      </c>
      <c r="O118" s="69">
        <v>0.59372495869999997</v>
      </c>
      <c r="P118" s="69">
        <v>0.59419026399999997</v>
      </c>
      <c r="Q118" s="69">
        <v>0.59464245739999999</v>
      </c>
      <c r="R118" s="69">
        <v>0.59508244860000004</v>
      </c>
      <c r="S118" s="69">
        <v>0.59551107309999995</v>
      </c>
      <c r="T118" s="69">
        <v>0.59592909780000003</v>
      </c>
      <c r="U118" s="69">
        <v>0.59633722710000003</v>
      </c>
      <c r="V118" s="69">
        <v>0.59673610830000001</v>
      </c>
      <c r="W118" s="69">
        <v>0.59712633569999995</v>
      </c>
      <c r="X118" s="69">
        <v>0.59750845590000001</v>
      </c>
      <c r="Y118" s="69">
        <v>0.59788297109999999</v>
      </c>
      <c r="Z118" s="69">
        <v>0.59825034290000001</v>
      </c>
      <c r="AA118" s="69">
        <v>0.5986109959</v>
      </c>
      <c r="AB118" s="69">
        <v>0.59896532049999995</v>
      </c>
      <c r="AC118" s="69">
        <v>0.59931367550000003</v>
      </c>
      <c r="AD118" s="69">
        <v>0.59965639120000003</v>
      </c>
      <c r="AE118" s="69">
        <v>0.59999377139999999</v>
      </c>
      <c r="AF118" s="69">
        <v>0.60032609540000004</v>
      </c>
      <c r="AG118" s="69">
        <v>0.60065362030000002</v>
      </c>
      <c r="AH118" s="69">
        <v>0.60097658269999998</v>
      </c>
      <c r="AI118" s="69">
        <v>0.60129520030000005</v>
      </c>
      <c r="AJ118" s="69">
        <v>0.60160967320000003</v>
      </c>
      <c r="AK118" s="69">
        <v>0.60192018609999998</v>
      </c>
      <c r="AL118" s="69">
        <v>0.60222690840000004</v>
      </c>
      <c r="AM118" s="69">
        <v>0.60252999659999995</v>
      </c>
      <c r="AN118" s="69">
        <v>0.60282959430000005</v>
      </c>
      <c r="AO118" s="69">
        <v>0.60312583409999998</v>
      </c>
      <c r="AP118" s="69">
        <v>0.60341883780000005</v>
      </c>
      <c r="AQ118" s="69">
        <v>0.60370871790000002</v>
      </c>
      <c r="AR118" s="69">
        <v>0.60399557780000002</v>
      </c>
      <c r="AS118" s="69">
        <v>0.60427951270000002</v>
      </c>
      <c r="AT118" s="69">
        <v>0.60456061059999999</v>
      </c>
      <c r="AU118" s="69">
        <v>0.60483895239999996</v>
      </c>
      <c r="AV118" s="69">
        <v>0.6051146127</v>
      </c>
      <c r="AW118" s="69">
        <v>0.60538766050000004</v>
      </c>
      <c r="AX118" s="69">
        <v>0.60565815919999999</v>
      </c>
      <c r="AY118" s="69">
        <v>0.60592616740000005</v>
      </c>
      <c r="AZ118" s="69">
        <v>0.60619173940000004</v>
      </c>
      <c r="BA118" s="69">
        <v>0.60645492499999998</v>
      </c>
      <c r="BB118" s="69">
        <v>0.60671577070000005</v>
      </c>
      <c r="BC118" s="69">
        <v>0.60697431899999998</v>
      </c>
      <c r="BD118" s="69">
        <v>0.60723060959999997</v>
      </c>
      <c r="BE118" s="69">
        <v>0.60748467910000004</v>
      </c>
      <c r="BF118" s="69">
        <v>0.60773656170000001</v>
      </c>
      <c r="BG118" s="69">
        <v>0.60798628870000004</v>
      </c>
      <c r="BH118" s="69">
        <v>0.60823388970000003</v>
      </c>
      <c r="BI118" s="69">
        <v>0.60847939169999998</v>
      </c>
      <c r="BJ118" s="69">
        <v>0.60872282040000003</v>
      </c>
      <c r="BK118" s="69">
        <v>0.60896419930000001</v>
      </c>
      <c r="BL118" s="69">
        <v>0.60920355059999998</v>
      </c>
      <c r="BM118" s="69">
        <v>0.60944089509999999</v>
      </c>
      <c r="BN118" s="69">
        <v>0.60967625219999999</v>
      </c>
      <c r="BO118" s="69">
        <v>0.60990964020000005</v>
      </c>
      <c r="BP118" s="69">
        <v>0.61014107630000003</v>
      </c>
      <c r="BQ118" s="69">
        <v>0.61037057669999994</v>
      </c>
      <c r="BR118" s="69">
        <v>0.61059815679999996</v>
      </c>
      <c r="BS118" s="69">
        <v>0.61082383119999994</v>
      </c>
      <c r="BT118" s="69">
        <v>0.61104761360000004</v>
      </c>
      <c r="BU118" s="69">
        <v>0.61126951730000001</v>
      </c>
      <c r="BV118" s="69">
        <v>0.6114895548</v>
      </c>
      <c r="BW118" s="69">
        <v>0.61170773820000002</v>
      </c>
      <c r="BX118" s="69">
        <v>0.61192407920000003</v>
      </c>
      <c r="BY118" s="69">
        <v>0.61213858889999995</v>
      </c>
      <c r="BZ118" s="69">
        <v>0.61235127820000002</v>
      </c>
      <c r="CA118" s="69">
        <v>0.61256215729999997</v>
      </c>
      <c r="CB118" s="69">
        <v>0.61277123659999999</v>
      </c>
      <c r="CC118" s="69">
        <v>0.61297852600000002</v>
      </c>
      <c r="CD118" s="69">
        <v>0.61318403509999997</v>
      </c>
      <c r="CE118" s="69">
        <v>0.61338777330000005</v>
      </c>
      <c r="CF118" s="69">
        <v>0.61358975000000004</v>
      </c>
      <c r="CG118" s="69">
        <v>0.61378997430000004</v>
      </c>
      <c r="CH118" s="69">
        <v>0.61398845520000001</v>
      </c>
      <c r="CI118" s="69">
        <v>0.61418520170000002</v>
      </c>
      <c r="CJ118" s="69">
        <v>0.61438022240000001</v>
      </c>
      <c r="CK118" s="69">
        <v>0.61457352629999995</v>
      </c>
      <c r="CL118" s="69">
        <v>0.61476512179999998</v>
      </c>
      <c r="CM118" s="69">
        <v>0.61495501770000005</v>
      </c>
      <c r="CN118" s="69">
        <v>0.61514322249999998</v>
      </c>
      <c r="CO118" s="69">
        <v>0.61532974480000002</v>
      </c>
      <c r="CP118" s="69">
        <v>0.61551459320000002</v>
      </c>
      <c r="CQ118" s="69">
        <v>0.61569777609999998</v>
      </c>
      <c r="CR118" s="69">
        <v>0.61587930219999998</v>
      </c>
      <c r="CS118" s="69">
        <v>0.61605918000000004</v>
      </c>
      <c r="CT118" s="69">
        <v>0.61623741799999998</v>
      </c>
      <c r="CU118" s="69">
        <v>0.61641402479999996</v>
      </c>
      <c r="CV118" s="69">
        <v>0.61658900910000003</v>
      </c>
      <c r="CW118" s="69">
        <v>0.6167623794</v>
      </c>
      <c r="CX118" s="69">
        <v>0.61693414449999995</v>
      </c>
      <c r="CY118" s="69">
        <v>0.61710431300000002</v>
      </c>
      <c r="CZ118" s="69">
        <v>0.61727289360000004</v>
      </c>
      <c r="DA118" s="69">
        <v>0.61743989519999998</v>
      </c>
      <c r="DB118" s="69">
        <v>0.6176053266</v>
      </c>
      <c r="DC118" s="69">
        <v>0.61776919659999996</v>
      </c>
      <c r="DD118" s="69">
        <v>0.61793151410000002</v>
      </c>
      <c r="DE118" s="69">
        <v>0.61809228810000005</v>
      </c>
      <c r="DF118" s="69">
        <v>0.61825152760000002</v>
      </c>
      <c r="DG118" s="69">
        <v>0.61840924149999998</v>
      </c>
      <c r="DH118" s="69">
        <v>0.61856543890000004</v>
      </c>
      <c r="DI118" s="69">
        <v>0.61872012899999995</v>
      </c>
      <c r="DJ118" s="69">
        <v>0.61887332090000002</v>
      </c>
      <c r="DK118" s="69">
        <v>0.61902502380000002</v>
      </c>
      <c r="DL118" s="69">
        <v>0.61917524690000003</v>
      </c>
      <c r="DM118" s="69">
        <v>0.61932399959999995</v>
      </c>
      <c r="DN118" s="69">
        <v>0.61947129099999998</v>
      </c>
      <c r="DO118" s="69">
        <v>0.61961713070000002</v>
      </c>
      <c r="DP118" s="69">
        <v>0.61976152790000005</v>
      </c>
      <c r="DQ118" s="69">
        <v>0.61990449209999998</v>
      </c>
      <c r="DR118" s="69">
        <v>0.62004603260000002</v>
      </c>
      <c r="DS118" s="69">
        <v>0.62018615909999997</v>
      </c>
      <c r="DT118" s="69">
        <v>0.62032488100000005</v>
      </c>
      <c r="DU118" s="69">
        <v>0.62046220789999995</v>
      </c>
      <c r="DV118" s="69">
        <v>0.62059814930000001</v>
      </c>
      <c r="DW118" s="69">
        <v>0.62073271470000002</v>
      </c>
      <c r="DX118" s="69">
        <v>0.62086591390000001</v>
      </c>
      <c r="DY118" s="69">
        <v>0.62099775639999999</v>
      </c>
      <c r="DZ118" s="69">
        <v>0.62112825189999998</v>
      </c>
      <c r="EA118" s="69">
        <v>0.62125741000000001</v>
      </c>
      <c r="EB118" s="69">
        <v>0.62138524039999998</v>
      </c>
      <c r="EC118" s="69">
        <v>0.62151175290000005</v>
      </c>
      <c r="ED118" s="69">
        <v>0.6216369571</v>
      </c>
      <c r="EE118" s="69">
        <v>0.62176086269999997</v>
      </c>
      <c r="EF118" s="69">
        <v>0.62188347939999999</v>
      </c>
      <c r="EG118" s="69">
        <v>0.62200481699999999</v>
      </c>
      <c r="EH118" s="69">
        <v>0.62212488529999999</v>
      </c>
      <c r="EI118" s="69">
        <v>0.6222436938</v>
      </c>
      <c r="EJ118" s="69">
        <v>0.62236125239999995</v>
      </c>
      <c r="EK118" s="69">
        <v>0.62247757079999999</v>
      </c>
      <c r="EL118" s="69">
        <v>0.62259265870000002</v>
      </c>
      <c r="EM118" s="69">
        <v>0.62270652579999997</v>
      </c>
      <c r="EN118" s="69">
        <v>0.62281918189999996</v>
      </c>
      <c r="EO118" s="69">
        <v>0.62293063660000003</v>
      </c>
      <c r="EP118" s="69">
        <v>0.62304089969999998</v>
      </c>
      <c r="EQ118" s="69">
        <v>0.62314998079999995</v>
      </c>
      <c r="ER118" s="69">
        <v>0.62325788959999995</v>
      </c>
      <c r="ES118" s="69">
        <v>0.6233646357</v>
      </c>
      <c r="ET118" s="69">
        <v>0.62347022890000003</v>
      </c>
      <c r="EU118" s="69">
        <v>0.62357467860000004</v>
      </c>
      <c r="EV118" s="69">
        <v>0.62367799459999995</v>
      </c>
      <c r="EW118" s="69">
        <v>0.62378018639999999</v>
      </c>
      <c r="EX118" s="69">
        <v>0.62388126349999995</v>
      </c>
      <c r="EY118" s="69">
        <v>0.62398123549999995</v>
      </c>
      <c r="EZ118" s="69">
        <v>0.62408011190000001</v>
      </c>
      <c r="FA118" s="69">
        <v>0.62417790220000002</v>
      </c>
      <c r="FB118" s="69">
        <v>0.6242746159</v>
      </c>
      <c r="FC118" s="69">
        <v>0.62437026230000003</v>
      </c>
      <c r="FD118" s="69">
        <v>0.62446485090000003</v>
      </c>
      <c r="FE118" s="69">
        <v>0.62455839099999999</v>
      </c>
      <c r="FF118" s="69">
        <v>0.62465089200000001</v>
      </c>
      <c r="FG118" s="69">
        <v>0.62474236319999998</v>
      </c>
      <c r="FH118" s="69">
        <v>0.6248328138</v>
      </c>
      <c r="FI118" s="69">
        <v>0.62492225320000006</v>
      </c>
      <c r="FJ118" s="69">
        <v>0.6250106903</v>
      </c>
      <c r="FK118" s="69">
        <v>0.62509813459999997</v>
      </c>
      <c r="FL118" s="69">
        <v>0.6251845949</v>
      </c>
      <c r="FM118" s="69">
        <v>0.6252700806</v>
      </c>
      <c r="FN118" s="69">
        <v>0.62535460040000002</v>
      </c>
      <c r="FO118" s="69">
        <v>0.62543816360000004</v>
      </c>
      <c r="FP118" s="69">
        <v>0.62552077900000003</v>
      </c>
      <c r="FQ118" s="69">
        <v>0.62560245550000004</v>
      </c>
    </row>
    <row r="119" spans="1:173" x14ac:dyDescent="0.25">
      <c r="A119" s="71">
        <v>117</v>
      </c>
      <c r="B119" s="69">
        <v>0.59137565270000003</v>
      </c>
      <c r="C119" s="69">
        <v>0.59209085890000002</v>
      </c>
      <c r="D119" s="69">
        <v>0.59277259640000002</v>
      </c>
      <c r="E119" s="69">
        <v>0.5934235189</v>
      </c>
      <c r="F119" s="69">
        <v>0.59404604689999996</v>
      </c>
      <c r="G119" s="69">
        <v>0.59464238960000004</v>
      </c>
      <c r="H119" s="69">
        <v>0.59521456419999996</v>
      </c>
      <c r="I119" s="69">
        <v>0.5957644138</v>
      </c>
      <c r="J119" s="69">
        <v>0.59629362320000001</v>
      </c>
      <c r="K119" s="69">
        <v>0.59680373350000004</v>
      </c>
      <c r="L119" s="69">
        <v>0.59729615449999995</v>
      </c>
      <c r="M119" s="69">
        <v>0.59777217699999996</v>
      </c>
      <c r="N119" s="69">
        <v>0.59823298309999995</v>
      </c>
      <c r="O119" s="69">
        <v>0.59867965560000003</v>
      </c>
      <c r="P119" s="69">
        <v>0.59911318710000006</v>
      </c>
      <c r="Q119" s="69">
        <v>0.59953448760000005</v>
      </c>
      <c r="R119" s="69">
        <v>0.59994439170000002</v>
      </c>
      <c r="S119" s="69">
        <v>0.60034366500000003</v>
      </c>
      <c r="T119" s="69">
        <v>0.60073301030000004</v>
      </c>
      <c r="U119" s="69">
        <v>0.60111307250000001</v>
      </c>
      <c r="V119" s="69">
        <v>0.60148444400000001</v>
      </c>
      <c r="W119" s="69">
        <v>0.60184766860000005</v>
      </c>
      <c r="X119" s="69">
        <v>0.60220324619999999</v>
      </c>
      <c r="Y119" s="69">
        <v>0.60255163599999995</v>
      </c>
      <c r="Z119" s="69">
        <v>0.60289325989999998</v>
      </c>
      <c r="AA119" s="69">
        <v>0.603228506</v>
      </c>
      <c r="AB119" s="69">
        <v>0.60355773099999999</v>
      </c>
      <c r="AC119" s="69">
        <v>0.60388126289999999</v>
      </c>
      <c r="AD119" s="69">
        <v>0.60419940360000002</v>
      </c>
      <c r="AE119" s="69">
        <v>0.60451243060000004</v>
      </c>
      <c r="AF119" s="69">
        <v>0.60482059939999999</v>
      </c>
      <c r="AG119" s="69">
        <v>0.60512414530000003</v>
      </c>
      <c r="AH119" s="69">
        <v>0.60542328450000005</v>
      </c>
      <c r="AI119" s="69">
        <v>0.60571821640000001</v>
      </c>
      <c r="AJ119" s="69">
        <v>0.6060091246</v>
      </c>
      <c r="AK119" s="69">
        <v>0.60629617820000004</v>
      </c>
      <c r="AL119" s="69">
        <v>0.6065795329</v>
      </c>
      <c r="AM119" s="69">
        <v>0.6068593323</v>
      </c>
      <c r="AN119" s="69">
        <v>0.60713570880000001</v>
      </c>
      <c r="AO119" s="69">
        <v>0.60740878450000002</v>
      </c>
      <c r="AP119" s="69">
        <v>0.60767867190000002</v>
      </c>
      <c r="AQ119" s="69">
        <v>0.60794547489999995</v>
      </c>
      <c r="AR119" s="69">
        <v>0.60820928959999998</v>
      </c>
      <c r="AS119" s="69">
        <v>0.60847020429999998</v>
      </c>
      <c r="AT119" s="69">
        <v>0.60872830119999999</v>
      </c>
      <c r="AU119" s="69">
        <v>0.60898365570000002</v>
      </c>
      <c r="AV119" s="69">
        <v>0.60923633789999998</v>
      </c>
      <c r="AW119" s="69">
        <v>0.60948641260000003</v>
      </c>
      <c r="AX119" s="69">
        <v>0.6097339397</v>
      </c>
      <c r="AY119" s="69">
        <v>0.60997897499999998</v>
      </c>
      <c r="AZ119" s="69">
        <v>0.61022156999999999</v>
      </c>
      <c r="BA119" s="69">
        <v>0.61046177270000002</v>
      </c>
      <c r="BB119" s="69">
        <v>0.61069962739999994</v>
      </c>
      <c r="BC119" s="69">
        <v>0.6109351757</v>
      </c>
      <c r="BD119" s="69">
        <v>0.61116845620000004</v>
      </c>
      <c r="BE119" s="69">
        <v>0.61139950470000004</v>
      </c>
      <c r="BF119" s="69">
        <v>0.61162835500000001</v>
      </c>
      <c r="BG119" s="69">
        <v>0.6118550385</v>
      </c>
      <c r="BH119" s="69">
        <v>0.61207958439999999</v>
      </c>
      <c r="BI119" s="69">
        <v>0.61230202060000005</v>
      </c>
      <c r="BJ119" s="69">
        <v>0.61252237279999999</v>
      </c>
      <c r="BK119" s="69">
        <v>0.61274066559999996</v>
      </c>
      <c r="BL119" s="69">
        <v>0.61295692189999995</v>
      </c>
      <c r="BM119" s="69">
        <v>0.6131711635</v>
      </c>
      <c r="BN119" s="69">
        <v>0.61338341100000005</v>
      </c>
      <c r="BO119" s="69">
        <v>0.61359368400000003</v>
      </c>
      <c r="BP119" s="69">
        <v>0.61380200110000005</v>
      </c>
      <c r="BQ119" s="69">
        <v>0.61400838010000003</v>
      </c>
      <c r="BR119" s="69">
        <v>0.61421283780000002</v>
      </c>
      <c r="BS119" s="69">
        <v>0.61441539050000005</v>
      </c>
      <c r="BT119" s="69">
        <v>0.61461605379999995</v>
      </c>
      <c r="BU119" s="69">
        <v>0.61481484269999997</v>
      </c>
      <c r="BV119" s="69">
        <v>0.61501177169999999</v>
      </c>
      <c r="BW119" s="69">
        <v>0.61520685480000004</v>
      </c>
      <c r="BX119" s="69">
        <v>0.61540010550000002</v>
      </c>
      <c r="BY119" s="69">
        <v>0.61559153700000002</v>
      </c>
      <c r="BZ119" s="69">
        <v>0.61578116220000001</v>
      </c>
      <c r="CA119" s="69">
        <v>0.61596899360000001</v>
      </c>
      <c r="CB119" s="69">
        <v>0.61615504330000004</v>
      </c>
      <c r="CC119" s="69">
        <v>0.61633932349999998</v>
      </c>
      <c r="CD119" s="69">
        <v>0.61652184580000002</v>
      </c>
      <c r="CE119" s="69">
        <v>0.61670262190000003</v>
      </c>
      <c r="CF119" s="69">
        <v>0.61688166310000003</v>
      </c>
      <c r="CG119" s="69">
        <v>0.61705898079999999</v>
      </c>
      <c r="CH119" s="69">
        <v>0.61723458600000003</v>
      </c>
      <c r="CI119" s="69">
        <v>0.61740848969999995</v>
      </c>
      <c r="CJ119" s="69">
        <v>0.61758070279999999</v>
      </c>
      <c r="CK119" s="69">
        <v>0.61775123620000005</v>
      </c>
      <c r="CL119" s="69">
        <v>0.61792010060000002</v>
      </c>
      <c r="CM119" s="69">
        <v>0.6180873066</v>
      </c>
      <c r="CN119" s="69">
        <v>0.61825286489999998</v>
      </c>
      <c r="CO119" s="69">
        <v>0.61841678609999995</v>
      </c>
      <c r="CP119" s="69">
        <v>0.61857908070000001</v>
      </c>
      <c r="CQ119" s="69">
        <v>0.61873975920000002</v>
      </c>
      <c r="CR119" s="69">
        <v>0.61889883209999996</v>
      </c>
      <c r="CS119" s="69">
        <v>0.61905630990000005</v>
      </c>
      <c r="CT119" s="69">
        <v>0.61921220300000002</v>
      </c>
      <c r="CU119" s="69">
        <v>0.61936652189999997</v>
      </c>
      <c r="CV119" s="69">
        <v>0.61951927709999999</v>
      </c>
      <c r="CW119" s="69">
        <v>0.61967047890000004</v>
      </c>
      <c r="CX119" s="69">
        <v>0.61982013790000001</v>
      </c>
      <c r="CY119" s="69">
        <v>0.61996826449999998</v>
      </c>
      <c r="CZ119" s="69">
        <v>0.62011486910000002</v>
      </c>
      <c r="DA119" s="69">
        <v>0.62025996230000002</v>
      </c>
      <c r="DB119" s="69">
        <v>0.62040355439999995</v>
      </c>
      <c r="DC119" s="69">
        <v>0.620545656</v>
      </c>
      <c r="DD119" s="69">
        <v>0.62068627750000005</v>
      </c>
      <c r="DE119" s="69">
        <v>0.62082542949999997</v>
      </c>
      <c r="DF119" s="69">
        <v>0.62096312239999996</v>
      </c>
      <c r="DG119" s="69">
        <v>0.6210993668</v>
      </c>
      <c r="DH119" s="69">
        <v>0.62123417319999996</v>
      </c>
      <c r="DI119" s="69">
        <v>0.62136755219999995</v>
      </c>
      <c r="DJ119" s="69">
        <v>0.62149951420000005</v>
      </c>
      <c r="DK119" s="69">
        <v>0.62163006990000003</v>
      </c>
      <c r="DL119" s="69">
        <v>0.62175922969999997</v>
      </c>
      <c r="DM119" s="69">
        <v>0.62188700429999999</v>
      </c>
      <c r="DN119" s="69">
        <v>0.62201340429999996</v>
      </c>
      <c r="DO119" s="69">
        <v>0.62213844009999997</v>
      </c>
      <c r="DP119" s="69">
        <v>0.62226212240000001</v>
      </c>
      <c r="DQ119" s="69">
        <v>0.62238446169999995</v>
      </c>
      <c r="DR119" s="69">
        <v>0.6225054686</v>
      </c>
      <c r="DS119" s="69">
        <v>0.62262515370000004</v>
      </c>
      <c r="DT119" s="69">
        <v>0.62274352749999995</v>
      </c>
      <c r="DU119" s="69">
        <v>0.62286060060000004</v>
      </c>
      <c r="DV119" s="69">
        <v>0.62297638349999995</v>
      </c>
      <c r="DW119" s="69">
        <v>0.62309088680000002</v>
      </c>
      <c r="DX119" s="69">
        <v>0.62320412110000001</v>
      </c>
      <c r="DY119" s="69">
        <v>0.6233160968</v>
      </c>
      <c r="DZ119" s="69">
        <v>0.62342682439999997</v>
      </c>
      <c r="EA119" s="69">
        <v>0.62353631450000002</v>
      </c>
      <c r="EB119" s="69">
        <v>0.62364457750000002</v>
      </c>
      <c r="EC119" s="69">
        <v>0.62375162399999995</v>
      </c>
      <c r="ED119" s="69">
        <v>0.62385746419999999</v>
      </c>
      <c r="EE119" s="69">
        <v>0.62396210870000002</v>
      </c>
      <c r="EF119" s="69">
        <v>0.62406556790000001</v>
      </c>
      <c r="EG119" s="69">
        <v>0.62416785210000003</v>
      </c>
      <c r="EH119" s="69">
        <v>0.62426897169999995</v>
      </c>
      <c r="EI119" s="69">
        <v>0.62436893699999996</v>
      </c>
      <c r="EJ119" s="69">
        <v>0.62446775830000001</v>
      </c>
      <c r="EK119" s="69">
        <v>0.62456544589999996</v>
      </c>
      <c r="EL119" s="69">
        <v>0.62466200999999999</v>
      </c>
      <c r="EM119" s="69">
        <v>0.62475746080000005</v>
      </c>
      <c r="EN119" s="69">
        <v>0.62485180849999999</v>
      </c>
      <c r="EO119" s="69">
        <v>0.62494506329999999</v>
      </c>
      <c r="EP119" s="69">
        <v>0.62503723509999998</v>
      </c>
      <c r="EQ119" s="69">
        <v>0.62512833420000002</v>
      </c>
      <c r="ER119" s="69">
        <v>0.62521837059999996</v>
      </c>
      <c r="ES119" s="69">
        <v>0.62530735410000005</v>
      </c>
      <c r="ET119" s="69">
        <v>0.6253952948</v>
      </c>
      <c r="EU119" s="69">
        <v>0.62548220259999998</v>
      </c>
      <c r="EV119" s="69">
        <v>0.62556808740000003</v>
      </c>
      <c r="EW119" s="69">
        <v>0.62565295889999994</v>
      </c>
      <c r="EX119" s="69">
        <v>0.62573682689999999</v>
      </c>
      <c r="EY119" s="69">
        <v>0.62581970119999997</v>
      </c>
      <c r="EZ119" s="69">
        <v>0.62590159140000001</v>
      </c>
      <c r="FA119" s="69">
        <v>0.62598250720000004</v>
      </c>
      <c r="FB119" s="69">
        <v>0.62606245819999995</v>
      </c>
      <c r="FC119" s="69">
        <v>0.62614145389999998</v>
      </c>
      <c r="FD119" s="69">
        <v>0.62621950380000002</v>
      </c>
      <c r="FE119" s="69">
        <v>0.62629661739999998</v>
      </c>
      <c r="FF119" s="69">
        <v>0.62637280390000005</v>
      </c>
      <c r="FG119" s="69">
        <v>0.62644807290000004</v>
      </c>
      <c r="FH119" s="69">
        <v>0.62652243340000002</v>
      </c>
      <c r="FI119" s="69">
        <v>0.6265958948</v>
      </c>
      <c r="FJ119" s="69">
        <v>0.62666846620000005</v>
      </c>
      <c r="FK119" s="69">
        <v>0.62674015679999995</v>
      </c>
      <c r="FL119" s="69">
        <v>0.62681097559999999</v>
      </c>
      <c r="FM119" s="69">
        <v>0.62688093160000002</v>
      </c>
      <c r="FN119" s="69">
        <v>0.62695003370000002</v>
      </c>
      <c r="FO119" s="69">
        <v>0.62701829090000005</v>
      </c>
      <c r="FP119" s="69">
        <v>0.62708571199999996</v>
      </c>
      <c r="FQ119" s="69">
        <v>0.62715230570000002</v>
      </c>
    </row>
    <row r="120" spans="1:173" x14ac:dyDescent="0.25">
      <c r="A120" s="71">
        <v>118</v>
      </c>
      <c r="B120" s="69">
        <v>0.59625459820000004</v>
      </c>
      <c r="C120" s="69">
        <v>0.59691713229999999</v>
      </c>
      <c r="D120" s="69">
        <v>0.59754871779999996</v>
      </c>
      <c r="E120" s="69">
        <v>0.59815180970000004</v>
      </c>
      <c r="F120" s="69">
        <v>0.59872864510000001</v>
      </c>
      <c r="G120" s="69">
        <v>0.59928126370000001</v>
      </c>
      <c r="H120" s="69">
        <v>0.5998115262</v>
      </c>
      <c r="I120" s="69">
        <v>0.60032113139999999</v>
      </c>
      <c r="J120" s="69">
        <v>0.60081163069999999</v>
      </c>
      <c r="K120" s="69">
        <v>0.60128444169999995</v>
      </c>
      <c r="L120" s="69">
        <v>0.6017408608</v>
      </c>
      <c r="M120" s="69">
        <v>0.60218207349999997</v>
      </c>
      <c r="N120" s="69">
        <v>0.60260916509999995</v>
      </c>
      <c r="O120" s="69">
        <v>0.60302312879999997</v>
      </c>
      <c r="P120" s="69">
        <v>0.60342487479999996</v>
      </c>
      <c r="Q120" s="69">
        <v>0.60381523660000003</v>
      </c>
      <c r="R120" s="69">
        <v>0.60419497850000004</v>
      </c>
      <c r="S120" s="69">
        <v>0.60456480140000002</v>
      </c>
      <c r="T120" s="69">
        <v>0.60492534799999997</v>
      </c>
      <c r="U120" s="69">
        <v>0.60527720819999997</v>
      </c>
      <c r="V120" s="69">
        <v>0.60562092349999996</v>
      </c>
      <c r="W120" s="69">
        <v>0.60595699089999999</v>
      </c>
      <c r="X120" s="69">
        <v>0.60628586699999998</v>
      </c>
      <c r="Y120" s="69">
        <v>0.60660797129999999</v>
      </c>
      <c r="Z120" s="69">
        <v>0.60692368929999996</v>
      </c>
      <c r="AA120" s="69">
        <v>0.60723337529999999</v>
      </c>
      <c r="AB120" s="69">
        <v>0.60753735509999995</v>
      </c>
      <c r="AC120" s="69">
        <v>0.60783592850000001</v>
      </c>
      <c r="AD120" s="69">
        <v>0.60812937119999999</v>
      </c>
      <c r="AE120" s="69">
        <v>0.60841793700000002</v>
      </c>
      <c r="AF120" s="69">
        <v>0.60870185939999999</v>
      </c>
      <c r="AG120" s="69">
        <v>0.60898135350000004</v>
      </c>
      <c r="AH120" s="69">
        <v>0.60925661760000005</v>
      </c>
      <c r="AI120" s="69">
        <v>0.60952783420000001</v>
      </c>
      <c r="AJ120" s="69">
        <v>0.60979517159999996</v>
      </c>
      <c r="AK120" s="69">
        <v>0.61005878499999999</v>
      </c>
      <c r="AL120" s="69">
        <v>0.61031881769999996</v>
      </c>
      <c r="AM120" s="69">
        <v>0.61057540180000003</v>
      </c>
      <c r="AN120" s="69">
        <v>0.61082865919999996</v>
      </c>
      <c r="AO120" s="69">
        <v>0.61107870269999998</v>
      </c>
      <c r="AP120" s="69">
        <v>0.61132563650000005</v>
      </c>
      <c r="AQ120" s="69">
        <v>0.61156955700000004</v>
      </c>
      <c r="AR120" s="69">
        <v>0.6118105532</v>
      </c>
      <c r="AS120" s="69">
        <v>0.61204870769999997</v>
      </c>
      <c r="AT120" s="69">
        <v>0.61228409699999997</v>
      </c>
      <c r="AU120" s="69">
        <v>0.61251679209999998</v>
      </c>
      <c r="AV120" s="69">
        <v>0.61274685880000002</v>
      </c>
      <c r="AW120" s="69">
        <v>0.61297435830000002</v>
      </c>
      <c r="AX120" s="69">
        <v>0.61319934740000004</v>
      </c>
      <c r="AY120" s="69">
        <v>0.613421879</v>
      </c>
      <c r="AZ120" s="69">
        <v>0.61364200260000001</v>
      </c>
      <c r="BA120" s="69">
        <v>0.61385976409999998</v>
      </c>
      <c r="BB120" s="69">
        <v>0.61407520650000003</v>
      </c>
      <c r="BC120" s="69">
        <v>0.61428837000000003</v>
      </c>
      <c r="BD120" s="69">
        <v>0.61449929240000001</v>
      </c>
      <c r="BE120" s="69">
        <v>0.61470800889999999</v>
      </c>
      <c r="BF120" s="69">
        <v>0.61491455279999996</v>
      </c>
      <c r="BG120" s="69">
        <v>0.61511895539999994</v>
      </c>
      <c r="BH120" s="69">
        <v>0.61532124600000004</v>
      </c>
      <c r="BI120" s="69">
        <v>0.61552145270000003</v>
      </c>
      <c r="BJ120" s="69">
        <v>0.61571960160000005</v>
      </c>
      <c r="BK120" s="69">
        <v>0.61591571789999999</v>
      </c>
      <c r="BL120" s="69">
        <v>0.61610982520000002</v>
      </c>
      <c r="BM120" s="69">
        <v>0.61630194620000001</v>
      </c>
      <c r="BN120" s="69">
        <v>0.61649210239999996</v>
      </c>
      <c r="BO120" s="69">
        <v>0.61668031450000005</v>
      </c>
      <c r="BP120" s="69">
        <v>0.6168666022</v>
      </c>
      <c r="BQ120" s="69">
        <v>0.61705098459999996</v>
      </c>
      <c r="BR120" s="69">
        <v>0.61723347989999999</v>
      </c>
      <c r="BS120" s="69">
        <v>0.61741410559999998</v>
      </c>
      <c r="BT120" s="69">
        <v>0.61759287900000004</v>
      </c>
      <c r="BU120" s="69">
        <v>0.61776981630000005</v>
      </c>
      <c r="BV120" s="69">
        <v>0.61794493370000003</v>
      </c>
      <c r="BW120" s="69">
        <v>0.61811824680000005</v>
      </c>
      <c r="BX120" s="69">
        <v>0.6182897705</v>
      </c>
      <c r="BY120" s="69">
        <v>0.61845951990000003</v>
      </c>
      <c r="BZ120" s="69">
        <v>0.6186275094</v>
      </c>
      <c r="CA120" s="69">
        <v>0.61879375299999995</v>
      </c>
      <c r="CB120" s="69">
        <v>0.61895826480000005</v>
      </c>
      <c r="CC120" s="69">
        <v>0.61912105849999999</v>
      </c>
      <c r="CD120" s="69">
        <v>0.61928214739999998</v>
      </c>
      <c r="CE120" s="69">
        <v>0.61944154490000003</v>
      </c>
      <c r="CF120" s="69">
        <v>0.61959926389999997</v>
      </c>
      <c r="CG120" s="69">
        <v>0.61975531750000001</v>
      </c>
      <c r="CH120" s="69">
        <v>0.61990971849999998</v>
      </c>
      <c r="CI120" s="69">
        <v>0.62006247940000003</v>
      </c>
      <c r="CJ120" s="69">
        <v>0.62021361279999998</v>
      </c>
      <c r="CK120" s="69">
        <v>0.62036313109999996</v>
      </c>
      <c r="CL120" s="69">
        <v>0.62051104680000002</v>
      </c>
      <c r="CM120" s="69">
        <v>0.62065737200000004</v>
      </c>
      <c r="CN120" s="69">
        <v>0.62080211890000003</v>
      </c>
      <c r="CO120" s="69">
        <v>0.62094529970000001</v>
      </c>
      <c r="CP120" s="69">
        <v>0.62108692639999996</v>
      </c>
      <c r="CQ120" s="69">
        <v>0.6212270111</v>
      </c>
      <c r="CR120" s="69">
        <v>0.6213655656</v>
      </c>
      <c r="CS120" s="69">
        <v>0.62150260189999995</v>
      </c>
      <c r="CT120" s="69">
        <v>0.62163813189999995</v>
      </c>
      <c r="CU120" s="69">
        <v>0.62177216749999997</v>
      </c>
      <c r="CV120" s="69">
        <v>0.62190472029999999</v>
      </c>
      <c r="CW120" s="69">
        <v>0.62203580219999999</v>
      </c>
      <c r="CX120" s="69">
        <v>0.62216542500000005</v>
      </c>
      <c r="CY120" s="69">
        <v>0.62229360030000003</v>
      </c>
      <c r="CZ120" s="69">
        <v>0.62242033990000001</v>
      </c>
      <c r="DA120" s="69">
        <v>0.62254565539999995</v>
      </c>
      <c r="DB120" s="69">
        <v>0.62266955850000005</v>
      </c>
      <c r="DC120" s="69">
        <v>0.62279206080000005</v>
      </c>
      <c r="DD120" s="69">
        <v>0.62291317390000001</v>
      </c>
      <c r="DE120" s="69">
        <v>0.6230329094</v>
      </c>
      <c r="DF120" s="69">
        <v>0.62315127879999999</v>
      </c>
      <c r="DG120" s="69">
        <v>0.62326829360000002</v>
      </c>
      <c r="DH120" s="69">
        <v>0.62338396549999997</v>
      </c>
      <c r="DI120" s="69">
        <v>0.62349830579999999</v>
      </c>
      <c r="DJ120" s="69">
        <v>0.62361132610000003</v>
      </c>
      <c r="DK120" s="69">
        <v>0.62372303780000005</v>
      </c>
      <c r="DL120" s="69">
        <v>0.62383345229999998</v>
      </c>
      <c r="DM120" s="69">
        <v>0.623942581</v>
      </c>
      <c r="DN120" s="69">
        <v>0.62405043520000003</v>
      </c>
      <c r="DO120" s="69">
        <v>0.62415702640000004</v>
      </c>
      <c r="DP120" s="69">
        <v>0.62426236570000004</v>
      </c>
      <c r="DQ120" s="69">
        <v>0.6243664646</v>
      </c>
      <c r="DR120" s="69">
        <v>0.62446933419999995</v>
      </c>
      <c r="DS120" s="69">
        <v>0.62457098570000003</v>
      </c>
      <c r="DT120" s="69">
        <v>0.62467143039999995</v>
      </c>
      <c r="DU120" s="69">
        <v>0.62477067929999996</v>
      </c>
      <c r="DV120" s="69">
        <v>0.62486874370000001</v>
      </c>
      <c r="DW120" s="69">
        <v>0.62496563449999998</v>
      </c>
      <c r="DX120" s="69">
        <v>0.62506136290000003</v>
      </c>
      <c r="DY120" s="69">
        <v>0.62515593979999995</v>
      </c>
      <c r="DZ120" s="69">
        <v>0.62524937609999998</v>
      </c>
      <c r="EA120" s="69">
        <v>0.62534168290000003</v>
      </c>
      <c r="EB120" s="69">
        <v>0.62543287089999999</v>
      </c>
      <c r="EC120" s="69">
        <v>0.6255229511</v>
      </c>
      <c r="ED120" s="69">
        <v>0.62561193410000004</v>
      </c>
      <c r="EE120" s="69">
        <v>0.62569983070000001</v>
      </c>
      <c r="EF120" s="69">
        <v>0.62578665170000003</v>
      </c>
      <c r="EG120" s="69">
        <v>0.62587240769999997</v>
      </c>
      <c r="EH120" s="69">
        <v>0.62595710920000003</v>
      </c>
      <c r="EI120" s="69">
        <v>0.62604076689999999</v>
      </c>
      <c r="EJ120" s="69">
        <v>0.62612339110000004</v>
      </c>
      <c r="EK120" s="69">
        <v>0.62620499240000005</v>
      </c>
      <c r="EL120" s="69">
        <v>0.6262855812</v>
      </c>
      <c r="EM120" s="69">
        <v>0.62636516779999996</v>
      </c>
      <c r="EN120" s="69">
        <v>0.62644376239999999</v>
      </c>
      <c r="EO120" s="69">
        <v>0.62652137529999996</v>
      </c>
      <c r="EP120" s="69">
        <v>0.62659801670000004</v>
      </c>
      <c r="EQ120" s="69">
        <v>0.62667369660000005</v>
      </c>
      <c r="ER120" s="69">
        <v>0.62674842509999995</v>
      </c>
      <c r="ES120" s="69">
        <v>0.62682221230000001</v>
      </c>
      <c r="ET120" s="69">
        <v>0.62689506800000006</v>
      </c>
      <c r="EU120" s="69">
        <v>0.6269670021</v>
      </c>
      <c r="EV120" s="69">
        <v>0.62703802450000001</v>
      </c>
      <c r="EW120" s="69">
        <v>0.62710814479999999</v>
      </c>
      <c r="EX120" s="69">
        <v>0.62717737279999997</v>
      </c>
      <c r="EY120" s="69">
        <v>0.62724571809999996</v>
      </c>
      <c r="EZ120" s="69">
        <v>0.62731319029999999</v>
      </c>
      <c r="FA120" s="69">
        <v>0.62737979880000005</v>
      </c>
      <c r="FB120" s="69">
        <v>0.62744555300000004</v>
      </c>
      <c r="FC120" s="69">
        <v>0.62751046239999997</v>
      </c>
      <c r="FD120" s="69">
        <v>0.62757453620000003</v>
      </c>
      <c r="FE120" s="69">
        <v>0.62763778370000001</v>
      </c>
      <c r="FF120" s="69">
        <v>0.62770021399999998</v>
      </c>
      <c r="FG120" s="69">
        <v>0.62776183630000004</v>
      </c>
      <c r="FH120" s="69">
        <v>0.62782265950000005</v>
      </c>
      <c r="FI120" s="69">
        <v>0.62788269259999996</v>
      </c>
      <c r="FJ120" s="69">
        <v>0.62794194459999997</v>
      </c>
      <c r="FK120" s="69">
        <v>0.62800042420000002</v>
      </c>
      <c r="FL120" s="69">
        <v>0.62805814029999996</v>
      </c>
      <c r="FM120" s="69">
        <v>0.62811510140000004</v>
      </c>
      <c r="FN120" s="69">
        <v>0.6281713162</v>
      </c>
      <c r="FO120" s="69">
        <v>0.62822679339999998</v>
      </c>
      <c r="FP120" s="69">
        <v>0.62828154130000002</v>
      </c>
      <c r="FQ120" s="69">
        <v>0.62833556830000004</v>
      </c>
    </row>
    <row r="121" spans="1:173" x14ac:dyDescent="0.25">
      <c r="A121" s="71">
        <v>119</v>
      </c>
      <c r="B121" s="69">
        <v>0.60057738959999996</v>
      </c>
      <c r="C121" s="69">
        <v>0.60118887649999997</v>
      </c>
      <c r="D121" s="69">
        <v>0.60177180230000005</v>
      </c>
      <c r="E121" s="69">
        <v>0.60232843339999997</v>
      </c>
      <c r="F121" s="69">
        <v>0.60286083270000002</v>
      </c>
      <c r="G121" s="69">
        <v>0.60337087950000001</v>
      </c>
      <c r="H121" s="69">
        <v>0.60386028660000002</v>
      </c>
      <c r="I121" s="69">
        <v>0.60433061649999997</v>
      </c>
      <c r="J121" s="69">
        <v>0.60478329490000005</v>
      </c>
      <c r="K121" s="69">
        <v>0.60521962380000005</v>
      </c>
      <c r="L121" s="69">
        <v>0.60564079270000004</v>
      </c>
      <c r="M121" s="69">
        <v>0.60604788890000005</v>
      </c>
      <c r="N121" s="69">
        <v>0.60644190669999998</v>
      </c>
      <c r="O121" s="69">
        <v>0.60682375600000005</v>
      </c>
      <c r="P121" s="69">
        <v>0.6071942696</v>
      </c>
      <c r="Q121" s="69">
        <v>0.60755421050000002</v>
      </c>
      <c r="R121" s="69">
        <v>0.60790427739999997</v>
      </c>
      <c r="S121" s="69">
        <v>0.60824511079999999</v>
      </c>
      <c r="T121" s="69">
        <v>0.60857729810000005</v>
      </c>
      <c r="U121" s="69">
        <v>0.6089013781</v>
      </c>
      <c r="V121" s="69">
        <v>0.6092178453</v>
      </c>
      <c r="W121" s="69">
        <v>0.60952715329999996</v>
      </c>
      <c r="X121" s="69">
        <v>0.60982971909999995</v>
      </c>
      <c r="Y121" s="69">
        <v>0.6101259255</v>
      </c>
      <c r="Z121" s="69">
        <v>0.61041612440000004</v>
      </c>
      <c r="AA121" s="69">
        <v>0.61070063919999995</v>
      </c>
      <c r="AB121" s="69">
        <v>0.61097976750000005</v>
      </c>
      <c r="AC121" s="69">
        <v>0.61125378289999999</v>
      </c>
      <c r="AD121" s="69">
        <v>0.61152293739999997</v>
      </c>
      <c r="AE121" s="69">
        <v>0.61178746279999996</v>
      </c>
      <c r="AF121" s="69">
        <v>0.6120475729</v>
      </c>
      <c r="AG121" s="69">
        <v>0.61230346440000005</v>
      </c>
      <c r="AH121" s="69">
        <v>0.61255531880000003</v>
      </c>
      <c r="AI121" s="69">
        <v>0.61280330360000002</v>
      </c>
      <c r="AJ121" s="69">
        <v>0.61304757310000002</v>
      </c>
      <c r="AK121" s="69">
        <v>0.61328826999999997</v>
      </c>
      <c r="AL121" s="69">
        <v>0.6135255261</v>
      </c>
      <c r="AM121" s="69">
        <v>0.61375946299999995</v>
      </c>
      <c r="AN121" s="69">
        <v>0.61399019349999995</v>
      </c>
      <c r="AO121" s="69">
        <v>0.61421782170000006</v>
      </c>
      <c r="AP121" s="69">
        <v>0.61444244420000005</v>
      </c>
      <c r="AQ121" s="69">
        <v>0.61466415050000001</v>
      </c>
      <c r="AR121" s="69">
        <v>0.61488302360000002</v>
      </c>
      <c r="AS121" s="69">
        <v>0.61509914060000004</v>
      </c>
      <c r="AT121" s="69">
        <v>0.61531257309999998</v>
      </c>
      <c r="AU121" s="69">
        <v>0.61552338770000004</v>
      </c>
      <c r="AV121" s="69">
        <v>0.61573164650000001</v>
      </c>
      <c r="AW121" s="69">
        <v>0.61593740730000002</v>
      </c>
      <c r="AX121" s="69">
        <v>0.6161407243</v>
      </c>
      <c r="AY121" s="69">
        <v>0.61634164769999999</v>
      </c>
      <c r="AZ121" s="69">
        <v>0.61654022490000004</v>
      </c>
      <c r="BA121" s="69">
        <v>0.61673650010000003</v>
      </c>
      <c r="BB121" s="69">
        <v>0.61693051489999995</v>
      </c>
      <c r="BC121" s="69">
        <v>0.61712230830000003</v>
      </c>
      <c r="BD121" s="69">
        <v>0.6173119171</v>
      </c>
      <c r="BE121" s="69">
        <v>0.61749937610000005</v>
      </c>
      <c r="BF121" s="69">
        <v>0.61768471790000001</v>
      </c>
      <c r="BG121" s="69">
        <v>0.61786797360000001</v>
      </c>
      <c r="BH121" s="69">
        <v>0.61804917260000003</v>
      </c>
      <c r="BI121" s="69">
        <v>0.61822834289999995</v>
      </c>
      <c r="BJ121" s="69">
        <v>0.61840551109999997</v>
      </c>
      <c r="BK121" s="69">
        <v>0.61858070249999997</v>
      </c>
      <c r="BL121" s="69">
        <v>0.61875394139999995</v>
      </c>
      <c r="BM121" s="69">
        <v>0.61892525099999995</v>
      </c>
      <c r="BN121" s="69">
        <v>0.61909465370000005</v>
      </c>
      <c r="BO121" s="69">
        <v>0.6192621707</v>
      </c>
      <c r="BP121" s="69">
        <v>0.61942782289999998</v>
      </c>
      <c r="BQ121" s="69">
        <v>0.61959162999999995</v>
      </c>
      <c r="BR121" s="69">
        <v>0.61975361149999997</v>
      </c>
      <c r="BS121" s="69">
        <v>0.61991378590000001</v>
      </c>
      <c r="BT121" s="69">
        <v>0.62007217130000003</v>
      </c>
      <c r="BU121" s="69">
        <v>0.62022878550000005</v>
      </c>
      <c r="BV121" s="69">
        <v>0.62038364560000003</v>
      </c>
      <c r="BW121" s="69">
        <v>0.62053676830000004</v>
      </c>
      <c r="BX121" s="69">
        <v>0.62068817009999999</v>
      </c>
      <c r="BY121" s="69">
        <v>0.62083786689999998</v>
      </c>
      <c r="BZ121" s="69">
        <v>0.62098587449999998</v>
      </c>
      <c r="CA121" s="69">
        <v>0.62113220840000005</v>
      </c>
      <c r="CB121" s="69">
        <v>0.6212768836</v>
      </c>
      <c r="CC121" s="69">
        <v>0.62141991519999995</v>
      </c>
      <c r="CD121" s="69">
        <v>0.62156131790000002</v>
      </c>
      <c r="CE121" s="69">
        <v>0.62170110609999996</v>
      </c>
      <c r="CF121" s="69">
        <v>0.62183929419999995</v>
      </c>
      <c r="CG121" s="69">
        <v>0.62197589630000005</v>
      </c>
      <c r="CH121" s="69">
        <v>0.62211092649999999</v>
      </c>
      <c r="CI121" s="69">
        <v>0.62224439860000003</v>
      </c>
      <c r="CJ121" s="69">
        <v>0.62237632639999996</v>
      </c>
      <c r="CK121" s="69">
        <v>0.62250672340000002</v>
      </c>
      <c r="CL121" s="69">
        <v>0.62263560309999999</v>
      </c>
      <c r="CM121" s="69">
        <v>0.6227629791</v>
      </c>
      <c r="CN121" s="69">
        <v>0.62288886440000002</v>
      </c>
      <c r="CO121" s="69">
        <v>0.62301327250000005</v>
      </c>
      <c r="CP121" s="69">
        <v>0.62313621630000005</v>
      </c>
      <c r="CQ121" s="69">
        <v>0.6232577091</v>
      </c>
      <c r="CR121" s="69">
        <v>0.62337776359999997</v>
      </c>
      <c r="CS121" s="69">
        <v>0.62349639290000003</v>
      </c>
      <c r="CT121" s="69">
        <v>0.62361360970000002</v>
      </c>
      <c r="CU121" s="69">
        <v>0.623729427</v>
      </c>
      <c r="CV121" s="69">
        <v>0.62384385730000003</v>
      </c>
      <c r="CW121" s="69">
        <v>0.62395691330000003</v>
      </c>
      <c r="CX121" s="69">
        <v>0.62406860770000006</v>
      </c>
      <c r="CY121" s="69">
        <v>0.62417895290000003</v>
      </c>
      <c r="CZ121" s="69">
        <v>0.6242879616</v>
      </c>
      <c r="DA121" s="69">
        <v>0.62439564609999998</v>
      </c>
      <c r="DB121" s="69">
        <v>0.62450201869999999</v>
      </c>
      <c r="DC121" s="69">
        <v>0.62460709199999997</v>
      </c>
      <c r="DD121" s="69">
        <v>0.62471087810000003</v>
      </c>
      <c r="DE121" s="69">
        <v>0.62481338919999996</v>
      </c>
      <c r="DF121" s="69">
        <v>0.62491463759999999</v>
      </c>
      <c r="DG121" s="69">
        <v>0.62501463550000003</v>
      </c>
      <c r="DH121" s="69">
        <v>0.62511339480000006</v>
      </c>
      <c r="DI121" s="69">
        <v>0.62521092759999997</v>
      </c>
      <c r="DJ121" s="69">
        <v>0.62530724589999997</v>
      </c>
      <c r="DK121" s="69">
        <v>0.62540236169999996</v>
      </c>
      <c r="DL121" s="69">
        <v>0.62549628670000001</v>
      </c>
      <c r="DM121" s="69">
        <v>0.62558903290000001</v>
      </c>
      <c r="DN121" s="69">
        <v>0.62568061200000002</v>
      </c>
      <c r="DO121" s="69">
        <v>0.62577103580000004</v>
      </c>
      <c r="DP121" s="69">
        <v>0.62586031580000001</v>
      </c>
      <c r="DQ121" s="69">
        <v>0.62594846370000001</v>
      </c>
      <c r="DR121" s="69">
        <v>0.626035491</v>
      </c>
      <c r="DS121" s="69">
        <v>0.62612140930000004</v>
      </c>
      <c r="DT121" s="69">
        <v>0.62620622999999997</v>
      </c>
      <c r="DU121" s="69">
        <v>0.62628996439999995</v>
      </c>
      <c r="DV121" s="69">
        <v>0.62637262380000003</v>
      </c>
      <c r="DW121" s="69">
        <v>0.62645421960000003</v>
      </c>
      <c r="DX121" s="69">
        <v>0.62653476279999998</v>
      </c>
      <c r="DY121" s="69">
        <v>0.62661426470000003</v>
      </c>
      <c r="DZ121" s="69">
        <v>0.6266927363</v>
      </c>
      <c r="EA121" s="69">
        <v>0.6267701886</v>
      </c>
      <c r="EB121" s="69">
        <v>0.62684663259999995</v>
      </c>
      <c r="EC121" s="69">
        <v>0.62692207909999997</v>
      </c>
      <c r="ED121" s="69">
        <v>0.62699653889999996</v>
      </c>
      <c r="EE121" s="69">
        <v>0.62707002280000002</v>
      </c>
      <c r="EF121" s="69">
        <v>0.62714254150000004</v>
      </c>
      <c r="EG121" s="69">
        <v>0.62721410550000001</v>
      </c>
      <c r="EH121" s="69">
        <v>0.62728472530000001</v>
      </c>
      <c r="EI121" s="69">
        <v>0.62735441160000005</v>
      </c>
      <c r="EJ121" s="69">
        <v>0.62742317459999997</v>
      </c>
      <c r="EK121" s="69">
        <v>0.62749102469999996</v>
      </c>
      <c r="EL121" s="69">
        <v>0.62755797209999997</v>
      </c>
      <c r="EM121" s="69">
        <v>0.62762402709999998</v>
      </c>
      <c r="EN121" s="69">
        <v>0.62768919960000003</v>
      </c>
      <c r="EO121" s="69">
        <v>0.62775349989999996</v>
      </c>
      <c r="EP121" s="69">
        <v>0.62781693780000003</v>
      </c>
      <c r="EQ121" s="69">
        <v>0.62787952319999996</v>
      </c>
      <c r="ER121" s="69">
        <v>0.627941266</v>
      </c>
      <c r="ES121" s="69">
        <v>0.62800217579999995</v>
      </c>
      <c r="ET121" s="69">
        <v>0.62806226249999997</v>
      </c>
      <c r="EU121" s="69">
        <v>0.62812153540000004</v>
      </c>
      <c r="EV121" s="69">
        <v>0.62818000429999998</v>
      </c>
      <c r="EW121" s="69">
        <v>0.6282376784</v>
      </c>
      <c r="EX121" s="69">
        <v>0.6282945673</v>
      </c>
      <c r="EY121" s="69">
        <v>0.62835068009999995</v>
      </c>
      <c r="EZ121" s="69">
        <v>0.62840602609999996</v>
      </c>
      <c r="FA121" s="69">
        <v>0.62846061440000001</v>
      </c>
      <c r="FB121" s="69">
        <v>0.62851445399999994</v>
      </c>
      <c r="FC121" s="69">
        <v>0.62856755409999998</v>
      </c>
      <c r="FD121" s="69">
        <v>0.62861992339999995</v>
      </c>
      <c r="FE121" s="69">
        <v>0.62867157080000002</v>
      </c>
      <c r="FF121" s="69">
        <v>0.62872250500000004</v>
      </c>
      <c r="FG121" s="69">
        <v>0.62877273479999995</v>
      </c>
      <c r="FH121" s="69">
        <v>0.62882226860000001</v>
      </c>
      <c r="FI121" s="69">
        <v>0.62887111510000004</v>
      </c>
      <c r="FJ121" s="69">
        <v>0.62891928269999997</v>
      </c>
      <c r="FK121" s="69">
        <v>0.62896677970000003</v>
      </c>
      <c r="FL121" s="69">
        <v>0.62901361450000004</v>
      </c>
      <c r="FM121" s="69">
        <v>0.62905979509999999</v>
      </c>
      <c r="FN121" s="69">
        <v>0.62910532990000001</v>
      </c>
      <c r="FO121" s="69">
        <v>0.62915022679999999</v>
      </c>
      <c r="FP121" s="69">
        <v>0.62919449380000003</v>
      </c>
      <c r="FQ121" s="69">
        <v>0.6292381387</v>
      </c>
    </row>
    <row r="122" spans="1:173" x14ac:dyDescent="0.25">
      <c r="A122" s="71">
        <v>120</v>
      </c>
      <c r="B122" s="69">
        <v>0.60440088240000001</v>
      </c>
      <c r="C122" s="69">
        <v>0.60496339170000002</v>
      </c>
      <c r="D122" s="69">
        <v>0.60549959249999996</v>
      </c>
      <c r="E122" s="69">
        <v>0.60601157250000004</v>
      </c>
      <c r="F122" s="69">
        <v>0.60650123050000004</v>
      </c>
      <c r="G122" s="69">
        <v>0.60697029449999995</v>
      </c>
      <c r="H122" s="69">
        <v>0.60742033839999998</v>
      </c>
      <c r="I122" s="69">
        <v>0.60785279670000003</v>
      </c>
      <c r="J122" s="69">
        <v>0.60826897729999996</v>
      </c>
      <c r="K122" s="69">
        <v>0.60867007390000005</v>
      </c>
      <c r="L122" s="69">
        <v>0.60905717619999999</v>
      </c>
      <c r="M122" s="69">
        <v>0.60943127969999999</v>
      </c>
      <c r="N122" s="69">
        <v>0.60979329439999996</v>
      </c>
      <c r="O122" s="69">
        <v>0.61014405230000002</v>
      </c>
      <c r="P122" s="69">
        <v>0.61048431469999997</v>
      </c>
      <c r="Q122" s="69">
        <v>0.61081477870000001</v>
      </c>
      <c r="R122" s="69">
        <v>0.61113608230000005</v>
      </c>
      <c r="S122" s="69">
        <v>0.6114488106</v>
      </c>
      <c r="T122" s="69">
        <v>0.61175349950000002</v>
      </c>
      <c r="U122" s="69">
        <v>0.61205064060000003</v>
      </c>
      <c r="V122" s="69">
        <v>0.61234068500000005</v>
      </c>
      <c r="W122" s="69">
        <v>0.61262404680000004</v>
      </c>
      <c r="X122" s="69">
        <v>0.61290110610000004</v>
      </c>
      <c r="Y122" s="69">
        <v>0.61317221219999996</v>
      </c>
      <c r="Z122" s="69">
        <v>0.61343768600000004</v>
      </c>
      <c r="AA122" s="69">
        <v>0.61369782279999996</v>
      </c>
      <c r="AB122" s="69">
        <v>0.61395289409999998</v>
      </c>
      <c r="AC122" s="69">
        <v>0.61420314970000001</v>
      </c>
      <c r="AD122" s="69">
        <v>0.61444881979999999</v>
      </c>
      <c r="AE122" s="69">
        <v>0.61469011630000003</v>
      </c>
      <c r="AF122" s="69">
        <v>0.61492723459999998</v>
      </c>
      <c r="AG122" s="69">
        <v>0.61516035499999999</v>
      </c>
      <c r="AH122" s="69">
        <v>0.61538964360000004</v>
      </c>
      <c r="AI122" s="69">
        <v>0.61561525399999995</v>
      </c>
      <c r="AJ122" s="69">
        <v>0.61583732800000002</v>
      </c>
      <c r="AK122" s="69">
        <v>0.6160559967</v>
      </c>
      <c r="AL122" s="69">
        <v>0.61627138150000005</v>
      </c>
      <c r="AM122" s="69">
        <v>0.61648359470000003</v>
      </c>
      <c r="AN122" s="69">
        <v>0.61669274019999998</v>
      </c>
      <c r="AO122" s="69">
        <v>0.61689891470000002</v>
      </c>
      <c r="AP122" s="69">
        <v>0.61710220770000002</v>
      </c>
      <c r="AQ122" s="69">
        <v>0.61730270239999996</v>
      </c>
      <c r="AR122" s="69">
        <v>0.61750047620000004</v>
      </c>
      <c r="AS122" s="69">
        <v>0.6176956012</v>
      </c>
      <c r="AT122" s="69">
        <v>0.61788814439999995</v>
      </c>
      <c r="AU122" s="69">
        <v>0.61807816869999999</v>
      </c>
      <c r="AV122" s="69">
        <v>0.61826573250000005</v>
      </c>
      <c r="AW122" s="69">
        <v>0.61845089050000002</v>
      </c>
      <c r="AX122" s="69">
        <v>0.61863369420000003</v>
      </c>
      <c r="AY122" s="69">
        <v>0.61881419159999995</v>
      </c>
      <c r="AZ122" s="69">
        <v>0.61899242809999999</v>
      </c>
      <c r="BA122" s="69">
        <v>0.61916844599999998</v>
      </c>
      <c r="BB122" s="69">
        <v>0.61934228570000005</v>
      </c>
      <c r="BC122" s="69">
        <v>0.61951398489999998</v>
      </c>
      <c r="BD122" s="69">
        <v>0.61968357949999997</v>
      </c>
      <c r="BE122" s="69">
        <v>0.61985110340000005</v>
      </c>
      <c r="BF122" s="69">
        <v>0.6200165889</v>
      </c>
      <c r="BG122" s="69">
        <v>0.62018006660000002</v>
      </c>
      <c r="BH122" s="69">
        <v>0.62034156559999998</v>
      </c>
      <c r="BI122" s="69">
        <v>0.62050111399999996</v>
      </c>
      <c r="BJ122" s="69">
        <v>0.62065873829999996</v>
      </c>
      <c r="BK122" s="69">
        <v>0.62081446399999995</v>
      </c>
      <c r="BL122" s="69">
        <v>0.6209683157</v>
      </c>
      <c r="BM122" s="69">
        <v>0.62112031690000002</v>
      </c>
      <c r="BN122" s="69">
        <v>0.62127049050000005</v>
      </c>
      <c r="BO122" s="69">
        <v>0.62141885819999998</v>
      </c>
      <c r="BP122" s="69">
        <v>0.62156544140000003</v>
      </c>
      <c r="BQ122" s="69">
        <v>0.62171026060000001</v>
      </c>
      <c r="BR122" s="69">
        <v>0.62185333570000001</v>
      </c>
      <c r="BS122" s="69">
        <v>0.62199468609999997</v>
      </c>
      <c r="BT122" s="69">
        <v>0.62213433070000002</v>
      </c>
      <c r="BU122" s="69">
        <v>0.62227228800000001</v>
      </c>
      <c r="BV122" s="69">
        <v>0.62240857589999998</v>
      </c>
      <c r="BW122" s="69">
        <v>0.62254321189999995</v>
      </c>
      <c r="BX122" s="69">
        <v>0.62267621340000001</v>
      </c>
      <c r="BY122" s="69">
        <v>0.62280759720000001</v>
      </c>
      <c r="BZ122" s="69">
        <v>0.62293737989999998</v>
      </c>
      <c r="CA122" s="69">
        <v>0.62306557780000005</v>
      </c>
      <c r="CB122" s="69">
        <v>0.623192207</v>
      </c>
      <c r="CC122" s="69">
        <v>0.62331728310000001</v>
      </c>
      <c r="CD122" s="69">
        <v>0.62344082190000005</v>
      </c>
      <c r="CE122" s="69">
        <v>0.62356283859999995</v>
      </c>
      <c r="CF122" s="69">
        <v>0.62368334839999995</v>
      </c>
      <c r="CG122" s="69">
        <v>0.62380236639999997</v>
      </c>
      <c r="CH122" s="69">
        <v>0.62391990730000002</v>
      </c>
      <c r="CI122" s="69">
        <v>0.62403598569999996</v>
      </c>
      <c r="CJ122" s="69">
        <v>0.62415061630000002</v>
      </c>
      <c r="CK122" s="69">
        <v>0.62426381340000003</v>
      </c>
      <c r="CL122" s="69">
        <v>0.62437559119999997</v>
      </c>
      <c r="CM122" s="69">
        <v>0.6244859639</v>
      </c>
      <c r="CN122" s="69">
        <v>0.62459494540000005</v>
      </c>
      <c r="CO122" s="69">
        <v>0.62470254979999995</v>
      </c>
      <c r="CP122" s="69">
        <v>0.62480879069999995</v>
      </c>
      <c r="CQ122" s="69">
        <v>0.62491368179999995</v>
      </c>
      <c r="CR122" s="69">
        <v>0.62501723679999999</v>
      </c>
      <c r="CS122" s="69">
        <v>0.62511946920000006</v>
      </c>
      <c r="CT122" s="69">
        <v>0.62522039230000004</v>
      </c>
      <c r="CU122" s="69">
        <v>0.62532001950000005</v>
      </c>
      <c r="CV122" s="69">
        <v>0.62541836399999995</v>
      </c>
      <c r="CW122" s="69">
        <v>0.62551543899999995</v>
      </c>
      <c r="CX122" s="69">
        <v>0.62561125750000002</v>
      </c>
      <c r="CY122" s="69">
        <v>0.62570583260000001</v>
      </c>
      <c r="CZ122" s="69">
        <v>0.6257991772</v>
      </c>
      <c r="DA122" s="69">
        <v>0.62589130400000004</v>
      </c>
      <c r="DB122" s="69">
        <v>0.62598222579999996</v>
      </c>
      <c r="DC122" s="69">
        <v>0.62607195540000005</v>
      </c>
      <c r="DD122" s="69">
        <v>0.62616050540000001</v>
      </c>
      <c r="DE122" s="69">
        <v>0.62624788809999998</v>
      </c>
      <c r="DF122" s="69">
        <v>0.62633411620000001</v>
      </c>
      <c r="DG122" s="69">
        <v>0.62641920200000001</v>
      </c>
      <c r="DH122" s="69">
        <v>0.62650315779999999</v>
      </c>
      <c r="DI122" s="69">
        <v>0.62658599589999997</v>
      </c>
      <c r="DJ122" s="69">
        <v>0.62666772829999995</v>
      </c>
      <c r="DK122" s="69">
        <v>0.62674836710000004</v>
      </c>
      <c r="DL122" s="69">
        <v>0.62682792450000002</v>
      </c>
      <c r="DM122" s="69">
        <v>0.62690641219999999</v>
      </c>
      <c r="DN122" s="69">
        <v>0.62698384220000003</v>
      </c>
      <c r="DO122" s="69">
        <v>0.62706022620000001</v>
      </c>
      <c r="DP122" s="69">
        <v>0.62713557590000002</v>
      </c>
      <c r="DQ122" s="69">
        <v>0.6272099029</v>
      </c>
      <c r="DR122" s="69">
        <v>0.62728321880000004</v>
      </c>
      <c r="DS122" s="69">
        <v>0.62735553509999997</v>
      </c>
      <c r="DT122" s="69">
        <v>0.62742686299999995</v>
      </c>
      <c r="DU122" s="69">
        <v>0.62749721400000003</v>
      </c>
      <c r="DV122" s="69">
        <v>0.62756659930000003</v>
      </c>
      <c r="DW122" s="69">
        <v>0.62763502999999998</v>
      </c>
      <c r="DX122" s="69">
        <v>0.62770251710000002</v>
      </c>
      <c r="DY122" s="69">
        <v>0.62776907169999996</v>
      </c>
      <c r="DZ122" s="69">
        <v>0.62783470460000002</v>
      </c>
      <c r="EA122" s="69">
        <v>0.62789942679999999</v>
      </c>
      <c r="EB122" s="69">
        <v>0.62796324879999998</v>
      </c>
      <c r="EC122" s="69">
        <v>0.62802618139999999</v>
      </c>
      <c r="ED122" s="69">
        <v>0.62808823520000001</v>
      </c>
      <c r="EE122" s="69">
        <v>0.62814942070000002</v>
      </c>
      <c r="EF122" s="69">
        <v>0.62820974819999997</v>
      </c>
      <c r="EG122" s="69">
        <v>0.62826922809999997</v>
      </c>
      <c r="EH122" s="69">
        <v>0.62832787059999995</v>
      </c>
      <c r="EI122" s="69">
        <v>0.62838568589999999</v>
      </c>
      <c r="EJ122" s="69">
        <v>0.62844268410000004</v>
      </c>
      <c r="EK122" s="69">
        <v>0.62849887510000002</v>
      </c>
      <c r="EL122" s="69">
        <v>0.62855426889999999</v>
      </c>
      <c r="EM122" s="69">
        <v>0.62860887519999997</v>
      </c>
      <c r="EN122" s="69">
        <v>0.62866270390000001</v>
      </c>
      <c r="EO122" s="69">
        <v>0.6287157645</v>
      </c>
      <c r="EP122" s="69">
        <v>0.62876806659999995</v>
      </c>
      <c r="EQ122" s="69">
        <v>0.6288196197</v>
      </c>
      <c r="ER122" s="69">
        <v>0.62887043330000003</v>
      </c>
      <c r="ES122" s="69">
        <v>0.62892051650000003</v>
      </c>
      <c r="ET122" s="69">
        <v>0.62896987859999998</v>
      </c>
      <c r="EU122" s="69">
        <v>0.62901852879999998</v>
      </c>
      <c r="EV122" s="69">
        <v>0.62906647609999999</v>
      </c>
      <c r="EW122" s="69">
        <v>0.6291137295</v>
      </c>
      <c r="EX122" s="69">
        <v>0.62916029790000005</v>
      </c>
      <c r="EY122" s="69">
        <v>0.62920619</v>
      </c>
      <c r="EZ122" s="69">
        <v>0.62925141449999999</v>
      </c>
      <c r="FA122" s="69">
        <v>0.62929598019999999</v>
      </c>
      <c r="FB122" s="69">
        <v>0.62933989540000002</v>
      </c>
      <c r="FC122" s="69">
        <v>0.6293831688</v>
      </c>
      <c r="FD122" s="69">
        <v>0.62942580859999997</v>
      </c>
      <c r="FE122" s="69">
        <v>0.62946782320000005</v>
      </c>
      <c r="FF122" s="69">
        <v>0.62950922070000004</v>
      </c>
      <c r="FG122" s="69">
        <v>0.62955000920000004</v>
      </c>
      <c r="FH122" s="69">
        <v>0.62959019689999995</v>
      </c>
      <c r="FI122" s="69">
        <v>0.62962979159999999</v>
      </c>
      <c r="FJ122" s="69">
        <v>0.62966880130000003</v>
      </c>
      <c r="FK122" s="69">
        <v>0.62970723360000003</v>
      </c>
      <c r="FL122" s="69">
        <v>0.62974509639999998</v>
      </c>
      <c r="FM122" s="69">
        <v>0.62978239719999995</v>
      </c>
      <c r="FN122" s="69">
        <v>0.62981914360000002</v>
      </c>
      <c r="FO122" s="69">
        <v>0.62985534310000002</v>
      </c>
      <c r="FP122" s="69">
        <v>0.6298910029</v>
      </c>
      <c r="FQ122" s="69">
        <v>0.62992613050000001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3C36B-78F2-4301-9FF5-DF8154A10A67}">
  <sheetPr>
    <tabColor theme="0" tint="-0.499984740745262"/>
  </sheetPr>
  <dimension ref="A1:FQ122"/>
  <sheetViews>
    <sheetView workbookViewId="0">
      <pane xSplit="1" ySplit="1" topLeftCell="B44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cols>
    <col min="2" max="173" width="12.5703125" bestFit="1" customWidth="1"/>
  </cols>
  <sheetData>
    <row r="1" spans="1:173" x14ac:dyDescent="0.25">
      <c r="A1" s="75" t="s">
        <v>157</v>
      </c>
      <c r="B1" s="75">
        <v>2020</v>
      </c>
      <c r="C1" s="75">
        <v>2021</v>
      </c>
      <c r="D1" s="75">
        <v>2022</v>
      </c>
      <c r="E1" s="75">
        <v>2023</v>
      </c>
      <c r="F1" s="75">
        <v>2024</v>
      </c>
      <c r="G1" s="75">
        <v>2025</v>
      </c>
      <c r="H1" s="75">
        <v>2026</v>
      </c>
      <c r="I1" s="75">
        <v>2027</v>
      </c>
      <c r="J1" s="75">
        <v>2028</v>
      </c>
      <c r="K1" s="75">
        <v>2029</v>
      </c>
      <c r="L1" s="75">
        <v>2030</v>
      </c>
      <c r="M1" s="75">
        <v>2031</v>
      </c>
      <c r="N1" s="75">
        <v>2032</v>
      </c>
      <c r="O1" s="75">
        <v>2033</v>
      </c>
      <c r="P1" s="75">
        <v>2034</v>
      </c>
      <c r="Q1" s="75">
        <v>2035</v>
      </c>
      <c r="R1" s="75">
        <v>2036</v>
      </c>
      <c r="S1" s="75">
        <v>2037</v>
      </c>
      <c r="T1" s="75">
        <v>2038</v>
      </c>
      <c r="U1" s="75">
        <v>2039</v>
      </c>
      <c r="V1" s="75">
        <v>2040</v>
      </c>
      <c r="W1" s="75">
        <v>2041</v>
      </c>
      <c r="X1" s="75">
        <v>2042</v>
      </c>
      <c r="Y1" s="75">
        <v>2043</v>
      </c>
      <c r="Z1" s="75">
        <v>2044</v>
      </c>
      <c r="AA1" s="75">
        <v>2045</v>
      </c>
      <c r="AB1" s="75">
        <v>2046</v>
      </c>
      <c r="AC1" s="75">
        <v>2047</v>
      </c>
      <c r="AD1" s="75">
        <v>2048</v>
      </c>
      <c r="AE1" s="75">
        <v>2049</v>
      </c>
      <c r="AF1" s="75">
        <v>2050</v>
      </c>
      <c r="AG1" s="75">
        <v>2051</v>
      </c>
      <c r="AH1" s="75">
        <v>2052</v>
      </c>
      <c r="AI1" s="75">
        <v>2053</v>
      </c>
      <c r="AJ1" s="75">
        <v>2054</v>
      </c>
      <c r="AK1" s="75">
        <v>2055</v>
      </c>
      <c r="AL1" s="75">
        <v>2056</v>
      </c>
      <c r="AM1" s="75">
        <v>2057</v>
      </c>
      <c r="AN1" s="75">
        <v>2058</v>
      </c>
      <c r="AO1" s="75">
        <v>2059</v>
      </c>
      <c r="AP1" s="75">
        <v>2060</v>
      </c>
      <c r="AQ1" s="75">
        <v>2061</v>
      </c>
      <c r="AR1" s="75">
        <v>2062</v>
      </c>
      <c r="AS1" s="75">
        <v>2063</v>
      </c>
      <c r="AT1" s="75">
        <v>2064</v>
      </c>
      <c r="AU1" s="75">
        <v>2065</v>
      </c>
      <c r="AV1" s="75">
        <v>2066</v>
      </c>
      <c r="AW1" s="75">
        <v>2067</v>
      </c>
      <c r="AX1" s="75">
        <v>2068</v>
      </c>
      <c r="AY1" s="75">
        <v>2069</v>
      </c>
      <c r="AZ1" s="75">
        <v>2070</v>
      </c>
      <c r="BA1" s="75">
        <v>2071</v>
      </c>
      <c r="BB1" s="75">
        <v>2072</v>
      </c>
      <c r="BC1" s="75">
        <v>2073</v>
      </c>
      <c r="BD1" s="75">
        <v>2074</v>
      </c>
      <c r="BE1" s="75">
        <v>2075</v>
      </c>
      <c r="BF1" s="75">
        <v>2076</v>
      </c>
      <c r="BG1" s="75">
        <v>2077</v>
      </c>
      <c r="BH1" s="75">
        <v>2078</v>
      </c>
      <c r="BI1" s="75">
        <v>2079</v>
      </c>
      <c r="BJ1" s="75">
        <v>2080</v>
      </c>
      <c r="BK1" s="75">
        <v>2081</v>
      </c>
      <c r="BL1" s="75">
        <v>2082</v>
      </c>
      <c r="BM1" s="75">
        <v>2083</v>
      </c>
      <c r="BN1" s="75">
        <v>2084</v>
      </c>
      <c r="BO1" s="75">
        <v>2085</v>
      </c>
      <c r="BP1" s="75">
        <v>2086</v>
      </c>
      <c r="BQ1" s="75">
        <v>2087</v>
      </c>
      <c r="BR1" s="75">
        <v>2088</v>
      </c>
      <c r="BS1" s="75">
        <v>2089</v>
      </c>
      <c r="BT1" s="75">
        <v>2090</v>
      </c>
      <c r="BU1" s="75">
        <v>2091</v>
      </c>
      <c r="BV1" s="75">
        <v>2092</v>
      </c>
      <c r="BW1" s="75">
        <v>2093</v>
      </c>
      <c r="BX1" s="75">
        <v>2094</v>
      </c>
      <c r="BY1" s="75">
        <v>2095</v>
      </c>
      <c r="BZ1" s="75">
        <v>2096</v>
      </c>
      <c r="CA1" s="75">
        <v>2097</v>
      </c>
      <c r="CB1" s="75">
        <v>2098</v>
      </c>
      <c r="CC1" s="75">
        <v>2099</v>
      </c>
      <c r="CD1" s="75">
        <v>2100</v>
      </c>
      <c r="CE1" s="75">
        <v>2101</v>
      </c>
      <c r="CF1" s="75">
        <v>2102</v>
      </c>
      <c r="CG1" s="75">
        <v>2103</v>
      </c>
      <c r="CH1" s="75">
        <v>2104</v>
      </c>
      <c r="CI1" s="75">
        <v>2105</v>
      </c>
      <c r="CJ1" s="75">
        <v>2106</v>
      </c>
      <c r="CK1" s="75">
        <v>2107</v>
      </c>
      <c r="CL1" s="75">
        <v>2108</v>
      </c>
      <c r="CM1" s="75">
        <v>2109</v>
      </c>
      <c r="CN1" s="75">
        <v>2110</v>
      </c>
      <c r="CO1" s="75">
        <v>2111</v>
      </c>
      <c r="CP1" s="75">
        <v>2112</v>
      </c>
      <c r="CQ1" s="75">
        <v>2113</v>
      </c>
      <c r="CR1" s="75">
        <v>2114</v>
      </c>
      <c r="CS1" s="75">
        <v>2115</v>
      </c>
      <c r="CT1" s="75">
        <v>2116</v>
      </c>
      <c r="CU1" s="75">
        <v>2117</v>
      </c>
      <c r="CV1" s="75">
        <v>2118</v>
      </c>
      <c r="CW1" s="75">
        <v>2119</v>
      </c>
      <c r="CX1" s="75">
        <v>2120</v>
      </c>
      <c r="CY1" s="75">
        <v>2121</v>
      </c>
      <c r="CZ1" s="75">
        <v>2122</v>
      </c>
      <c r="DA1" s="75">
        <v>2123</v>
      </c>
      <c r="DB1" s="75">
        <v>2124</v>
      </c>
      <c r="DC1" s="75">
        <v>2125</v>
      </c>
      <c r="DD1" s="75">
        <v>2126</v>
      </c>
      <c r="DE1" s="75">
        <v>2127</v>
      </c>
      <c r="DF1" s="75">
        <v>2128</v>
      </c>
      <c r="DG1" s="75">
        <v>2129</v>
      </c>
      <c r="DH1" s="75">
        <v>2130</v>
      </c>
      <c r="DI1" s="75">
        <v>2131</v>
      </c>
      <c r="DJ1" s="75">
        <v>2132</v>
      </c>
      <c r="DK1" s="75">
        <v>2133</v>
      </c>
      <c r="DL1" s="75">
        <v>2134</v>
      </c>
      <c r="DM1" s="75">
        <v>2135</v>
      </c>
      <c r="DN1" s="75">
        <v>2136</v>
      </c>
      <c r="DO1" s="75">
        <v>2137</v>
      </c>
      <c r="DP1" s="75">
        <v>2138</v>
      </c>
      <c r="DQ1" s="75">
        <v>2139</v>
      </c>
      <c r="DR1" s="75">
        <v>2140</v>
      </c>
      <c r="DS1" s="75">
        <v>2141</v>
      </c>
      <c r="DT1" s="75">
        <v>2142</v>
      </c>
      <c r="DU1" s="75">
        <v>2143</v>
      </c>
      <c r="DV1" s="75">
        <v>2144</v>
      </c>
      <c r="DW1" s="75">
        <v>2145</v>
      </c>
      <c r="DX1" s="75">
        <v>2146</v>
      </c>
      <c r="DY1" s="75">
        <v>2147</v>
      </c>
      <c r="DZ1" s="75">
        <v>2148</v>
      </c>
      <c r="EA1" s="75">
        <v>2149</v>
      </c>
      <c r="EB1" s="75">
        <v>2150</v>
      </c>
      <c r="EC1" s="75">
        <v>2151</v>
      </c>
      <c r="ED1" s="75">
        <v>2152</v>
      </c>
      <c r="EE1" s="75">
        <v>2153</v>
      </c>
      <c r="EF1" s="75">
        <v>2154</v>
      </c>
      <c r="EG1" s="75">
        <v>2155</v>
      </c>
      <c r="EH1" s="75">
        <v>2156</v>
      </c>
      <c r="EI1" s="75">
        <v>2157</v>
      </c>
      <c r="EJ1" s="75">
        <v>2158</v>
      </c>
      <c r="EK1" s="75">
        <v>2159</v>
      </c>
      <c r="EL1" s="75">
        <v>2160</v>
      </c>
      <c r="EM1" s="75">
        <v>2161</v>
      </c>
      <c r="EN1" s="75">
        <v>2162</v>
      </c>
      <c r="EO1" s="75">
        <v>2163</v>
      </c>
      <c r="EP1" s="75">
        <v>2164</v>
      </c>
      <c r="EQ1" s="75">
        <v>2165</v>
      </c>
      <c r="ER1" s="75">
        <v>2166</v>
      </c>
      <c r="ES1" s="75">
        <v>2167</v>
      </c>
      <c r="ET1" s="75">
        <v>2168</v>
      </c>
      <c r="EU1" s="75">
        <v>2169</v>
      </c>
      <c r="EV1" s="75">
        <v>2170</v>
      </c>
      <c r="EW1" s="75">
        <v>2171</v>
      </c>
      <c r="EX1" s="75">
        <v>2172</v>
      </c>
      <c r="EY1" s="75">
        <v>2173</v>
      </c>
      <c r="EZ1" s="75">
        <v>2174</v>
      </c>
      <c r="FA1" s="75">
        <v>2175</v>
      </c>
      <c r="FB1" s="75">
        <v>2176</v>
      </c>
      <c r="FC1" s="75">
        <v>2177</v>
      </c>
      <c r="FD1" s="75">
        <v>2178</v>
      </c>
      <c r="FE1" s="75">
        <v>2179</v>
      </c>
      <c r="FF1" s="75">
        <v>2180</v>
      </c>
      <c r="FG1" s="75">
        <v>2181</v>
      </c>
      <c r="FH1" s="75">
        <v>2182</v>
      </c>
      <c r="FI1" s="75">
        <v>2183</v>
      </c>
      <c r="FJ1" s="75">
        <v>2184</v>
      </c>
      <c r="FK1" s="75">
        <v>2185</v>
      </c>
      <c r="FL1" s="75">
        <v>2186</v>
      </c>
      <c r="FM1" s="75">
        <v>2187</v>
      </c>
      <c r="FN1" s="75">
        <v>2188</v>
      </c>
      <c r="FO1" s="75">
        <v>2189</v>
      </c>
      <c r="FP1" s="75">
        <v>2190</v>
      </c>
      <c r="FQ1" s="75">
        <v>2191</v>
      </c>
    </row>
    <row r="2" spans="1:173" x14ac:dyDescent="0.25">
      <c r="A2" s="76">
        <v>0</v>
      </c>
      <c r="B2" s="74">
        <v>2.4374136E-3</v>
      </c>
      <c r="C2" s="74">
        <v>2.3574014E-3</v>
      </c>
      <c r="D2" s="74">
        <v>2.2795035000000002E-3</v>
      </c>
      <c r="E2" s="74">
        <v>2.2037099999999998E-3</v>
      </c>
      <c r="F2" s="74">
        <v>2.1300059999999998E-3</v>
      </c>
      <c r="G2" s="74">
        <v>2.0583722999999998E-3</v>
      </c>
      <c r="H2" s="74">
        <v>1.9887859000000002E-3</v>
      </c>
      <c r="I2" s="74">
        <v>1.9212204999999999E-3</v>
      </c>
      <c r="J2" s="74">
        <v>1.8556467000000001E-3</v>
      </c>
      <c r="K2" s="74">
        <v>1.7920328000000001E-3</v>
      </c>
      <c r="L2" s="74">
        <v>1.7303448E-3</v>
      </c>
      <c r="M2" s="74">
        <v>1.6705469000000001E-3</v>
      </c>
      <c r="N2" s="74">
        <v>1.6126019000000001E-3</v>
      </c>
      <c r="O2" s="74">
        <v>1.556471E-3</v>
      </c>
      <c r="P2" s="74">
        <v>1.5021149E-3</v>
      </c>
      <c r="Q2" s="74">
        <v>1.449493E-3</v>
      </c>
      <c r="R2" s="74">
        <v>1.3985645000000001E-3</v>
      </c>
      <c r="S2" s="74">
        <v>1.3492881E-3</v>
      </c>
      <c r="T2" s="74">
        <v>1.3016222E-3</v>
      </c>
      <c r="U2" s="74">
        <v>1.2555252E-3</v>
      </c>
      <c r="V2" s="74">
        <v>1.2109555000000001E-3</v>
      </c>
      <c r="W2" s="74">
        <v>1.1678718000000001E-3</v>
      </c>
      <c r="X2" s="74">
        <v>1.1262328000000001E-3</v>
      </c>
      <c r="Y2" s="74">
        <v>1.0859979999999999E-3</v>
      </c>
      <c r="Z2" s="74">
        <v>1.0471268000000001E-3</v>
      </c>
      <c r="AA2" s="74">
        <v>1.0095797000000001E-3</v>
      </c>
      <c r="AB2" s="74">
        <v>9.7331730000000001E-4</v>
      </c>
      <c r="AC2" s="74">
        <v>9.38301E-4</v>
      </c>
      <c r="AD2" s="74">
        <v>9.0449300000000003E-4</v>
      </c>
      <c r="AE2" s="74">
        <v>8.7185599999999995E-4</v>
      </c>
      <c r="AF2" s="74">
        <v>8.4035360000000005E-4</v>
      </c>
      <c r="AG2" s="74">
        <v>8.0995009999999996E-4</v>
      </c>
      <c r="AH2" s="74">
        <v>7.8061060000000004E-4</v>
      </c>
      <c r="AI2" s="74">
        <v>7.5230100000000003E-4</v>
      </c>
      <c r="AJ2" s="74">
        <v>7.2498799999999998E-4</v>
      </c>
      <c r="AK2" s="74">
        <v>6.9863909999999996E-4</v>
      </c>
      <c r="AL2" s="74">
        <v>6.7322270000000003E-4</v>
      </c>
      <c r="AM2" s="74">
        <v>6.4870800000000001E-4</v>
      </c>
      <c r="AN2" s="74">
        <v>6.2506490000000003E-4</v>
      </c>
      <c r="AO2" s="74">
        <v>6.0226439999999995E-4</v>
      </c>
      <c r="AP2" s="74">
        <v>5.8027800000000004E-4</v>
      </c>
      <c r="AQ2" s="74">
        <v>5.5907820000000003E-4</v>
      </c>
      <c r="AR2" s="74">
        <v>5.3863830000000002E-4</v>
      </c>
      <c r="AS2" s="74">
        <v>5.1893230000000005E-4</v>
      </c>
      <c r="AT2" s="74">
        <v>4.9993499999999996E-4</v>
      </c>
      <c r="AU2" s="74">
        <v>4.8162200000000002E-4</v>
      </c>
      <c r="AV2" s="74">
        <v>4.6396950000000001E-4</v>
      </c>
      <c r="AW2" s="74">
        <v>4.4695480000000001E-4</v>
      </c>
      <c r="AX2" s="74">
        <v>4.3055539999999997E-4</v>
      </c>
      <c r="AY2" s="74">
        <v>4.1475000000000003E-4</v>
      </c>
      <c r="AZ2" s="74">
        <v>3.9951770000000003E-4</v>
      </c>
      <c r="BA2" s="74">
        <v>3.8483830000000003E-4</v>
      </c>
      <c r="BB2" s="74">
        <v>3.7069220000000001E-4</v>
      </c>
      <c r="BC2" s="74">
        <v>3.5706079999999997E-4</v>
      </c>
      <c r="BD2" s="74">
        <v>3.4392560000000001E-4</v>
      </c>
      <c r="BE2" s="74">
        <v>3.3126910000000001E-4</v>
      </c>
      <c r="BF2" s="74">
        <v>3.1907430000000002E-4</v>
      </c>
      <c r="BG2" s="74">
        <v>3.0732449999999999E-4</v>
      </c>
      <c r="BH2" s="74">
        <v>2.9600399999999999E-4</v>
      </c>
      <c r="BI2" s="74">
        <v>2.8509729999999999E-4</v>
      </c>
      <c r="BJ2" s="74">
        <v>2.7458959999999998E-4</v>
      </c>
      <c r="BK2" s="74">
        <v>2.6446649999999999E-4</v>
      </c>
      <c r="BL2" s="74">
        <v>2.5471419999999997E-4</v>
      </c>
      <c r="BM2" s="74">
        <v>2.4531930000000002E-4</v>
      </c>
      <c r="BN2" s="74">
        <v>2.36269E-4</v>
      </c>
      <c r="BO2" s="74">
        <v>2.275507E-4</v>
      </c>
      <c r="BP2" s="74">
        <v>2.1915239999999999E-4</v>
      </c>
      <c r="BQ2" s="74">
        <v>2.1106249999999999E-4</v>
      </c>
      <c r="BR2" s="74">
        <v>2.0326980000000001E-4</v>
      </c>
      <c r="BS2" s="74">
        <v>1.9576359999999999E-4</v>
      </c>
      <c r="BT2" s="74">
        <v>1.8853340000000001E-4</v>
      </c>
      <c r="BU2" s="74">
        <v>1.8156920000000001E-4</v>
      </c>
      <c r="BV2" s="74">
        <v>1.7486119999999999E-4</v>
      </c>
      <c r="BW2" s="74">
        <v>1.6840019999999999E-4</v>
      </c>
      <c r="BX2" s="74">
        <v>1.6217710000000001E-4</v>
      </c>
      <c r="BY2" s="74">
        <v>1.5618319999999999E-4</v>
      </c>
      <c r="BZ2" s="74">
        <v>1.504101E-4</v>
      </c>
      <c r="CA2" s="74">
        <v>1.4484980000000001E-4</v>
      </c>
      <c r="CB2" s="74">
        <v>1.394945E-4</v>
      </c>
      <c r="CC2" s="74">
        <v>1.343367E-4</v>
      </c>
      <c r="CD2" s="74">
        <v>1.2936910000000001E-4</v>
      </c>
      <c r="CE2" s="74">
        <v>1.2458479999999999E-4</v>
      </c>
      <c r="CF2" s="74">
        <v>1.1997699999999999E-4</v>
      </c>
      <c r="CG2" s="74">
        <v>1.155393E-4</v>
      </c>
      <c r="CH2" s="74">
        <v>1.1126529999999999E-4</v>
      </c>
      <c r="CI2" s="74">
        <v>1.071492E-4</v>
      </c>
      <c r="CJ2" s="74">
        <v>1.031851E-4</v>
      </c>
      <c r="CK2" s="74">
        <v>9.93674E-5</v>
      </c>
      <c r="CL2" s="74">
        <v>9.5690699999999995E-5</v>
      </c>
      <c r="CM2" s="74">
        <v>9.2149800000000003E-5</v>
      </c>
      <c r="CN2" s="74">
        <v>8.87397E-5</v>
      </c>
      <c r="CO2" s="74">
        <v>8.5455699999999996E-5</v>
      </c>
      <c r="CP2" s="74">
        <v>8.22931E-5</v>
      </c>
      <c r="CQ2" s="74">
        <v>7.9247300000000003E-5</v>
      </c>
      <c r="CR2" s="74">
        <v>7.6314099999999995E-5</v>
      </c>
      <c r="CS2" s="74">
        <v>7.3489400000000001E-5</v>
      </c>
      <c r="CT2" s="74">
        <v>7.0769100000000007E-5</v>
      </c>
      <c r="CU2" s="74">
        <v>6.8149400000000002E-5</v>
      </c>
      <c r="CV2" s="74">
        <v>6.5626599999999999E-5</v>
      </c>
      <c r="CW2" s="74">
        <v>6.3197100000000005E-5</v>
      </c>
      <c r="CX2" s="74">
        <v>6.0857499999999998E-5</v>
      </c>
      <c r="CY2" s="74">
        <v>5.8604399999999997E-5</v>
      </c>
      <c r="CZ2" s="74">
        <v>5.6434699999999997E-5</v>
      </c>
      <c r="DA2" s="74">
        <v>5.4345200000000003E-5</v>
      </c>
      <c r="DB2" s="74">
        <v>5.2333000000000002E-5</v>
      </c>
      <c r="DC2" s="74">
        <v>5.0395300000000002E-5</v>
      </c>
      <c r="DD2" s="74">
        <v>4.8529300000000003E-5</v>
      </c>
      <c r="DE2" s="74">
        <v>4.67323E-5</v>
      </c>
      <c r="DF2" s="74">
        <v>4.50019E-5</v>
      </c>
      <c r="DG2" s="74">
        <v>4.3335499999999999E-5</v>
      </c>
      <c r="DH2" s="74">
        <v>4.1730699999999997E-5</v>
      </c>
      <c r="DI2" s="74">
        <v>4.0185400000000003E-5</v>
      </c>
      <c r="DJ2" s="74">
        <v>3.8697199999999999E-5</v>
      </c>
      <c r="DK2" s="74">
        <v>3.7264200000000001E-5</v>
      </c>
      <c r="DL2" s="74">
        <v>3.5884199999999998E-5</v>
      </c>
      <c r="DM2" s="74">
        <v>3.4555199999999997E-5</v>
      </c>
      <c r="DN2" s="74">
        <v>3.3275499999999997E-5</v>
      </c>
      <c r="DO2" s="74">
        <v>3.2043199999999998E-5</v>
      </c>
      <c r="DP2" s="74">
        <v>3.0856399999999998E-5</v>
      </c>
      <c r="DQ2" s="74">
        <v>2.97136E-5</v>
      </c>
      <c r="DR2" s="74">
        <v>2.8613199999999999E-5</v>
      </c>
      <c r="DS2" s="74">
        <v>2.7553399999999999E-5</v>
      </c>
      <c r="DT2" s="74">
        <v>2.6532900000000001E-5</v>
      </c>
      <c r="DU2" s="74">
        <v>2.5550200000000001E-5</v>
      </c>
      <c r="DV2" s="74">
        <v>2.46039E-5</v>
      </c>
      <c r="DW2" s="74">
        <v>2.3692600000000001E-5</v>
      </c>
      <c r="DX2" s="74">
        <v>2.2815100000000001E-5</v>
      </c>
      <c r="DY2" s="74">
        <v>2.1970000000000001E-5</v>
      </c>
      <c r="DZ2" s="74">
        <v>2.1156299999999999E-5</v>
      </c>
      <c r="EA2" s="74">
        <v>2.0372699999999999E-5</v>
      </c>
      <c r="EB2" s="74">
        <v>1.9618100000000001E-5</v>
      </c>
      <c r="EC2" s="74">
        <v>1.88914E-5</v>
      </c>
      <c r="ED2" s="74">
        <v>1.8191700000000001E-5</v>
      </c>
      <c r="EE2" s="74">
        <v>1.75179E-5</v>
      </c>
      <c r="EF2" s="74">
        <v>1.6869000000000001E-5</v>
      </c>
      <c r="EG2" s="74">
        <v>1.6244199999999999E-5</v>
      </c>
      <c r="EH2" s="74">
        <v>1.5642500000000001E-5</v>
      </c>
      <c r="EI2" s="74">
        <v>1.50631E-5</v>
      </c>
      <c r="EJ2" s="74">
        <v>1.4505099999999999E-5</v>
      </c>
      <c r="EK2" s="74">
        <v>1.39678E-5</v>
      </c>
      <c r="EL2" s="74">
        <v>1.3450399999999999E-5</v>
      </c>
      <c r="EM2" s="74">
        <v>1.2952199999999999E-5</v>
      </c>
      <c r="EN2" s="74">
        <v>1.2472399999999999E-5</v>
      </c>
      <c r="EO2" s="74">
        <v>1.2010399999999999E-5</v>
      </c>
      <c r="EP2" s="74">
        <v>1.15655E-5</v>
      </c>
      <c r="EQ2" s="74">
        <v>1.11371E-5</v>
      </c>
      <c r="ER2" s="74">
        <v>1.0724600000000001E-5</v>
      </c>
      <c r="ES2" s="74">
        <v>1.03273E-5</v>
      </c>
      <c r="ET2" s="74">
        <v>9.9448000000000001E-6</v>
      </c>
      <c r="EU2" s="74">
        <v>9.5764000000000003E-6</v>
      </c>
      <c r="EV2" s="74">
        <v>9.2217000000000002E-6</v>
      </c>
      <c r="EW2" s="74">
        <v>8.8800999999999999E-6</v>
      </c>
      <c r="EX2" s="74">
        <v>8.5511000000000002E-6</v>
      </c>
      <c r="EY2" s="74">
        <v>8.2344000000000003E-6</v>
      </c>
      <c r="EZ2" s="74">
        <v>7.9293000000000005E-6</v>
      </c>
      <c r="FA2" s="74">
        <v>7.6356000000000002E-6</v>
      </c>
      <c r="FB2" s="74">
        <v>7.3528000000000001E-6</v>
      </c>
      <c r="FC2" s="74">
        <v>7.0804E-6</v>
      </c>
      <c r="FD2" s="74">
        <v>6.8181E-6</v>
      </c>
      <c r="FE2" s="74">
        <v>6.5656000000000003E-6</v>
      </c>
      <c r="FF2" s="74">
        <v>6.3222999999999996E-6</v>
      </c>
      <c r="FG2" s="74">
        <v>6.0881000000000002E-6</v>
      </c>
      <c r="FH2" s="74">
        <v>5.8626000000000004E-6</v>
      </c>
      <c r="FI2" s="74">
        <v>5.6454000000000002E-6</v>
      </c>
      <c r="FJ2" s="74">
        <v>5.4362999999999999E-6</v>
      </c>
      <c r="FK2" s="74">
        <v>5.2348999999999996E-6</v>
      </c>
      <c r="FL2" s="74">
        <v>5.0409999999999997E-6</v>
      </c>
      <c r="FM2" s="74">
        <v>4.8543000000000003E-6</v>
      </c>
      <c r="FN2" s="74">
        <v>4.6744999999999999E-6</v>
      </c>
      <c r="FO2" s="74">
        <v>4.5013000000000004E-6</v>
      </c>
      <c r="FP2" s="74">
        <v>4.3346E-6</v>
      </c>
      <c r="FQ2" s="74">
        <v>4.1740000000000002E-6</v>
      </c>
    </row>
    <row r="3" spans="1:173" x14ac:dyDescent="0.25">
      <c r="A3" s="76">
        <v>1</v>
      </c>
      <c r="B3" s="74">
        <v>2.0459760000000001E-4</v>
      </c>
      <c r="C3" s="74">
        <v>1.9754230000000001E-4</v>
      </c>
      <c r="D3" s="74">
        <v>1.907286E-4</v>
      </c>
      <c r="E3" s="74">
        <v>1.841484E-4</v>
      </c>
      <c r="F3" s="74">
        <v>1.7779370000000001E-4</v>
      </c>
      <c r="G3" s="74">
        <v>1.71657E-4</v>
      </c>
      <c r="H3" s="74">
        <v>1.6573090000000001E-4</v>
      </c>
      <c r="I3" s="74">
        <v>1.600083E-4</v>
      </c>
      <c r="J3" s="74">
        <v>1.5448219999999999E-4</v>
      </c>
      <c r="K3" s="74">
        <v>1.4914609999999999E-4</v>
      </c>
      <c r="L3" s="74">
        <v>1.439934E-4</v>
      </c>
      <c r="M3" s="74">
        <v>1.39018E-4</v>
      </c>
      <c r="N3" s="74">
        <v>1.342138E-4</v>
      </c>
      <c r="O3" s="74">
        <v>1.2957490000000001E-4</v>
      </c>
      <c r="P3" s="74">
        <v>1.2509580000000001E-4</v>
      </c>
      <c r="Q3" s="74">
        <v>1.20771E-4</v>
      </c>
      <c r="R3" s="74">
        <v>1.165952E-4</v>
      </c>
      <c r="S3" s="74">
        <v>1.1256329999999999E-4</v>
      </c>
      <c r="T3" s="74">
        <v>1.086704E-4</v>
      </c>
      <c r="U3" s="74">
        <v>1.049118E-4</v>
      </c>
      <c r="V3" s="74">
        <v>1.012828E-4</v>
      </c>
      <c r="W3" s="74">
        <v>9.7779E-5</v>
      </c>
      <c r="X3" s="74">
        <v>9.4396100000000002E-5</v>
      </c>
      <c r="Y3" s="74">
        <v>9.1130000000000003E-5</v>
      </c>
      <c r="Z3" s="74">
        <v>8.7976600000000001E-5</v>
      </c>
      <c r="AA3" s="74">
        <v>8.4932200000000007E-5</v>
      </c>
      <c r="AB3" s="74">
        <v>8.1992799999999999E-5</v>
      </c>
      <c r="AC3" s="74">
        <v>7.9155100000000004E-5</v>
      </c>
      <c r="AD3" s="74">
        <v>7.64153E-5</v>
      </c>
      <c r="AE3" s="74">
        <v>7.3770199999999994E-5</v>
      </c>
      <c r="AF3" s="74">
        <v>7.1216600000000005E-5</v>
      </c>
      <c r="AG3" s="74">
        <v>6.8751200000000007E-5</v>
      </c>
      <c r="AH3" s="74">
        <v>6.6371000000000005E-5</v>
      </c>
      <c r="AI3" s="74">
        <v>6.4073100000000002E-5</v>
      </c>
      <c r="AJ3" s="74">
        <v>6.1854700000000003E-5</v>
      </c>
      <c r="AK3" s="74">
        <v>5.9713000000000002E-5</v>
      </c>
      <c r="AL3" s="74">
        <v>5.7645300000000002E-5</v>
      </c>
      <c r="AM3" s="74">
        <v>5.5649200000000002E-5</v>
      </c>
      <c r="AN3" s="74">
        <v>5.3722099999999998E-5</v>
      </c>
      <c r="AO3" s="74">
        <v>5.1861699999999998E-5</v>
      </c>
      <c r="AP3" s="74">
        <v>5.0065599999999997E-5</v>
      </c>
      <c r="AQ3" s="74">
        <v>4.8331699999999997E-5</v>
      </c>
      <c r="AR3" s="74">
        <v>4.6657799999999999E-5</v>
      </c>
      <c r="AS3" s="74">
        <v>4.50418E-5</v>
      </c>
      <c r="AT3" s="74">
        <v>4.3481800000000001E-5</v>
      </c>
      <c r="AU3" s="74">
        <v>4.1975699999999999E-5</v>
      </c>
      <c r="AV3" s="74">
        <v>4.0521800000000002E-5</v>
      </c>
      <c r="AW3" s="74">
        <v>3.9118200000000001E-5</v>
      </c>
      <c r="AX3" s="74">
        <v>3.7763199999999998E-5</v>
      </c>
      <c r="AY3" s="74">
        <v>3.6455100000000003E-5</v>
      </c>
      <c r="AZ3" s="74">
        <v>3.5192199999999998E-5</v>
      </c>
      <c r="BA3" s="74">
        <v>3.3973100000000002E-5</v>
      </c>
      <c r="BB3" s="74">
        <v>3.2796200000000003E-5</v>
      </c>
      <c r="BC3" s="74">
        <v>3.1660099999999999E-5</v>
      </c>
      <c r="BD3" s="74">
        <v>3.0563299999999999E-5</v>
      </c>
      <c r="BE3" s="74">
        <v>2.9504499999999998E-5</v>
      </c>
      <c r="BF3" s="74">
        <v>2.84823E-5</v>
      </c>
      <c r="BG3" s="74">
        <v>2.7495600000000001E-5</v>
      </c>
      <c r="BH3" s="74">
        <v>2.6543E-5</v>
      </c>
      <c r="BI3" s="74">
        <v>2.5623399999999999E-5</v>
      </c>
      <c r="BJ3" s="74">
        <v>2.4735700000000001E-5</v>
      </c>
      <c r="BK3" s="74">
        <v>2.3878699999999999E-5</v>
      </c>
      <c r="BL3" s="74">
        <v>2.3051400000000001E-5</v>
      </c>
      <c r="BM3" s="74">
        <v>2.2252700000000001E-5</v>
      </c>
      <c r="BN3" s="74">
        <v>2.1481700000000001E-5</v>
      </c>
      <c r="BO3" s="74">
        <v>2.0737399999999999E-5</v>
      </c>
      <c r="BP3" s="74">
        <v>2.0018899999999999E-5</v>
      </c>
      <c r="BQ3" s="74">
        <v>1.9325299999999999E-5</v>
      </c>
      <c r="BR3" s="74">
        <v>1.8655700000000002E-5</v>
      </c>
      <c r="BS3" s="74">
        <v>1.8009300000000001E-5</v>
      </c>
      <c r="BT3" s="74">
        <v>1.7385300000000001E-5</v>
      </c>
      <c r="BU3" s="74">
        <v>1.6782900000000002E-5</v>
      </c>
      <c r="BV3" s="74">
        <v>1.62014E-5</v>
      </c>
      <c r="BW3" s="74">
        <v>1.5639999999999999E-5</v>
      </c>
      <c r="BX3" s="74">
        <v>1.50981E-5</v>
      </c>
      <c r="BY3" s="74">
        <v>1.4575E-5</v>
      </c>
      <c r="BZ3" s="74">
        <v>1.4069900000000001E-5</v>
      </c>
      <c r="CA3" s="74">
        <v>1.3582400000000001E-5</v>
      </c>
      <c r="CB3" s="74">
        <v>1.31118E-5</v>
      </c>
      <c r="CC3" s="74">
        <v>1.26574E-5</v>
      </c>
      <c r="CD3" s="74">
        <v>1.2218899999999999E-5</v>
      </c>
      <c r="CE3" s="74">
        <v>1.1795500000000001E-5</v>
      </c>
      <c r="CF3" s="74">
        <v>1.1386700000000001E-5</v>
      </c>
      <c r="CG3" s="74">
        <v>1.09922E-5</v>
      </c>
      <c r="CH3" s="74">
        <v>1.06113E-5</v>
      </c>
      <c r="CI3" s="74">
        <v>1.02436E-5</v>
      </c>
      <c r="CJ3" s="74">
        <v>9.8886000000000005E-6</v>
      </c>
      <c r="CK3" s="74">
        <v>9.5459999999999997E-6</v>
      </c>
      <c r="CL3" s="74">
        <v>9.2151999999999995E-6</v>
      </c>
      <c r="CM3" s="74">
        <v>8.8959000000000007E-6</v>
      </c>
      <c r="CN3" s="74">
        <v>8.5876000000000006E-6</v>
      </c>
      <c r="CO3" s="74">
        <v>8.2900000000000002E-6</v>
      </c>
      <c r="CP3" s="74">
        <v>8.0028000000000007E-6</v>
      </c>
      <c r="CQ3" s="74">
        <v>7.7255000000000008E-6</v>
      </c>
      <c r="CR3" s="74">
        <v>7.4578E-6</v>
      </c>
      <c r="CS3" s="74">
        <v>7.1992999999999998E-6</v>
      </c>
      <c r="CT3" s="74">
        <v>6.9499000000000002E-6</v>
      </c>
      <c r="CU3" s="74">
        <v>6.7089999999999996E-6</v>
      </c>
      <c r="CV3" s="74">
        <v>6.4764999999999997E-6</v>
      </c>
      <c r="CW3" s="74">
        <v>6.2520999999999998E-6</v>
      </c>
      <c r="CX3" s="74">
        <v>6.0355000000000001E-6</v>
      </c>
      <c r="CY3" s="74">
        <v>5.8262999999999996E-6</v>
      </c>
      <c r="CZ3" s="74">
        <v>5.6243999999999999E-6</v>
      </c>
      <c r="DA3" s="74">
        <v>5.4295000000000003E-6</v>
      </c>
      <c r="DB3" s="74">
        <v>5.2414000000000003E-6</v>
      </c>
      <c r="DC3" s="74">
        <v>5.0597E-6</v>
      </c>
      <c r="DD3" s="74">
        <v>4.8844000000000002E-6</v>
      </c>
      <c r="DE3" s="74">
        <v>4.7152000000000002E-6</v>
      </c>
      <c r="DF3" s="74">
        <v>4.5518000000000002E-6</v>
      </c>
      <c r="DG3" s="74">
        <v>4.3939999999999998E-6</v>
      </c>
      <c r="DH3" s="74">
        <v>4.2417999999999998E-6</v>
      </c>
      <c r="DI3" s="74">
        <v>4.0948000000000002E-6</v>
      </c>
      <c r="DJ3" s="74">
        <v>3.9528999999999999E-6</v>
      </c>
      <c r="DK3" s="74">
        <v>3.8159000000000002E-6</v>
      </c>
      <c r="DL3" s="74">
        <v>3.6837E-6</v>
      </c>
      <c r="DM3" s="74">
        <v>3.5559999999999999E-6</v>
      </c>
      <c r="DN3" s="74">
        <v>3.4328E-6</v>
      </c>
      <c r="DO3" s="74">
        <v>3.3137999999999999E-6</v>
      </c>
      <c r="DP3" s="74">
        <v>3.1990000000000002E-6</v>
      </c>
      <c r="DQ3" s="74">
        <v>3.0881000000000001E-6</v>
      </c>
      <c r="DR3" s="74">
        <v>2.9811000000000001E-6</v>
      </c>
      <c r="DS3" s="74">
        <v>2.8777999999999998E-6</v>
      </c>
      <c r="DT3" s="74">
        <v>2.7781000000000001E-6</v>
      </c>
      <c r="DU3" s="74">
        <v>2.6817999999999999E-6</v>
      </c>
      <c r="DV3" s="74">
        <v>2.5888999999999999E-6</v>
      </c>
      <c r="DW3" s="74">
        <v>2.4992000000000001E-6</v>
      </c>
      <c r="DX3" s="74">
        <v>2.4126E-6</v>
      </c>
      <c r="DY3" s="74">
        <v>2.3290000000000001E-6</v>
      </c>
      <c r="DZ3" s="74">
        <v>2.2483000000000001E-6</v>
      </c>
      <c r="EA3" s="74">
        <v>2.1704E-6</v>
      </c>
      <c r="EB3" s="74">
        <v>2.0951000000000001E-6</v>
      </c>
      <c r="EC3" s="74">
        <v>2.0225000000000001E-6</v>
      </c>
      <c r="ED3" s="74">
        <v>1.9524999999999999E-6</v>
      </c>
      <c r="EE3" s="74">
        <v>1.8847999999999999E-6</v>
      </c>
      <c r="EF3" s="74">
        <v>1.8194999999999999E-6</v>
      </c>
      <c r="EG3" s="74">
        <v>1.7564E-6</v>
      </c>
      <c r="EH3" s="74">
        <v>1.6955999999999999E-6</v>
      </c>
      <c r="EI3" s="74">
        <v>1.6367999999999999E-6</v>
      </c>
      <c r="EJ3" s="74">
        <v>1.5800999999999999E-6</v>
      </c>
      <c r="EK3" s="74">
        <v>1.5253E-6</v>
      </c>
      <c r="EL3" s="74">
        <v>1.4725000000000001E-6</v>
      </c>
      <c r="EM3" s="74">
        <v>1.4214000000000001E-6</v>
      </c>
      <c r="EN3" s="74">
        <v>1.3722E-6</v>
      </c>
      <c r="EO3" s="74">
        <v>1.3246E-6</v>
      </c>
      <c r="EP3" s="74">
        <v>1.2786999999999999E-6</v>
      </c>
      <c r="EQ3" s="74">
        <v>1.2344E-6</v>
      </c>
      <c r="ER3" s="74">
        <v>1.1915999999999999E-6</v>
      </c>
      <c r="ES3" s="74">
        <v>1.1504E-6</v>
      </c>
      <c r="ET3" s="74">
        <v>1.1105E-6</v>
      </c>
      <c r="EU3" s="74">
        <v>1.0720000000000001E-6</v>
      </c>
      <c r="EV3" s="74">
        <v>1.0349E-6</v>
      </c>
      <c r="EW3" s="74">
        <v>9.9900000000000009E-7</v>
      </c>
      <c r="EX3" s="74">
        <v>9.6440000000000003E-7</v>
      </c>
      <c r="EY3" s="74">
        <v>9.3099999999999996E-7</v>
      </c>
      <c r="EZ3" s="74">
        <v>8.9869999999999997E-7</v>
      </c>
      <c r="FA3" s="74">
        <v>8.6759999999999996E-7</v>
      </c>
      <c r="FB3" s="74">
        <v>8.3750000000000003E-7</v>
      </c>
      <c r="FC3" s="74">
        <v>8.0849999999999997E-7</v>
      </c>
      <c r="FD3" s="74">
        <v>7.8049999999999998E-7</v>
      </c>
      <c r="FE3" s="74">
        <v>7.5339999999999996E-7</v>
      </c>
      <c r="FF3" s="74">
        <v>7.2730000000000001E-7</v>
      </c>
      <c r="FG3" s="74">
        <v>7.0210000000000002E-7</v>
      </c>
      <c r="FH3" s="74">
        <v>6.7779999999999999E-7</v>
      </c>
      <c r="FI3" s="74">
        <v>6.5430000000000003E-7</v>
      </c>
      <c r="FJ3" s="74">
        <v>6.3160000000000002E-7</v>
      </c>
      <c r="FK3" s="74">
        <v>6.0969999999999996E-7</v>
      </c>
      <c r="FL3" s="74">
        <v>5.8859999999999996E-7</v>
      </c>
      <c r="FM3" s="74">
        <v>5.6820000000000002E-7</v>
      </c>
      <c r="FN3" s="74">
        <v>5.4850000000000002E-7</v>
      </c>
      <c r="FO3" s="74">
        <v>5.2949999999999997E-7</v>
      </c>
      <c r="FP3" s="74">
        <v>5.1109999999999996E-7</v>
      </c>
      <c r="FQ3" s="74">
        <v>4.9340000000000001E-7</v>
      </c>
    </row>
    <row r="4" spans="1:173" x14ac:dyDescent="0.25">
      <c r="A4" s="76">
        <v>2</v>
      </c>
      <c r="B4" s="74">
        <v>1.0661070000000001E-4</v>
      </c>
      <c r="C4" s="74">
        <v>1.0259350000000001E-4</v>
      </c>
      <c r="D4" s="74">
        <v>9.8734399999999994E-5</v>
      </c>
      <c r="E4" s="74">
        <v>9.5026500000000002E-5</v>
      </c>
      <c r="F4" s="74">
        <v>9.1463400000000003E-5</v>
      </c>
      <c r="G4" s="74">
        <v>8.8039000000000002E-5</v>
      </c>
      <c r="H4" s="74">
        <v>8.4747399999999994E-5</v>
      </c>
      <c r="I4" s="74">
        <v>8.1583100000000002E-5</v>
      </c>
      <c r="J4" s="74">
        <v>7.8540800000000005E-5</v>
      </c>
      <c r="K4" s="74">
        <v>7.5615499999999995E-5</v>
      </c>
      <c r="L4" s="74">
        <v>7.2802300000000006E-5</v>
      </c>
      <c r="M4" s="74">
        <v>7.0096699999999996E-5</v>
      </c>
      <c r="N4" s="74">
        <v>6.7494299999999995E-5</v>
      </c>
      <c r="O4" s="74">
        <v>6.4991000000000002E-5</v>
      </c>
      <c r="P4" s="74">
        <v>6.2582800000000007E-5</v>
      </c>
      <c r="Q4" s="74">
        <v>6.0265900000000002E-5</v>
      </c>
      <c r="R4" s="74">
        <v>5.8036599999999999E-5</v>
      </c>
      <c r="S4" s="74">
        <v>5.5891399999999998E-5</v>
      </c>
      <c r="T4" s="74">
        <v>5.3827099999999998E-5</v>
      </c>
      <c r="U4" s="74">
        <v>5.1840499999999999E-5</v>
      </c>
      <c r="V4" s="74">
        <v>4.9928500000000001E-5</v>
      </c>
      <c r="W4" s="74">
        <v>4.8088099999999998E-5</v>
      </c>
      <c r="X4" s="74">
        <v>4.6316700000000003E-5</v>
      </c>
      <c r="Y4" s="74">
        <v>4.4611599999999998E-5</v>
      </c>
      <c r="Z4" s="74">
        <v>4.2970099999999997E-5</v>
      </c>
      <c r="AA4" s="74">
        <v>4.1389800000000001E-5</v>
      </c>
      <c r="AB4" s="74">
        <v>3.9868399999999999E-5</v>
      </c>
      <c r="AC4" s="74">
        <v>3.8403599999999999E-5</v>
      </c>
      <c r="AD4" s="74">
        <v>3.6993299999999997E-5</v>
      </c>
      <c r="AE4" s="74">
        <v>3.5635300000000001E-5</v>
      </c>
      <c r="AF4" s="74">
        <v>3.43277E-5</v>
      </c>
      <c r="AG4" s="74">
        <v>3.3068599999999997E-5</v>
      </c>
      <c r="AH4" s="74">
        <v>3.1856100000000002E-5</v>
      </c>
      <c r="AI4" s="74">
        <v>3.0688400000000003E-5</v>
      </c>
      <c r="AJ4" s="74">
        <v>2.95639E-5</v>
      </c>
      <c r="AK4" s="74">
        <v>2.8481000000000001E-5</v>
      </c>
      <c r="AL4" s="74">
        <v>2.7438000000000001E-5</v>
      </c>
      <c r="AM4" s="74">
        <v>2.64335E-5</v>
      </c>
      <c r="AN4" s="74">
        <v>2.5466E-5</v>
      </c>
      <c r="AO4" s="74">
        <v>2.45342E-5</v>
      </c>
      <c r="AP4" s="74">
        <v>2.36366E-5</v>
      </c>
      <c r="AQ4" s="74">
        <v>2.2772099999999998E-5</v>
      </c>
      <c r="AR4" s="74">
        <v>2.1939399999999999E-5</v>
      </c>
      <c r="AS4" s="74">
        <v>2.1137299999999998E-5</v>
      </c>
      <c r="AT4" s="74">
        <v>2.0364699999999998E-5</v>
      </c>
      <c r="AU4" s="74">
        <v>1.96205E-5</v>
      </c>
      <c r="AV4" s="74">
        <v>1.89036E-5</v>
      </c>
      <c r="AW4" s="74">
        <v>1.82129E-5</v>
      </c>
      <c r="AX4" s="74">
        <v>1.7547700000000001E-5</v>
      </c>
      <c r="AY4" s="74">
        <v>1.6906799999999999E-5</v>
      </c>
      <c r="AZ4" s="74">
        <v>1.62894E-5</v>
      </c>
      <c r="BA4" s="74">
        <v>1.56946E-5</v>
      </c>
      <c r="BB4" s="74">
        <v>1.5121599999999999E-5</v>
      </c>
      <c r="BC4" s="74">
        <v>1.45696E-5</v>
      </c>
      <c r="BD4" s="74">
        <v>1.40379E-5</v>
      </c>
      <c r="BE4" s="74">
        <v>1.35255E-5</v>
      </c>
      <c r="BF4" s="74">
        <v>1.3032E-5</v>
      </c>
      <c r="BG4" s="74">
        <v>1.2556500000000001E-5</v>
      </c>
      <c r="BH4" s="74">
        <v>1.2098300000000001E-5</v>
      </c>
      <c r="BI4" s="74">
        <v>1.1657E-5</v>
      </c>
      <c r="BJ4" s="74">
        <v>1.12317E-5</v>
      </c>
      <c r="BK4" s="74">
        <v>1.0822000000000001E-5</v>
      </c>
      <c r="BL4" s="74">
        <v>1.0427299999999999E-5</v>
      </c>
      <c r="BM4" s="74">
        <v>1.0047000000000001E-5</v>
      </c>
      <c r="BN4" s="74">
        <v>9.6806000000000001E-6</v>
      </c>
      <c r="BO4" s="74">
        <v>9.3276000000000003E-6</v>
      </c>
      <c r="BP4" s="74">
        <v>8.9874999999999999E-6</v>
      </c>
      <c r="BQ4" s="74">
        <v>8.6597999999999997E-6</v>
      </c>
      <c r="BR4" s="74">
        <v>8.3441000000000003E-6</v>
      </c>
      <c r="BS4" s="74">
        <v>8.0399000000000007E-6</v>
      </c>
      <c r="BT4" s="74">
        <v>7.7466999999999999E-6</v>
      </c>
      <c r="BU4" s="74">
        <v>7.4642999999999998E-6</v>
      </c>
      <c r="BV4" s="74">
        <v>7.1922000000000004E-6</v>
      </c>
      <c r="BW4" s="74">
        <v>6.9300999999999999E-6</v>
      </c>
      <c r="BX4" s="74">
        <v>6.6775E-6</v>
      </c>
      <c r="BY4" s="74">
        <v>6.4340999999999999E-6</v>
      </c>
      <c r="BZ4" s="74">
        <v>6.1995999999999999E-6</v>
      </c>
      <c r="CA4" s="74">
        <v>5.9735999999999999E-6</v>
      </c>
      <c r="CB4" s="74">
        <v>5.7559000000000002E-6</v>
      </c>
      <c r="CC4" s="74">
        <v>5.5462000000000004E-6</v>
      </c>
      <c r="CD4" s="74">
        <v>5.344E-6</v>
      </c>
      <c r="CE4" s="74">
        <v>5.1493E-6</v>
      </c>
      <c r="CF4" s="74">
        <v>4.9616000000000001E-6</v>
      </c>
      <c r="CG4" s="74">
        <v>4.7808E-6</v>
      </c>
      <c r="CH4" s="74">
        <v>4.6066000000000001E-6</v>
      </c>
      <c r="CI4" s="74">
        <v>4.4387999999999998E-6</v>
      </c>
      <c r="CJ4" s="74">
        <v>4.2769999999999999E-6</v>
      </c>
      <c r="CK4" s="74">
        <v>4.1211999999999996E-6</v>
      </c>
      <c r="CL4" s="74">
        <v>3.9709999999999998E-6</v>
      </c>
      <c r="CM4" s="74">
        <v>3.8263000000000001E-6</v>
      </c>
      <c r="CN4" s="74">
        <v>3.6868999999999998E-6</v>
      </c>
      <c r="CO4" s="74">
        <v>3.5526000000000001E-6</v>
      </c>
      <c r="CP4" s="74">
        <v>3.4232000000000001E-6</v>
      </c>
      <c r="CQ4" s="74">
        <v>3.2984E-6</v>
      </c>
      <c r="CR4" s="74">
        <v>3.1783000000000001E-6</v>
      </c>
      <c r="CS4" s="74">
        <v>3.0624999999999999E-6</v>
      </c>
      <c r="CT4" s="74">
        <v>2.9509E-6</v>
      </c>
      <c r="CU4" s="74">
        <v>2.8434000000000002E-6</v>
      </c>
      <c r="CV4" s="74">
        <v>2.7398E-6</v>
      </c>
      <c r="CW4" s="74">
        <v>2.6400000000000001E-6</v>
      </c>
      <c r="CX4" s="74">
        <v>2.5438000000000001E-6</v>
      </c>
      <c r="CY4" s="74">
        <v>2.4511000000000001E-6</v>
      </c>
      <c r="CZ4" s="74">
        <v>2.3619000000000002E-6</v>
      </c>
      <c r="DA4" s="74">
        <v>2.2757999999999999E-6</v>
      </c>
      <c r="DB4" s="74">
        <v>2.1928999999999998E-6</v>
      </c>
      <c r="DC4" s="74">
        <v>2.1129999999999999E-6</v>
      </c>
      <c r="DD4" s="74">
        <v>2.0360000000000001E-6</v>
      </c>
      <c r="DE4" s="74">
        <v>1.9618999999999998E-6</v>
      </c>
      <c r="DF4" s="74">
        <v>1.8903999999999999E-6</v>
      </c>
      <c r="DG4" s="74">
        <v>1.8215000000000001E-6</v>
      </c>
      <c r="DH4" s="74">
        <v>1.7551999999999999E-6</v>
      </c>
      <c r="DI4" s="74">
        <v>1.6913E-6</v>
      </c>
      <c r="DJ4" s="74">
        <v>1.6296E-6</v>
      </c>
      <c r="DK4" s="74">
        <v>1.5703E-6</v>
      </c>
      <c r="DL4" s="74">
        <v>1.5131E-6</v>
      </c>
      <c r="DM4" s="74">
        <v>1.4580000000000001E-6</v>
      </c>
      <c r="DN4" s="74">
        <v>1.4049000000000001E-6</v>
      </c>
      <c r="DO4" s="74">
        <v>1.3537000000000001E-6</v>
      </c>
      <c r="DP4" s="74">
        <v>1.3044E-6</v>
      </c>
      <c r="DQ4" s="74">
        <v>1.2569E-6</v>
      </c>
      <c r="DR4" s="74">
        <v>1.2110999999999999E-6</v>
      </c>
      <c r="DS4" s="74">
        <v>1.167E-6</v>
      </c>
      <c r="DT4" s="74">
        <v>1.1245E-6</v>
      </c>
      <c r="DU4" s="74">
        <v>1.0835000000000001E-6</v>
      </c>
      <c r="DV4" s="74">
        <v>1.0440000000000001E-6</v>
      </c>
      <c r="DW4" s="74">
        <v>1.006E-6</v>
      </c>
      <c r="DX4" s="74">
        <v>9.6939999999999999E-7</v>
      </c>
      <c r="DY4" s="74">
        <v>9.3399999999999997E-7</v>
      </c>
      <c r="DZ4" s="74">
        <v>8.9999999999999996E-7</v>
      </c>
      <c r="EA4" s="74">
        <v>8.6720000000000004E-7</v>
      </c>
      <c r="EB4" s="74">
        <v>8.3559999999999999E-7</v>
      </c>
      <c r="EC4" s="74">
        <v>8.0520000000000004E-7</v>
      </c>
      <c r="ED4" s="74">
        <v>7.7589999999999995E-7</v>
      </c>
      <c r="EE4" s="74">
        <v>7.4760000000000005E-7</v>
      </c>
      <c r="EF4" s="74">
        <v>7.2040000000000002E-7</v>
      </c>
      <c r="EG4" s="74">
        <v>6.9409999999999995E-7</v>
      </c>
      <c r="EH4" s="74">
        <v>6.6889999999999996E-7</v>
      </c>
      <c r="EI4" s="74">
        <v>6.4450000000000003E-7</v>
      </c>
      <c r="EJ4" s="74">
        <v>6.2099999999999996E-7</v>
      </c>
      <c r="EK4" s="74">
        <v>5.9839999999999996E-7</v>
      </c>
      <c r="EL4" s="74">
        <v>5.7660000000000001E-7</v>
      </c>
      <c r="EM4" s="74">
        <v>5.5560000000000003E-7</v>
      </c>
      <c r="EN4" s="74">
        <v>5.3539999999999999E-7</v>
      </c>
      <c r="EO4" s="74">
        <v>5.1590000000000001E-7</v>
      </c>
      <c r="EP4" s="74">
        <v>4.9709999999999997E-7</v>
      </c>
      <c r="EQ4" s="74">
        <v>4.7899999999999999E-7</v>
      </c>
      <c r="ER4" s="74">
        <v>4.615E-7</v>
      </c>
      <c r="ES4" s="74">
        <v>4.447E-7</v>
      </c>
      <c r="ET4" s="74">
        <v>4.2850000000000001E-7</v>
      </c>
      <c r="EU4" s="74">
        <v>4.129E-7</v>
      </c>
      <c r="EV4" s="74">
        <v>3.9789999999999998E-7</v>
      </c>
      <c r="EW4" s="74">
        <v>3.8340000000000001E-7</v>
      </c>
      <c r="EX4" s="74">
        <v>3.6940000000000001E-7</v>
      </c>
      <c r="EY4" s="74">
        <v>3.5600000000000001E-7</v>
      </c>
      <c r="EZ4" s="74">
        <v>3.4299999999999999E-7</v>
      </c>
      <c r="FA4" s="74">
        <v>3.305E-7</v>
      </c>
      <c r="FB4" s="74">
        <v>3.185E-7</v>
      </c>
      <c r="FC4" s="74">
        <v>3.0689999999999998E-7</v>
      </c>
      <c r="FD4" s="74">
        <v>2.9569999999999998E-7</v>
      </c>
      <c r="FE4" s="74">
        <v>2.8490000000000002E-7</v>
      </c>
      <c r="FF4" s="74">
        <v>2.7449999999999998E-7</v>
      </c>
      <c r="FG4" s="74">
        <v>2.6450000000000002E-7</v>
      </c>
      <c r="FH4" s="74">
        <v>2.5489999999999999E-7</v>
      </c>
      <c r="FI4" s="74">
        <v>2.4559999999999998E-7</v>
      </c>
      <c r="FJ4" s="74">
        <v>2.367E-7</v>
      </c>
      <c r="FK4" s="74">
        <v>2.28E-7</v>
      </c>
      <c r="FL4" s="74">
        <v>2.1969999999999999E-7</v>
      </c>
      <c r="FM4" s="74">
        <v>2.117E-7</v>
      </c>
      <c r="FN4" s="74">
        <v>2.04E-7</v>
      </c>
      <c r="FO4" s="74">
        <v>1.966E-7</v>
      </c>
      <c r="FP4" s="74">
        <v>1.8939999999999999E-7</v>
      </c>
      <c r="FQ4" s="74">
        <v>1.825E-7</v>
      </c>
    </row>
    <row r="5" spans="1:173" x14ac:dyDescent="0.25">
      <c r="A5" s="76">
        <v>3</v>
      </c>
      <c r="B5" s="74">
        <v>8.2056400000000003E-5</v>
      </c>
      <c r="C5" s="74">
        <v>7.9064699999999995E-5</v>
      </c>
      <c r="D5" s="74">
        <v>7.6181300000000002E-5</v>
      </c>
      <c r="E5" s="74">
        <v>7.34022E-5</v>
      </c>
      <c r="F5" s="74">
        <v>7.0723900000000002E-5</v>
      </c>
      <c r="G5" s="74">
        <v>6.8142699999999994E-5</v>
      </c>
      <c r="H5" s="74">
        <v>6.5655100000000001E-5</v>
      </c>
      <c r="I5" s="74">
        <v>6.3257799999999996E-5</v>
      </c>
      <c r="J5" s="74">
        <v>6.0947499999999999E-5</v>
      </c>
      <c r="K5" s="74">
        <v>5.8721200000000003E-5</v>
      </c>
      <c r="L5" s="74">
        <v>5.6575800000000001E-5</v>
      </c>
      <c r="M5" s="74">
        <v>5.4508500000000002E-5</v>
      </c>
      <c r="N5" s="74">
        <v>5.2516299999999997E-5</v>
      </c>
      <c r="O5" s="74">
        <v>5.0596700000000003E-5</v>
      </c>
      <c r="P5" s="74">
        <v>4.8746899999999999E-5</v>
      </c>
      <c r="Q5" s="74">
        <v>4.6964500000000001E-5</v>
      </c>
      <c r="R5" s="74">
        <v>4.5247100000000003E-5</v>
      </c>
      <c r="S5" s="74">
        <v>4.3592199999999999E-5</v>
      </c>
      <c r="T5" s="74">
        <v>4.1997699999999999E-5</v>
      </c>
      <c r="U5" s="74">
        <v>4.0461299999999998E-5</v>
      </c>
      <c r="V5" s="74">
        <v>3.8980999999999998E-5</v>
      </c>
      <c r="W5" s="74">
        <v>3.7554700000000001E-5</v>
      </c>
      <c r="X5" s="74">
        <v>3.6180399999999997E-5</v>
      </c>
      <c r="Y5" s="74">
        <v>3.48563E-5</v>
      </c>
      <c r="Z5" s="74">
        <v>3.3580600000000002E-5</v>
      </c>
      <c r="AA5" s="74">
        <v>3.2351400000000003E-5</v>
      </c>
      <c r="AB5" s="74">
        <v>3.1167200000000002E-5</v>
      </c>
      <c r="AC5" s="74">
        <v>3.0026200000000001E-5</v>
      </c>
      <c r="AD5" s="74">
        <v>2.8926899999999999E-5</v>
      </c>
      <c r="AE5" s="74">
        <v>2.7867700000000001E-5</v>
      </c>
      <c r="AF5" s="74">
        <v>2.68473E-5</v>
      </c>
      <c r="AG5" s="74">
        <v>2.5864199999999999E-5</v>
      </c>
      <c r="AH5" s="74">
        <v>2.4916999999999999E-5</v>
      </c>
      <c r="AI5" s="74">
        <v>2.40045E-5</v>
      </c>
      <c r="AJ5" s="74">
        <v>2.31253E-5</v>
      </c>
      <c r="AK5" s="74">
        <v>2.22783E-5</v>
      </c>
      <c r="AL5" s="74">
        <v>2.1462299999999999E-5</v>
      </c>
      <c r="AM5" s="74">
        <v>2.06762E-5</v>
      </c>
      <c r="AN5" s="74">
        <v>1.99188E-5</v>
      </c>
      <c r="AO5" s="74">
        <v>1.9189099999999999E-5</v>
      </c>
      <c r="AP5" s="74">
        <v>1.8486099999999999E-5</v>
      </c>
      <c r="AQ5" s="74">
        <v>1.7808900000000002E-5</v>
      </c>
      <c r="AR5" s="74">
        <v>1.7156400000000001E-5</v>
      </c>
      <c r="AS5" s="74">
        <v>1.6527800000000001E-5</v>
      </c>
      <c r="AT5" s="74">
        <v>1.5922299999999998E-5</v>
      </c>
      <c r="AU5" s="74">
        <v>1.53389E-5</v>
      </c>
      <c r="AV5" s="74">
        <v>1.4776800000000001E-5</v>
      </c>
      <c r="AW5" s="74">
        <v>1.4235399999999999E-5</v>
      </c>
      <c r="AX5" s="74">
        <v>1.3713800000000001E-5</v>
      </c>
      <c r="AY5" s="74">
        <v>1.32112E-5</v>
      </c>
      <c r="AZ5" s="74">
        <v>1.2727100000000001E-5</v>
      </c>
      <c r="BA5" s="74">
        <v>1.2260699999999999E-5</v>
      </c>
      <c r="BB5" s="74">
        <v>1.18114E-5</v>
      </c>
      <c r="BC5" s="74">
        <v>1.13786E-5</v>
      </c>
      <c r="BD5" s="74">
        <v>1.09616E-5</v>
      </c>
      <c r="BE5" s="74">
        <v>1.05599E-5</v>
      </c>
      <c r="BF5" s="74">
        <v>1.01729E-5</v>
      </c>
      <c r="BG5" s="74">
        <v>9.7999999999999993E-6</v>
      </c>
      <c r="BH5" s="74">
        <v>9.4408999999999997E-6</v>
      </c>
      <c r="BI5" s="74">
        <v>9.0947999999999997E-6</v>
      </c>
      <c r="BJ5" s="74">
        <v>8.7615000000000007E-6</v>
      </c>
      <c r="BK5" s="74">
        <v>8.4403999999999997E-6</v>
      </c>
      <c r="BL5" s="74">
        <v>8.1310000000000006E-6</v>
      </c>
      <c r="BM5" s="74">
        <v>7.8329999999999994E-6</v>
      </c>
      <c r="BN5" s="74">
        <v>7.5459E-6</v>
      </c>
      <c r="BO5" s="74">
        <v>7.2693E-6</v>
      </c>
      <c r="BP5" s="74">
        <v>7.0029000000000003E-6</v>
      </c>
      <c r="BQ5" s="74">
        <v>6.7461999999999999E-6</v>
      </c>
      <c r="BR5" s="74">
        <v>6.4988999999999997E-6</v>
      </c>
      <c r="BS5" s="74">
        <v>6.2607E-6</v>
      </c>
      <c r="BT5" s="74">
        <v>6.0312E-6</v>
      </c>
      <c r="BU5" s="74">
        <v>5.8101999999999999E-6</v>
      </c>
      <c r="BV5" s="74">
        <v>5.5972000000000004E-6</v>
      </c>
      <c r="BW5" s="74">
        <v>5.3920000000000002E-6</v>
      </c>
      <c r="BX5" s="74">
        <v>5.1943999999999998E-6</v>
      </c>
      <c r="BY5" s="74">
        <v>5.0039999999999999E-6</v>
      </c>
      <c r="BZ5" s="74">
        <v>4.8206000000000001E-6</v>
      </c>
      <c r="CA5" s="74">
        <v>4.6438999999999997E-6</v>
      </c>
      <c r="CB5" s="74">
        <v>4.4735999999999998E-6</v>
      </c>
      <c r="CC5" s="74">
        <v>4.3096000000000002E-6</v>
      </c>
      <c r="CD5" s="74">
        <v>4.1517000000000004E-6</v>
      </c>
      <c r="CE5" s="74">
        <v>3.9995000000000004E-6</v>
      </c>
      <c r="CF5" s="74">
        <v>3.8529E-6</v>
      </c>
      <c r="CG5" s="74">
        <v>3.7116000000000002E-6</v>
      </c>
      <c r="CH5" s="74">
        <v>3.5756000000000001E-6</v>
      </c>
      <c r="CI5" s="74">
        <v>3.4444999999999998E-6</v>
      </c>
      <c r="CJ5" s="74">
        <v>3.3181999999999998E-6</v>
      </c>
      <c r="CK5" s="74">
        <v>3.1966E-6</v>
      </c>
      <c r="CL5" s="74">
        <v>3.0794000000000001E-6</v>
      </c>
      <c r="CM5" s="74">
        <v>2.9664999999999999E-6</v>
      </c>
      <c r="CN5" s="74">
        <v>2.8578E-6</v>
      </c>
      <c r="CO5" s="74">
        <v>2.7530000000000002E-6</v>
      </c>
      <c r="CP5" s="74">
        <v>2.6521E-6</v>
      </c>
      <c r="CQ5" s="74">
        <v>2.5548999999999999E-6</v>
      </c>
      <c r="CR5" s="74">
        <v>2.4611999999999998E-6</v>
      </c>
      <c r="CS5" s="74">
        <v>2.3709999999999998E-6</v>
      </c>
      <c r="CT5" s="74">
        <v>2.2840999999999999E-6</v>
      </c>
      <c r="CU5" s="74">
        <v>2.2004000000000001E-6</v>
      </c>
      <c r="CV5" s="74">
        <v>2.1196999999999998E-6</v>
      </c>
      <c r="CW5" s="74">
        <v>2.0420000000000001E-6</v>
      </c>
      <c r="CX5" s="74">
        <v>1.9671000000000002E-6</v>
      </c>
      <c r="CY5" s="74">
        <v>1.8950000000000001E-6</v>
      </c>
      <c r="CZ5" s="74">
        <v>1.8255999999999999E-6</v>
      </c>
      <c r="DA5" s="74">
        <v>1.7586E-6</v>
      </c>
      <c r="DB5" s="74">
        <v>1.6942E-6</v>
      </c>
      <c r="DC5" s="74">
        <v>1.6321E-6</v>
      </c>
      <c r="DD5" s="74">
        <v>1.5722E-6</v>
      </c>
      <c r="DE5" s="74">
        <v>1.5146000000000001E-6</v>
      </c>
      <c r="DF5" s="74">
        <v>1.4590999999999999E-6</v>
      </c>
      <c r="DG5" s="74">
        <v>1.4055999999999999E-6</v>
      </c>
      <c r="DH5" s="74">
        <v>1.3541000000000001E-6</v>
      </c>
      <c r="DI5" s="74">
        <v>1.3044E-6</v>
      </c>
      <c r="DJ5" s="74">
        <v>1.2566E-6</v>
      </c>
      <c r="DK5" s="74">
        <v>1.2105000000000001E-6</v>
      </c>
      <c r="DL5" s="74">
        <v>1.1661999999999999E-6</v>
      </c>
      <c r="DM5" s="74">
        <v>1.1233999999999999E-6</v>
      </c>
      <c r="DN5" s="74">
        <v>1.0822E-6</v>
      </c>
      <c r="DO5" s="74">
        <v>1.0425E-6</v>
      </c>
      <c r="DP5" s="74">
        <v>1.0043000000000001E-6</v>
      </c>
      <c r="DQ5" s="74">
        <v>9.6750000000000005E-7</v>
      </c>
      <c r="DR5" s="74">
        <v>9.3200000000000003E-7</v>
      </c>
      <c r="DS5" s="74">
        <v>8.9790000000000001E-7</v>
      </c>
      <c r="DT5" s="74">
        <v>8.6499999999999998E-7</v>
      </c>
      <c r="DU5" s="74">
        <v>8.3320000000000002E-7</v>
      </c>
      <c r="DV5" s="74">
        <v>8.0269999999999995E-7</v>
      </c>
      <c r="DW5" s="74">
        <v>7.7329999999999997E-7</v>
      </c>
      <c r="DX5" s="74">
        <v>7.4489999999999995E-7</v>
      </c>
      <c r="DY5" s="74">
        <v>7.1760000000000002E-7</v>
      </c>
      <c r="DZ5" s="74">
        <v>6.9129999999999995E-7</v>
      </c>
      <c r="EA5" s="74">
        <v>6.6599999999999996E-7</v>
      </c>
      <c r="EB5" s="74">
        <v>6.4160000000000003E-7</v>
      </c>
      <c r="EC5" s="74">
        <v>6.1799999999999995E-7</v>
      </c>
      <c r="ED5" s="74">
        <v>5.9540000000000005E-7</v>
      </c>
      <c r="EE5" s="74">
        <v>5.736E-7</v>
      </c>
      <c r="EF5" s="74">
        <v>5.525E-7</v>
      </c>
      <c r="EG5" s="74">
        <v>5.3229999999999997E-7</v>
      </c>
      <c r="EH5" s="74">
        <v>5.1279999999999999E-7</v>
      </c>
      <c r="EI5" s="74">
        <v>4.9399999999999995E-7</v>
      </c>
      <c r="EJ5" s="74">
        <v>4.7590000000000002E-7</v>
      </c>
      <c r="EK5" s="74">
        <v>4.5839999999999998E-7</v>
      </c>
      <c r="EL5" s="74">
        <v>4.4159999999999998E-7</v>
      </c>
      <c r="EM5" s="74">
        <v>4.2539999999999998E-7</v>
      </c>
      <c r="EN5" s="74">
        <v>4.0979999999999998E-7</v>
      </c>
      <c r="EO5" s="74">
        <v>3.9480000000000001E-7</v>
      </c>
      <c r="EP5" s="74">
        <v>3.8029999999999998E-7</v>
      </c>
      <c r="EQ5" s="74">
        <v>3.664E-7</v>
      </c>
      <c r="ER5" s="74">
        <v>3.5289999999999999E-7</v>
      </c>
      <c r="ES5" s="74">
        <v>3.3999999999999997E-7</v>
      </c>
      <c r="ET5" s="74">
        <v>3.2749999999999999E-7</v>
      </c>
      <c r="EU5" s="74">
        <v>3.1549999999999999E-7</v>
      </c>
      <c r="EV5" s="74">
        <v>3.0400000000000002E-7</v>
      </c>
      <c r="EW5" s="74">
        <v>2.9279999999999997E-7</v>
      </c>
      <c r="EX5" s="74">
        <v>2.8210000000000002E-7</v>
      </c>
      <c r="EY5" s="74">
        <v>2.7169999999999998E-7</v>
      </c>
      <c r="EZ5" s="74">
        <v>2.6179999999999998E-7</v>
      </c>
      <c r="FA5" s="74">
        <v>2.522E-7</v>
      </c>
      <c r="FB5" s="74">
        <v>2.4289999999999998E-7</v>
      </c>
      <c r="FC5" s="74">
        <v>2.34E-7</v>
      </c>
      <c r="FD5" s="74">
        <v>2.255E-7</v>
      </c>
      <c r="FE5" s="74">
        <v>2.1720000000000001E-7</v>
      </c>
      <c r="FF5" s="74">
        <v>2.0919999999999999E-7</v>
      </c>
      <c r="FG5" s="74">
        <v>2.0160000000000001E-7</v>
      </c>
      <c r="FH5" s="74">
        <v>1.9420000000000001E-7</v>
      </c>
      <c r="FI5" s="74">
        <v>1.871E-7</v>
      </c>
      <c r="FJ5" s="74">
        <v>1.8020000000000001E-7</v>
      </c>
      <c r="FK5" s="74">
        <v>1.7359999999999999E-7</v>
      </c>
      <c r="FL5" s="74">
        <v>1.6719999999999999E-7</v>
      </c>
      <c r="FM5" s="74">
        <v>1.6110000000000001E-7</v>
      </c>
      <c r="FN5" s="74">
        <v>1.5519999999999999E-7</v>
      </c>
      <c r="FO5" s="74">
        <v>1.4950000000000001E-7</v>
      </c>
      <c r="FP5" s="74">
        <v>1.4399999999999999E-7</v>
      </c>
      <c r="FQ5" s="74">
        <v>1.3869999999999999E-7</v>
      </c>
    </row>
    <row r="6" spans="1:173" x14ac:dyDescent="0.25">
      <c r="A6" s="76">
        <v>4</v>
      </c>
      <c r="B6" s="74">
        <v>7.64494E-5</v>
      </c>
      <c r="C6" s="74">
        <v>7.3850900000000001E-5</v>
      </c>
      <c r="D6" s="74">
        <v>7.1329700000000002E-5</v>
      </c>
      <c r="E6" s="74">
        <v>6.8884499999999994E-5</v>
      </c>
      <c r="F6" s="74">
        <v>6.6513799999999993E-5</v>
      </c>
      <c r="G6" s="74">
        <v>6.4216300000000004E-5</v>
      </c>
      <c r="H6" s="74">
        <v>6.1990300000000002E-5</v>
      </c>
      <c r="I6" s="74">
        <v>5.9834499999999998E-5</v>
      </c>
      <c r="J6" s="74">
        <v>5.7747100000000001E-5</v>
      </c>
      <c r="K6" s="74">
        <v>5.5726600000000003E-5</v>
      </c>
      <c r="L6" s="74">
        <v>5.3771299999999998E-5</v>
      </c>
      <c r="M6" s="74">
        <v>5.1879699999999997E-5</v>
      </c>
      <c r="N6" s="74">
        <v>5.0049999999999997E-5</v>
      </c>
      <c r="O6" s="74">
        <v>4.82808E-5</v>
      </c>
      <c r="P6" s="74">
        <v>4.6570199999999997E-5</v>
      </c>
      <c r="Q6" s="74">
        <v>4.4916800000000003E-5</v>
      </c>
      <c r="R6" s="74">
        <v>4.3318900000000003E-5</v>
      </c>
      <c r="S6" s="74">
        <v>4.1774899999999999E-5</v>
      </c>
      <c r="T6" s="74">
        <v>4.0283300000000001E-5</v>
      </c>
      <c r="U6" s="74">
        <v>3.88425E-5</v>
      </c>
      <c r="V6" s="74">
        <v>3.7450999999999998E-5</v>
      </c>
      <c r="W6" s="74">
        <v>3.6107299999999999E-5</v>
      </c>
      <c r="X6" s="74">
        <v>3.481E-5</v>
      </c>
      <c r="Y6" s="74">
        <v>3.3557499999999998E-5</v>
      </c>
      <c r="Z6" s="74">
        <v>3.2348599999999997E-5</v>
      </c>
      <c r="AA6" s="74">
        <v>3.11818E-5</v>
      </c>
      <c r="AB6" s="74">
        <v>3.0055800000000001E-5</v>
      </c>
      <c r="AC6" s="74">
        <v>2.8969300000000001E-5</v>
      </c>
      <c r="AD6" s="74">
        <v>2.7920899999999999E-5</v>
      </c>
      <c r="AE6" s="74">
        <v>2.69095E-5</v>
      </c>
      <c r="AF6" s="74">
        <v>2.5933799999999999E-5</v>
      </c>
      <c r="AG6" s="74">
        <v>2.4992699999999999E-5</v>
      </c>
      <c r="AH6" s="74">
        <v>2.4085000000000001E-5</v>
      </c>
      <c r="AI6" s="74">
        <v>2.3209499999999999E-5</v>
      </c>
      <c r="AJ6" s="74">
        <v>2.2365200000000001E-5</v>
      </c>
      <c r="AK6" s="74">
        <v>2.1551100000000001E-5</v>
      </c>
      <c r="AL6" s="74">
        <v>2.0766000000000001E-5</v>
      </c>
      <c r="AM6" s="74">
        <v>2.0009100000000001E-5</v>
      </c>
      <c r="AN6" s="74">
        <v>1.92793E-5</v>
      </c>
      <c r="AO6" s="74">
        <v>1.8575799999999999E-5</v>
      </c>
      <c r="AP6" s="74">
        <v>1.7897499999999999E-5</v>
      </c>
      <c r="AQ6" s="74">
        <v>1.7243699999999999E-5</v>
      </c>
      <c r="AR6" s="74">
        <v>1.6613399999999999E-5</v>
      </c>
      <c r="AS6" s="74">
        <v>1.6005899999999999E-5</v>
      </c>
      <c r="AT6" s="74">
        <v>1.5420399999999999E-5</v>
      </c>
      <c r="AU6" s="74">
        <v>1.48561E-5</v>
      </c>
      <c r="AV6" s="74">
        <v>1.43121E-5</v>
      </c>
      <c r="AW6" s="74">
        <v>1.3787900000000001E-5</v>
      </c>
      <c r="AX6" s="74">
        <v>1.3282799999999999E-5</v>
      </c>
      <c r="AY6" s="74">
        <v>1.2795900000000001E-5</v>
      </c>
      <c r="AZ6" s="74">
        <v>1.23268E-5</v>
      </c>
      <c r="BA6" s="74">
        <v>1.18747E-5</v>
      </c>
      <c r="BB6" s="74">
        <v>1.14391E-5</v>
      </c>
      <c r="BC6" s="74">
        <v>1.10193E-5</v>
      </c>
      <c r="BD6" s="74">
        <v>1.0614900000000001E-5</v>
      </c>
      <c r="BE6" s="74">
        <v>1.02252E-5</v>
      </c>
      <c r="BF6" s="74">
        <v>9.8496999999999999E-6</v>
      </c>
      <c r="BG6" s="74">
        <v>9.4878999999999994E-6</v>
      </c>
      <c r="BH6" s="74">
        <v>9.1393999999999993E-6</v>
      </c>
      <c r="BI6" s="74">
        <v>8.8034999999999997E-6</v>
      </c>
      <c r="BJ6" s="74">
        <v>8.4800000000000001E-6</v>
      </c>
      <c r="BK6" s="74">
        <v>8.1682999999999994E-6</v>
      </c>
      <c r="BL6" s="74">
        <v>7.8679999999999999E-6</v>
      </c>
      <c r="BM6" s="74">
        <v>7.5787E-6</v>
      </c>
      <c r="BN6" s="74">
        <v>7.3000000000000004E-6</v>
      </c>
      <c r="BO6" s="74">
        <v>7.0315000000000004E-6</v>
      </c>
      <c r="BP6" s="74">
        <v>6.7727999999999998E-6</v>
      </c>
      <c r="BQ6" s="74">
        <v>6.5235999999999997E-6</v>
      </c>
      <c r="BR6" s="74">
        <v>6.2836000000000003E-6</v>
      </c>
      <c r="BS6" s="74">
        <v>6.0523999999999999E-6</v>
      </c>
      <c r="BT6" s="74">
        <v>5.8296000000000001E-6</v>
      </c>
      <c r="BU6" s="74">
        <v>5.6149999999999996E-6</v>
      </c>
      <c r="BV6" s="74">
        <v>5.4083000000000004E-6</v>
      </c>
      <c r="BW6" s="74">
        <v>5.2092E-6</v>
      </c>
      <c r="BX6" s="74">
        <v>5.0173999999999996E-6</v>
      </c>
      <c r="BY6" s="74">
        <v>4.8327000000000003E-6</v>
      </c>
      <c r="BZ6" s="74">
        <v>4.6546999999999997E-6</v>
      </c>
      <c r="CA6" s="74">
        <v>4.4832999999999999E-6</v>
      </c>
      <c r="CB6" s="74">
        <v>4.3181999999999996E-6</v>
      </c>
      <c r="CC6" s="74">
        <v>4.1591999999999999E-6</v>
      </c>
      <c r="CD6" s="74">
        <v>4.0060000000000003E-6</v>
      </c>
      <c r="CE6" s="74">
        <v>3.8584000000000002E-6</v>
      </c>
      <c r="CF6" s="74">
        <v>3.7162999999999999E-6</v>
      </c>
      <c r="CG6" s="74">
        <v>3.5794E-6</v>
      </c>
      <c r="CH6" s="74">
        <v>3.4475E-6</v>
      </c>
      <c r="CI6" s="74">
        <v>3.3204999999999998E-6</v>
      </c>
      <c r="CJ6" s="74">
        <v>3.1980999999999999E-6</v>
      </c>
      <c r="CK6" s="74">
        <v>3.0803E-6</v>
      </c>
      <c r="CL6" s="74">
        <v>2.9668000000000001E-6</v>
      </c>
      <c r="CM6" s="74">
        <v>2.8574E-6</v>
      </c>
      <c r="CN6" s="74">
        <v>2.7520999999999999E-6</v>
      </c>
      <c r="CO6" s="74">
        <v>2.6506999999999999E-6</v>
      </c>
      <c r="CP6" s="74">
        <v>2.553E-6</v>
      </c>
      <c r="CQ6" s="74">
        <v>2.4588999999999999E-6</v>
      </c>
      <c r="CR6" s="74">
        <v>2.3682999999999998E-6</v>
      </c>
      <c r="CS6" s="74">
        <v>2.2809999999999998E-6</v>
      </c>
      <c r="CT6" s="74">
        <v>2.1969000000000001E-6</v>
      </c>
      <c r="CU6" s="74">
        <v>2.1160000000000002E-6</v>
      </c>
      <c r="CV6" s="74">
        <v>2.0379999999999998E-6</v>
      </c>
      <c r="CW6" s="74">
        <v>1.9628000000000001E-6</v>
      </c>
      <c r="CX6" s="74">
        <v>1.8904999999999999E-6</v>
      </c>
      <c r="CY6" s="74">
        <v>1.8208E-6</v>
      </c>
      <c r="CZ6" s="74">
        <v>1.7537E-6</v>
      </c>
      <c r="DA6" s="74">
        <v>1.689E-6</v>
      </c>
      <c r="DB6" s="74">
        <v>1.6267E-6</v>
      </c>
      <c r="DC6" s="74">
        <v>1.5668E-6</v>
      </c>
      <c r="DD6" s="74">
        <v>1.5090000000000001E-6</v>
      </c>
      <c r="DE6" s="74">
        <v>1.4533999999999999E-6</v>
      </c>
      <c r="DF6" s="74">
        <v>1.3997999999999999E-6</v>
      </c>
      <c r="DG6" s="74">
        <v>1.3482000000000001E-6</v>
      </c>
      <c r="DH6" s="74">
        <v>1.2984999999999999E-6</v>
      </c>
      <c r="DI6" s="74">
        <v>1.2505999999999999E-6</v>
      </c>
      <c r="DJ6" s="74">
        <v>1.2045000000000001E-6</v>
      </c>
      <c r="DK6" s="74">
        <v>1.1600999999999999E-6</v>
      </c>
      <c r="DL6" s="74">
        <v>1.1173000000000001E-6</v>
      </c>
      <c r="DM6" s="74">
        <v>1.0761E-6</v>
      </c>
      <c r="DN6" s="74">
        <v>1.0363999999999999E-6</v>
      </c>
      <c r="DO6" s="74">
        <v>9.9820000000000003E-7</v>
      </c>
      <c r="DP6" s="74">
        <v>9.6140000000000002E-7</v>
      </c>
      <c r="DQ6" s="74">
        <v>9.2600000000000001E-7</v>
      </c>
      <c r="DR6" s="74">
        <v>8.9179999999999998E-7</v>
      </c>
      <c r="DS6" s="74">
        <v>8.5890000000000005E-7</v>
      </c>
      <c r="DT6" s="74">
        <v>8.273E-7</v>
      </c>
      <c r="DU6" s="74">
        <v>7.9680000000000004E-7</v>
      </c>
      <c r="DV6" s="74">
        <v>7.6739999999999995E-7</v>
      </c>
      <c r="DW6" s="74">
        <v>7.3910000000000005E-7</v>
      </c>
      <c r="DX6" s="74">
        <v>7.1180000000000001E-7</v>
      </c>
      <c r="DY6" s="74">
        <v>6.8560000000000005E-7</v>
      </c>
      <c r="DZ6" s="74">
        <v>6.6029999999999995E-7</v>
      </c>
      <c r="EA6" s="74">
        <v>6.3600000000000003E-7</v>
      </c>
      <c r="EB6" s="74">
        <v>6.1249999999999996E-7</v>
      </c>
      <c r="EC6" s="74">
        <v>5.8989999999999996E-7</v>
      </c>
      <c r="ED6" s="74">
        <v>5.6820000000000002E-7</v>
      </c>
      <c r="EE6" s="74">
        <v>5.4720000000000003E-7</v>
      </c>
      <c r="EF6" s="74">
        <v>5.2699999999999999E-7</v>
      </c>
      <c r="EG6" s="74">
        <v>5.0760000000000002E-7</v>
      </c>
      <c r="EH6" s="74">
        <v>4.8889999999999999E-7</v>
      </c>
      <c r="EI6" s="74">
        <v>4.7090000000000001E-7</v>
      </c>
      <c r="EJ6" s="74">
        <v>4.5349999999999998E-7</v>
      </c>
      <c r="EK6" s="74">
        <v>4.3679999999999999E-7</v>
      </c>
      <c r="EL6" s="74">
        <v>4.207E-7</v>
      </c>
      <c r="EM6" s="74">
        <v>4.052E-7</v>
      </c>
      <c r="EN6" s="74">
        <v>3.9019999999999999E-7</v>
      </c>
      <c r="EO6" s="74">
        <v>3.7580000000000002E-7</v>
      </c>
      <c r="EP6" s="74">
        <v>3.6199999999999999E-7</v>
      </c>
      <c r="EQ6" s="74">
        <v>3.4859999999999998E-7</v>
      </c>
      <c r="ER6" s="74">
        <v>3.3579999999999998E-7</v>
      </c>
      <c r="ES6" s="74">
        <v>3.234E-7</v>
      </c>
      <c r="ET6" s="74">
        <v>3.115E-7</v>
      </c>
      <c r="EU6" s="74">
        <v>2.9999999999999999E-7</v>
      </c>
      <c r="EV6" s="74">
        <v>2.889E-7</v>
      </c>
      <c r="EW6" s="74">
        <v>2.783E-7</v>
      </c>
      <c r="EX6" s="74">
        <v>2.6800000000000002E-7</v>
      </c>
      <c r="EY6" s="74">
        <v>2.5810000000000001E-7</v>
      </c>
      <c r="EZ6" s="74">
        <v>2.4859999999999999E-7</v>
      </c>
      <c r="FA6" s="74">
        <v>2.3939999999999999E-7</v>
      </c>
      <c r="FB6" s="74">
        <v>2.3059999999999999E-7</v>
      </c>
      <c r="FC6" s="74">
        <v>2.2210000000000001E-7</v>
      </c>
      <c r="FD6" s="74">
        <v>2.139E-7</v>
      </c>
      <c r="FE6" s="74">
        <v>2.0599999999999999E-7</v>
      </c>
      <c r="FF6" s="74">
        <v>1.984E-7</v>
      </c>
      <c r="FG6" s="74">
        <v>1.9110000000000001E-7</v>
      </c>
      <c r="FH6" s="74">
        <v>1.8409999999999999E-7</v>
      </c>
      <c r="FI6" s="74">
        <v>1.7730000000000001E-7</v>
      </c>
      <c r="FJ6" s="74">
        <v>1.7070000000000001E-7</v>
      </c>
      <c r="FK6" s="74">
        <v>1.6439999999999999E-7</v>
      </c>
      <c r="FL6" s="74">
        <v>1.5839999999999999E-7</v>
      </c>
      <c r="FM6" s="74">
        <v>1.525E-7</v>
      </c>
      <c r="FN6" s="74">
        <v>1.469E-7</v>
      </c>
      <c r="FO6" s="74">
        <v>1.4149999999999999E-7</v>
      </c>
      <c r="FP6" s="74">
        <v>1.363E-7</v>
      </c>
      <c r="FQ6" s="74">
        <v>1.3120000000000001E-7</v>
      </c>
    </row>
    <row r="7" spans="1:173" x14ac:dyDescent="0.25">
      <c r="A7" s="76">
        <v>5</v>
      </c>
      <c r="B7" s="74">
        <v>5.7940199999999998E-5</v>
      </c>
      <c r="C7" s="74">
        <v>5.5762900000000001E-5</v>
      </c>
      <c r="D7" s="74">
        <v>5.3668400000000003E-5</v>
      </c>
      <c r="E7" s="74">
        <v>5.1653500000000003E-5</v>
      </c>
      <c r="F7" s="74">
        <v>4.9715000000000001E-5</v>
      </c>
      <c r="G7" s="74">
        <v>4.7849999999999998E-5</v>
      </c>
      <c r="H7" s="74">
        <v>4.60557E-5</v>
      </c>
      <c r="I7" s="74">
        <v>4.4329200000000002E-5</v>
      </c>
      <c r="J7" s="74">
        <v>4.2667999999999999E-5</v>
      </c>
      <c r="K7" s="74">
        <v>4.1069599999999997E-5</v>
      </c>
      <c r="L7" s="74">
        <v>3.9531499999999999E-5</v>
      </c>
      <c r="M7" s="74">
        <v>3.80515E-5</v>
      </c>
      <c r="N7" s="74">
        <v>3.6627200000000001E-5</v>
      </c>
      <c r="O7" s="74">
        <v>3.5256599999999997E-5</v>
      </c>
      <c r="P7" s="74">
        <v>3.3937599999999998E-5</v>
      </c>
      <c r="Q7" s="74">
        <v>3.26683E-5</v>
      </c>
      <c r="R7" s="74">
        <v>3.1446699999999998E-5</v>
      </c>
      <c r="S7" s="74">
        <v>3.0270999999999999E-5</v>
      </c>
      <c r="T7" s="74">
        <v>2.9139600000000001E-5</v>
      </c>
      <c r="U7" s="74">
        <v>2.8050599999999999E-5</v>
      </c>
      <c r="V7" s="74">
        <v>2.7002500000000001E-5</v>
      </c>
      <c r="W7" s="74">
        <v>2.5993700000000002E-5</v>
      </c>
      <c r="X7" s="74">
        <v>2.50228E-5</v>
      </c>
      <c r="Y7" s="74">
        <v>2.4088200000000001E-5</v>
      </c>
      <c r="Z7" s="74">
        <v>2.3188800000000001E-5</v>
      </c>
      <c r="AA7" s="74">
        <v>2.2323E-5</v>
      </c>
      <c r="AB7" s="74">
        <v>2.1489599999999998E-5</v>
      </c>
      <c r="AC7" s="74">
        <v>2.0687500000000001E-5</v>
      </c>
      <c r="AD7" s="74">
        <v>1.9915399999999999E-5</v>
      </c>
      <c r="AE7" s="74">
        <v>1.9172199999999999E-5</v>
      </c>
      <c r="AF7" s="74">
        <v>1.8456799999999999E-5</v>
      </c>
      <c r="AG7" s="74">
        <v>1.77681E-5</v>
      </c>
      <c r="AH7" s="74">
        <v>1.71053E-5</v>
      </c>
      <c r="AI7" s="74">
        <v>1.64672E-5</v>
      </c>
      <c r="AJ7" s="74">
        <v>1.5852899999999999E-5</v>
      </c>
      <c r="AK7" s="74">
        <v>1.52617E-5</v>
      </c>
      <c r="AL7" s="74">
        <v>1.46925E-5</v>
      </c>
      <c r="AM7" s="74">
        <v>1.41446E-5</v>
      </c>
      <c r="AN7" s="74">
        <v>1.36171E-5</v>
      </c>
      <c r="AO7" s="74">
        <v>1.31094E-5</v>
      </c>
      <c r="AP7" s="74">
        <v>1.2620600000000001E-5</v>
      </c>
      <c r="AQ7" s="74">
        <v>1.2150100000000001E-5</v>
      </c>
      <c r="AR7" s="74">
        <v>1.16971E-5</v>
      </c>
      <c r="AS7" s="74">
        <v>1.12611E-5</v>
      </c>
      <c r="AT7" s="74">
        <v>1.0841300000000001E-5</v>
      </c>
      <c r="AU7" s="74">
        <v>1.0437200000000001E-5</v>
      </c>
      <c r="AV7" s="74">
        <v>1.00482E-5</v>
      </c>
      <c r="AW7" s="74">
        <v>9.6736E-6</v>
      </c>
      <c r="AX7" s="74">
        <v>9.3131000000000007E-6</v>
      </c>
      <c r="AY7" s="74">
        <v>8.9660000000000002E-6</v>
      </c>
      <c r="AZ7" s="74">
        <v>8.6318999999999995E-6</v>
      </c>
      <c r="BA7" s="74">
        <v>8.3102000000000005E-6</v>
      </c>
      <c r="BB7" s="74">
        <v>8.0005000000000007E-6</v>
      </c>
      <c r="BC7" s="74">
        <v>7.7023999999999993E-6</v>
      </c>
      <c r="BD7" s="74">
        <v>7.4154000000000002E-6</v>
      </c>
      <c r="BE7" s="74">
        <v>7.1391E-6</v>
      </c>
      <c r="BF7" s="74">
        <v>6.8731000000000003E-6</v>
      </c>
      <c r="BG7" s="74">
        <v>6.6170000000000003E-6</v>
      </c>
      <c r="BH7" s="74">
        <v>6.3704E-6</v>
      </c>
      <c r="BI7" s="74">
        <v>6.1330999999999998E-6</v>
      </c>
      <c r="BJ7" s="74">
        <v>5.9046000000000002E-6</v>
      </c>
      <c r="BK7" s="74">
        <v>5.6845999999999997E-6</v>
      </c>
      <c r="BL7" s="74">
        <v>5.4728000000000004E-6</v>
      </c>
      <c r="BM7" s="74">
        <v>5.2688999999999996E-6</v>
      </c>
      <c r="BN7" s="74">
        <v>5.0726999999999997E-6</v>
      </c>
      <c r="BO7" s="74">
        <v>4.8837000000000004E-6</v>
      </c>
      <c r="BP7" s="74">
        <v>4.7017000000000002E-6</v>
      </c>
      <c r="BQ7" s="74">
        <v>4.5266E-6</v>
      </c>
      <c r="BR7" s="74">
        <v>4.3579999999999996E-6</v>
      </c>
      <c r="BS7" s="74">
        <v>4.1956000000000001E-6</v>
      </c>
      <c r="BT7" s="74">
        <v>4.0392999999999996E-6</v>
      </c>
      <c r="BU7" s="74">
        <v>3.8889000000000002E-6</v>
      </c>
      <c r="BV7" s="74">
        <v>3.7440000000000001E-6</v>
      </c>
      <c r="BW7" s="74">
        <v>3.6045E-6</v>
      </c>
      <c r="BX7" s="74">
        <v>3.4703E-6</v>
      </c>
      <c r="BY7" s="74">
        <v>3.3409999999999999E-6</v>
      </c>
      <c r="BZ7" s="74">
        <v>3.2165999999999998E-6</v>
      </c>
      <c r="CA7" s="74">
        <v>3.0968000000000001E-6</v>
      </c>
      <c r="CB7" s="74">
        <v>2.9813999999999999E-6</v>
      </c>
      <c r="CC7" s="74">
        <v>2.8704000000000001E-6</v>
      </c>
      <c r="CD7" s="74">
        <v>2.7634000000000001E-6</v>
      </c>
      <c r="CE7" s="74">
        <v>2.6605000000000002E-6</v>
      </c>
      <c r="CF7" s="74">
        <v>2.5614000000000002E-6</v>
      </c>
      <c r="CG7" s="74">
        <v>2.4660000000000002E-6</v>
      </c>
      <c r="CH7" s="74">
        <v>2.3742000000000001E-6</v>
      </c>
      <c r="CI7" s="74">
        <v>2.2857E-6</v>
      </c>
      <c r="CJ7" s="74">
        <v>2.2006000000000002E-6</v>
      </c>
      <c r="CK7" s="74">
        <v>2.1185999999999999E-6</v>
      </c>
      <c r="CL7" s="74">
        <v>2.0397000000000001E-6</v>
      </c>
      <c r="CM7" s="74">
        <v>1.9638000000000002E-6</v>
      </c>
      <c r="CN7" s="74">
        <v>1.8905999999999999E-6</v>
      </c>
      <c r="CO7" s="74">
        <v>1.8202E-6</v>
      </c>
      <c r="CP7" s="74">
        <v>1.7523999999999999E-6</v>
      </c>
      <c r="CQ7" s="74">
        <v>1.6870999999999999E-6</v>
      </c>
      <c r="CR7" s="74">
        <v>1.6243000000000001E-6</v>
      </c>
      <c r="CS7" s="74">
        <v>1.5638E-6</v>
      </c>
      <c r="CT7" s="74">
        <v>1.5056E-6</v>
      </c>
      <c r="CU7" s="74">
        <v>1.4495000000000001E-6</v>
      </c>
      <c r="CV7" s="74">
        <v>1.3955E-6</v>
      </c>
      <c r="CW7" s="74">
        <v>1.3434999999999999E-6</v>
      </c>
      <c r="CX7" s="74">
        <v>1.2935E-6</v>
      </c>
      <c r="CY7" s="74">
        <v>1.2453E-6</v>
      </c>
      <c r="CZ7" s="74">
        <v>1.1989000000000001E-6</v>
      </c>
      <c r="DA7" s="74">
        <v>1.1542999999999999E-6</v>
      </c>
      <c r="DB7" s="74">
        <v>1.1113000000000001E-6</v>
      </c>
      <c r="DC7" s="74">
        <v>1.0698999999999999E-6</v>
      </c>
      <c r="DD7" s="74">
        <v>1.0301000000000001E-6</v>
      </c>
      <c r="DE7" s="74">
        <v>9.9169999999999997E-7</v>
      </c>
      <c r="DF7" s="74">
        <v>9.5479999999999995E-7</v>
      </c>
      <c r="DG7" s="74">
        <v>9.1920000000000003E-7</v>
      </c>
      <c r="DH7" s="74">
        <v>8.85E-7</v>
      </c>
      <c r="DI7" s="74">
        <v>8.5199999999999995E-7</v>
      </c>
      <c r="DJ7" s="74">
        <v>8.2030000000000001E-7</v>
      </c>
      <c r="DK7" s="74">
        <v>7.8970000000000004E-7</v>
      </c>
      <c r="DL7" s="74">
        <v>7.6030000000000005E-7</v>
      </c>
      <c r="DM7" s="74">
        <v>7.3200000000000004E-7</v>
      </c>
      <c r="DN7" s="74">
        <v>7.047E-7</v>
      </c>
      <c r="DO7" s="74">
        <v>6.7850000000000005E-7</v>
      </c>
      <c r="DP7" s="74">
        <v>6.5320000000000005E-7</v>
      </c>
      <c r="DQ7" s="74">
        <v>6.2890000000000003E-7</v>
      </c>
      <c r="DR7" s="74">
        <v>6.0549999999999996E-7</v>
      </c>
      <c r="DS7" s="74">
        <v>5.8289999999999996E-7</v>
      </c>
      <c r="DT7" s="74">
        <v>5.6120000000000002E-7</v>
      </c>
      <c r="DU7" s="74">
        <v>5.4030000000000004E-7</v>
      </c>
      <c r="DV7" s="74">
        <v>5.2020000000000001E-7</v>
      </c>
      <c r="DW7" s="74">
        <v>5.0080000000000004E-7</v>
      </c>
      <c r="DX7" s="74">
        <v>4.8220000000000002E-7</v>
      </c>
      <c r="DY7" s="74">
        <v>4.6419999999999999E-7</v>
      </c>
      <c r="DZ7" s="74">
        <v>4.4690000000000001E-7</v>
      </c>
      <c r="EA7" s="74">
        <v>4.3029999999999998E-7</v>
      </c>
      <c r="EB7" s="74">
        <v>4.1419999999999999E-7</v>
      </c>
      <c r="EC7" s="74">
        <v>3.988E-7</v>
      </c>
      <c r="ED7" s="74">
        <v>3.84E-7</v>
      </c>
      <c r="EE7" s="74">
        <v>3.6969999999999998E-7</v>
      </c>
      <c r="EF7" s="74">
        <v>3.559E-7</v>
      </c>
      <c r="EG7" s="74">
        <v>3.4260000000000001E-7</v>
      </c>
      <c r="EH7" s="74">
        <v>3.2990000000000001E-7</v>
      </c>
      <c r="EI7" s="74">
        <v>3.1759999999999999E-7</v>
      </c>
      <c r="EJ7" s="74">
        <v>3.058E-7</v>
      </c>
      <c r="EK7" s="74">
        <v>2.9439999999999999E-7</v>
      </c>
      <c r="EL7" s="74">
        <v>2.8340000000000001E-7</v>
      </c>
      <c r="EM7" s="74">
        <v>2.7290000000000002E-7</v>
      </c>
      <c r="EN7" s="74">
        <v>2.6269999999999999E-7</v>
      </c>
      <c r="EO7" s="74">
        <v>2.5289999999999999E-7</v>
      </c>
      <c r="EP7" s="74">
        <v>2.4349999999999998E-7</v>
      </c>
      <c r="EQ7" s="74">
        <v>2.3440000000000001E-7</v>
      </c>
      <c r="ER7" s="74">
        <v>2.2569999999999999E-7</v>
      </c>
      <c r="ES7" s="74">
        <v>2.1729999999999999E-7</v>
      </c>
      <c r="ET7" s="74">
        <v>2.0919999999999999E-7</v>
      </c>
      <c r="EU7" s="74">
        <v>2.0139999999999999E-7</v>
      </c>
      <c r="EV7" s="74">
        <v>1.9390000000000001E-7</v>
      </c>
      <c r="EW7" s="74">
        <v>1.867E-7</v>
      </c>
      <c r="EX7" s="74">
        <v>1.797E-7</v>
      </c>
      <c r="EY7" s="74">
        <v>1.73E-7</v>
      </c>
      <c r="EZ7" s="74">
        <v>1.666E-7</v>
      </c>
      <c r="FA7" s="74">
        <v>1.6040000000000001E-7</v>
      </c>
      <c r="FB7" s="74">
        <v>1.5440000000000001E-7</v>
      </c>
      <c r="FC7" s="74">
        <v>1.487E-7</v>
      </c>
      <c r="FD7" s="74">
        <v>1.431E-7</v>
      </c>
      <c r="FE7" s="74">
        <v>1.378E-7</v>
      </c>
      <c r="FF7" s="74">
        <v>1.3269999999999999E-7</v>
      </c>
      <c r="FG7" s="74">
        <v>1.2770000000000001E-7</v>
      </c>
      <c r="FH7" s="74">
        <v>1.23E-7</v>
      </c>
      <c r="FI7" s="74">
        <v>1.184E-7</v>
      </c>
      <c r="FJ7" s="74">
        <v>1.14E-7</v>
      </c>
      <c r="FK7" s="74">
        <v>1.097E-7</v>
      </c>
      <c r="FL7" s="74">
        <v>1.0560000000000001E-7</v>
      </c>
      <c r="FM7" s="74">
        <v>1.017E-7</v>
      </c>
      <c r="FN7" s="74">
        <v>9.7899999999999997E-8</v>
      </c>
      <c r="FO7" s="74">
        <v>9.4300000000000004E-8</v>
      </c>
      <c r="FP7" s="74">
        <v>9.0800000000000006E-8</v>
      </c>
      <c r="FQ7" s="74">
        <v>8.7400000000000002E-8</v>
      </c>
    </row>
    <row r="8" spans="1:173" x14ac:dyDescent="0.25">
      <c r="A8" s="76">
        <v>6</v>
      </c>
      <c r="B8" s="74">
        <v>5.7726200000000003E-5</v>
      </c>
      <c r="C8" s="74">
        <v>5.58302E-5</v>
      </c>
      <c r="D8" s="74">
        <v>5.3987000000000003E-5</v>
      </c>
      <c r="E8" s="74">
        <v>5.2195699999999999E-5</v>
      </c>
      <c r="F8" s="74">
        <v>5.0455799999999999E-5</v>
      </c>
      <c r="G8" s="74">
        <v>4.8766500000000001E-5</v>
      </c>
      <c r="H8" s="74">
        <v>4.7126899999999998E-5</v>
      </c>
      <c r="I8" s="74">
        <v>4.5536199999999999E-5</v>
      </c>
      <c r="J8" s="74">
        <v>4.3993499999999998E-5</v>
      </c>
      <c r="K8" s="74">
        <v>4.2497899999999998E-5</v>
      </c>
      <c r="L8" s="74">
        <v>4.1048299999999998E-5</v>
      </c>
      <c r="M8" s="74">
        <v>3.9643700000000001E-5</v>
      </c>
      <c r="N8" s="74">
        <v>3.82832E-5</v>
      </c>
      <c r="O8" s="74">
        <v>3.6965699999999997E-5</v>
      </c>
      <c r="P8" s="74">
        <v>3.5690199999999999E-5</v>
      </c>
      <c r="Q8" s="74">
        <v>3.4455600000000003E-5</v>
      </c>
      <c r="R8" s="74">
        <v>3.3260899999999999E-5</v>
      </c>
      <c r="S8" s="74">
        <v>3.2104999999999998E-5</v>
      </c>
      <c r="T8" s="74">
        <v>3.09869E-5</v>
      </c>
      <c r="U8" s="74">
        <v>2.99056E-5</v>
      </c>
      <c r="V8" s="74">
        <v>2.8860099999999998E-5</v>
      </c>
      <c r="W8" s="74">
        <v>2.7849300000000001E-5</v>
      </c>
      <c r="X8" s="74">
        <v>2.68722E-5</v>
      </c>
      <c r="Y8" s="74">
        <v>2.59279E-5</v>
      </c>
      <c r="Z8" s="74">
        <v>2.5015400000000001E-5</v>
      </c>
      <c r="AA8" s="74">
        <v>2.4133699999999999E-5</v>
      </c>
      <c r="AB8" s="74">
        <v>2.3281900000000002E-5</v>
      </c>
      <c r="AC8" s="74">
        <v>2.24592E-5</v>
      </c>
      <c r="AD8" s="74">
        <v>2.1664499999999999E-5</v>
      </c>
      <c r="AE8" s="74">
        <v>2.08971E-5</v>
      </c>
      <c r="AF8" s="74">
        <v>2.0156000000000001E-5</v>
      </c>
      <c r="AG8" s="74">
        <v>1.9440500000000001E-5</v>
      </c>
      <c r="AH8" s="74">
        <v>1.8749700000000001E-5</v>
      </c>
      <c r="AI8" s="74">
        <v>1.8082799999999999E-5</v>
      </c>
      <c r="AJ8" s="74">
        <v>1.74391E-5</v>
      </c>
      <c r="AK8" s="74">
        <v>1.68177E-5</v>
      </c>
      <c r="AL8" s="74">
        <v>1.6218E-5</v>
      </c>
      <c r="AM8" s="74">
        <v>1.5639300000000001E-5</v>
      </c>
      <c r="AN8" s="74">
        <v>1.50808E-5</v>
      </c>
      <c r="AO8" s="74">
        <v>1.45419E-5</v>
      </c>
      <c r="AP8" s="74">
        <v>1.4022000000000001E-5</v>
      </c>
      <c r="AQ8" s="74">
        <v>1.35203E-5</v>
      </c>
      <c r="AR8" s="74">
        <v>1.3036200000000001E-5</v>
      </c>
      <c r="AS8" s="74">
        <v>1.25693E-5</v>
      </c>
      <c r="AT8" s="74">
        <v>1.21188E-5</v>
      </c>
      <c r="AU8" s="74">
        <v>1.1684299999999999E-5</v>
      </c>
      <c r="AV8" s="74">
        <v>1.12652E-5</v>
      </c>
      <c r="AW8" s="74">
        <v>1.08609E-5</v>
      </c>
      <c r="AX8" s="74">
        <v>1.0471E-5</v>
      </c>
      <c r="AY8" s="74">
        <v>1.0094900000000001E-5</v>
      </c>
      <c r="AZ8" s="74">
        <v>9.7321999999999998E-6</v>
      </c>
      <c r="BA8" s="74">
        <v>9.3824000000000002E-6</v>
      </c>
      <c r="BB8" s="74">
        <v>9.0450000000000006E-6</v>
      </c>
      <c r="BC8" s="74">
        <v>8.7197000000000006E-6</v>
      </c>
      <c r="BD8" s="74">
        <v>8.4060000000000005E-6</v>
      </c>
      <c r="BE8" s="74">
        <v>8.1034999999999996E-6</v>
      </c>
      <c r="BF8" s="74">
        <v>7.8117000000000001E-6</v>
      </c>
      <c r="BG8" s="74">
        <v>7.5305000000000002E-6</v>
      </c>
      <c r="BH8" s="74">
        <v>7.2591999999999999E-6</v>
      </c>
      <c r="BI8" s="74">
        <v>6.9976999999999999E-6</v>
      </c>
      <c r="BJ8" s="74">
        <v>6.7456000000000003E-6</v>
      </c>
      <c r="BK8" s="74">
        <v>6.5025E-6</v>
      </c>
      <c r="BL8" s="74">
        <v>6.2681000000000002E-6</v>
      </c>
      <c r="BM8" s="74">
        <v>6.0421000000000001E-6</v>
      </c>
      <c r="BN8" s="74">
        <v>5.8242000000000001E-6</v>
      </c>
      <c r="BO8" s="74">
        <v>5.6142000000000004E-6</v>
      </c>
      <c r="BP8" s="74">
        <v>5.4116E-6</v>
      </c>
      <c r="BQ8" s="74">
        <v>5.2163999999999997E-6</v>
      </c>
      <c r="BR8" s="74">
        <v>5.0282000000000004E-6</v>
      </c>
      <c r="BS8" s="74">
        <v>4.8466999999999997E-6</v>
      </c>
      <c r="BT8" s="74">
        <v>4.6717999999999999E-6</v>
      </c>
      <c r="BU8" s="74">
        <v>4.5031000000000001E-6</v>
      </c>
      <c r="BV8" s="74">
        <v>4.3406000000000004E-6</v>
      </c>
      <c r="BW8" s="74">
        <v>4.1838999999999999E-6</v>
      </c>
      <c r="BX8" s="74">
        <v>4.0327999999999997E-6</v>
      </c>
      <c r="BY8" s="74">
        <v>3.8871999999999998E-6</v>
      </c>
      <c r="BZ8" s="74">
        <v>3.7467999999999999E-6</v>
      </c>
      <c r="CA8" s="74">
        <v>3.6113999999999998E-6</v>
      </c>
      <c r="CB8" s="74">
        <v>3.4809999999999998E-6</v>
      </c>
      <c r="CC8" s="74">
        <v>3.3552000000000001E-6</v>
      </c>
      <c r="CD8" s="74">
        <v>3.2339999999999999E-6</v>
      </c>
      <c r="CE8" s="74">
        <v>3.1172E-6</v>
      </c>
      <c r="CF8" s="74">
        <v>3.0045000000000002E-6</v>
      </c>
      <c r="CG8" s="74">
        <v>2.8959999999999999E-6</v>
      </c>
      <c r="CH8" s="74">
        <v>2.7912999999999999E-6</v>
      </c>
      <c r="CI8" s="74">
        <v>2.6904000000000001E-6</v>
      </c>
      <c r="CJ8" s="74">
        <v>2.5932E-6</v>
      </c>
      <c r="CK8" s="74">
        <v>2.4995E-6</v>
      </c>
      <c r="CL8" s="74">
        <v>2.4090999999999999E-6</v>
      </c>
      <c r="CM8" s="74">
        <v>2.322E-6</v>
      </c>
      <c r="CN8" s="74">
        <v>2.2380999999999998E-6</v>
      </c>
      <c r="CO8" s="74">
        <v>2.1571999999999999E-6</v>
      </c>
      <c r="CP8" s="74">
        <v>2.0791999999999999E-6</v>
      </c>
      <c r="CQ8" s="74">
        <v>2.0040000000000002E-6</v>
      </c>
      <c r="CR8" s="74">
        <v>1.9315999999999999E-6</v>
      </c>
      <c r="CS8" s="74">
        <v>1.8616999999999999E-6</v>
      </c>
      <c r="CT8" s="74">
        <v>1.7943999999999999E-6</v>
      </c>
      <c r="CU8" s="74">
        <v>1.7294999999999999E-6</v>
      </c>
      <c r="CV8" s="74">
        <v>1.6670000000000001E-6</v>
      </c>
      <c r="CW8" s="74">
        <v>1.6067E-6</v>
      </c>
      <c r="CX8" s="74">
        <v>1.5486000000000001E-6</v>
      </c>
      <c r="CY8" s="74">
        <v>1.4925999999999999E-6</v>
      </c>
      <c r="CZ8" s="74">
        <v>1.4387000000000001E-6</v>
      </c>
      <c r="DA8" s="74">
        <v>1.3866E-6</v>
      </c>
      <c r="DB8" s="74">
        <v>1.3365E-6</v>
      </c>
      <c r="DC8" s="74">
        <v>1.2881E-6</v>
      </c>
      <c r="DD8" s="74">
        <v>1.2415999999999999E-6</v>
      </c>
      <c r="DE8" s="74">
        <v>1.1966999999999999E-6</v>
      </c>
      <c r="DF8" s="74">
        <v>1.1534E-6</v>
      </c>
      <c r="DG8" s="74">
        <v>1.1117000000000001E-6</v>
      </c>
      <c r="DH8" s="74">
        <v>1.0715E-6</v>
      </c>
      <c r="DI8" s="74">
        <v>1.0327000000000001E-6</v>
      </c>
      <c r="DJ8" s="74">
        <v>9.9530000000000003E-7</v>
      </c>
      <c r="DK8" s="74">
        <v>9.5930000000000007E-7</v>
      </c>
      <c r="DL8" s="74">
        <v>9.2460000000000001E-7</v>
      </c>
      <c r="DM8" s="74">
        <v>8.9120000000000004E-7</v>
      </c>
      <c r="DN8" s="74">
        <v>8.5899999999999995E-7</v>
      </c>
      <c r="DO8" s="74">
        <v>8.2790000000000005E-7</v>
      </c>
      <c r="DP8" s="74">
        <v>7.9800000000000003E-7</v>
      </c>
      <c r="DQ8" s="74">
        <v>7.6909999999999997E-7</v>
      </c>
      <c r="DR8" s="74">
        <v>7.413E-7</v>
      </c>
      <c r="DS8" s="74">
        <v>7.145E-7</v>
      </c>
      <c r="DT8" s="74">
        <v>6.8859999999999996E-7</v>
      </c>
      <c r="DU8" s="74">
        <v>6.6369999999999999E-7</v>
      </c>
      <c r="DV8" s="74">
        <v>6.3969999999999999E-7</v>
      </c>
      <c r="DW8" s="74">
        <v>6.1659999999999995E-7</v>
      </c>
      <c r="DX8" s="74">
        <v>5.9419999999999996E-7</v>
      </c>
      <c r="DY8" s="74">
        <v>5.7280000000000005E-7</v>
      </c>
      <c r="DZ8" s="74">
        <v>5.5199999999999997E-7</v>
      </c>
      <c r="EA8" s="74">
        <v>5.3209999999999995E-7</v>
      </c>
      <c r="EB8" s="74">
        <v>5.1279999999999999E-7</v>
      </c>
      <c r="EC8" s="74">
        <v>4.9429999999999997E-7</v>
      </c>
      <c r="ED8" s="74">
        <v>4.764E-7</v>
      </c>
      <c r="EE8" s="74">
        <v>4.5919999999999998E-7</v>
      </c>
      <c r="EF8" s="74">
        <v>4.425E-7</v>
      </c>
      <c r="EG8" s="74">
        <v>4.2650000000000001E-7</v>
      </c>
      <c r="EH8" s="74">
        <v>4.1110000000000002E-7</v>
      </c>
      <c r="EI8" s="74">
        <v>3.9620000000000001E-7</v>
      </c>
      <c r="EJ8" s="74">
        <v>3.819E-7</v>
      </c>
      <c r="EK8" s="74">
        <v>3.6810000000000002E-7</v>
      </c>
      <c r="EL8" s="74">
        <v>3.5479999999999997E-7</v>
      </c>
      <c r="EM8" s="74">
        <v>3.4190000000000001E-7</v>
      </c>
      <c r="EN8" s="74">
        <v>3.2959999999999999E-7</v>
      </c>
      <c r="EO8" s="74">
        <v>3.1759999999999999E-7</v>
      </c>
      <c r="EP8" s="74">
        <v>3.0610000000000002E-7</v>
      </c>
      <c r="EQ8" s="74">
        <v>2.9509999999999999E-7</v>
      </c>
      <c r="ER8" s="74">
        <v>2.8439999999999998E-7</v>
      </c>
      <c r="ES8" s="74">
        <v>2.741E-7</v>
      </c>
      <c r="ET8" s="74">
        <v>2.642E-7</v>
      </c>
      <c r="EU8" s="74">
        <v>2.5460000000000002E-7</v>
      </c>
      <c r="EV8" s="74">
        <v>2.4540000000000001E-7</v>
      </c>
      <c r="EW8" s="74">
        <v>2.3650000000000001E-7</v>
      </c>
      <c r="EX8" s="74">
        <v>2.28E-7</v>
      </c>
      <c r="EY8" s="74">
        <v>2.1969999999999999E-7</v>
      </c>
      <c r="EZ8" s="74">
        <v>2.118E-7</v>
      </c>
      <c r="FA8" s="74">
        <v>2.0410000000000001E-7</v>
      </c>
      <c r="FB8" s="74">
        <v>1.9670000000000001E-7</v>
      </c>
      <c r="FC8" s="74">
        <v>1.896E-7</v>
      </c>
      <c r="FD8" s="74">
        <v>1.828E-7</v>
      </c>
      <c r="FE8" s="74">
        <v>1.762E-7</v>
      </c>
      <c r="FF8" s="74">
        <v>1.698E-7</v>
      </c>
      <c r="FG8" s="74">
        <v>1.6360000000000001E-7</v>
      </c>
      <c r="FH8" s="74">
        <v>1.5769999999999999E-7</v>
      </c>
      <c r="FI8" s="74">
        <v>1.5200000000000001E-7</v>
      </c>
      <c r="FJ8" s="74">
        <v>1.4649999999999999E-7</v>
      </c>
      <c r="FK8" s="74">
        <v>1.4119999999999999E-7</v>
      </c>
      <c r="FL8" s="74">
        <v>1.3610000000000001E-7</v>
      </c>
      <c r="FM8" s="74">
        <v>1.3120000000000001E-7</v>
      </c>
      <c r="FN8" s="74">
        <v>1.2639999999999999E-7</v>
      </c>
      <c r="FO8" s="74">
        <v>1.219E-7</v>
      </c>
      <c r="FP8" s="74">
        <v>1.1740000000000001E-7</v>
      </c>
      <c r="FQ8" s="74">
        <v>1.1319999999999999E-7</v>
      </c>
    </row>
    <row r="9" spans="1:173" x14ac:dyDescent="0.25">
      <c r="A9" s="76">
        <v>7</v>
      </c>
      <c r="B9" s="74">
        <v>5.0839800000000001E-5</v>
      </c>
      <c r="C9" s="74">
        <v>4.9069800000000002E-5</v>
      </c>
      <c r="D9" s="74">
        <v>4.7355399999999997E-5</v>
      </c>
      <c r="E9" s="74">
        <v>4.5695400000000003E-5</v>
      </c>
      <c r="F9" s="74">
        <v>4.4088599999999997E-5</v>
      </c>
      <c r="G9" s="74">
        <v>4.2533800000000003E-5</v>
      </c>
      <c r="H9" s="74">
        <v>4.1029599999999998E-5</v>
      </c>
      <c r="I9" s="74">
        <v>3.9574799999999999E-5</v>
      </c>
      <c r="J9" s="74">
        <v>3.8168099999999998E-5</v>
      </c>
      <c r="K9" s="74">
        <v>3.6808199999999998E-5</v>
      </c>
      <c r="L9" s="74">
        <v>3.5493900000000002E-5</v>
      </c>
      <c r="M9" s="74">
        <v>3.4223800000000003E-5</v>
      </c>
      <c r="N9" s="74">
        <v>3.2996700000000002E-5</v>
      </c>
      <c r="O9" s="74">
        <v>3.1811299999999998E-5</v>
      </c>
      <c r="P9" s="74">
        <v>3.0666500000000002E-5</v>
      </c>
      <c r="Q9" s="74">
        <v>2.9561100000000001E-5</v>
      </c>
      <c r="R9" s="74">
        <v>2.8493700000000001E-5</v>
      </c>
      <c r="S9" s="74">
        <v>2.7463399999999999E-5</v>
      </c>
      <c r="T9" s="74">
        <v>2.64689E-5</v>
      </c>
      <c r="U9" s="74">
        <v>2.5509099999999999E-5</v>
      </c>
      <c r="V9" s="74">
        <v>2.4582900000000001E-5</v>
      </c>
      <c r="W9" s="74">
        <v>2.36892E-5</v>
      </c>
      <c r="X9" s="74">
        <v>2.2827E-5</v>
      </c>
      <c r="Y9" s="74">
        <v>2.19954E-5</v>
      </c>
      <c r="Z9" s="74">
        <v>2.1193099999999999E-5</v>
      </c>
      <c r="AA9" s="74">
        <v>2.04194E-5</v>
      </c>
      <c r="AB9" s="74">
        <v>1.96733E-5</v>
      </c>
      <c r="AC9" s="74">
        <v>1.8953700000000001E-5</v>
      </c>
      <c r="AD9" s="74">
        <v>1.8259900000000001E-5</v>
      </c>
      <c r="AE9" s="74">
        <v>1.7591000000000001E-5</v>
      </c>
      <c r="AF9" s="74">
        <v>1.69461E-5</v>
      </c>
      <c r="AG9" s="74">
        <v>1.6324399999999999E-5</v>
      </c>
      <c r="AH9" s="74">
        <v>1.57251E-5</v>
      </c>
      <c r="AI9" s="74">
        <v>1.51474E-5</v>
      </c>
      <c r="AJ9" s="74">
        <v>1.4590600000000001E-5</v>
      </c>
      <c r="AK9" s="74">
        <v>1.4054E-5</v>
      </c>
      <c r="AL9" s="74">
        <v>1.3536800000000001E-5</v>
      </c>
      <c r="AM9" s="74">
        <v>1.30384E-5</v>
      </c>
      <c r="AN9" s="74">
        <v>1.2558199999999999E-5</v>
      </c>
      <c r="AO9" s="74">
        <v>1.2095399999999999E-5</v>
      </c>
      <c r="AP9" s="74">
        <v>1.1649400000000001E-5</v>
      </c>
      <c r="AQ9" s="74">
        <v>1.12197E-5</v>
      </c>
      <c r="AR9" s="74">
        <v>1.0805700000000001E-5</v>
      </c>
      <c r="AS9" s="74">
        <v>1.04069E-5</v>
      </c>
      <c r="AT9" s="74">
        <v>1.00226E-5</v>
      </c>
      <c r="AU9" s="74">
        <v>9.6523999999999993E-6</v>
      </c>
      <c r="AV9" s="74">
        <v>9.2956999999999998E-6</v>
      </c>
      <c r="AW9" s="74">
        <v>8.9522000000000004E-6</v>
      </c>
      <c r="AX9" s="74">
        <v>8.6211999999999997E-6</v>
      </c>
      <c r="AY9" s="74">
        <v>8.3024000000000003E-6</v>
      </c>
      <c r="AZ9" s="74">
        <v>7.9951999999999993E-6</v>
      </c>
      <c r="BA9" s="74">
        <v>7.6993999999999995E-6</v>
      </c>
      <c r="BB9" s="74">
        <v>7.4144999999999999E-6</v>
      </c>
      <c r="BC9" s="74">
        <v>7.1400000000000002E-6</v>
      </c>
      <c r="BD9" s="74">
        <v>6.8757000000000001E-6</v>
      </c>
      <c r="BE9" s="74">
        <v>6.6209999999999998E-6</v>
      </c>
      <c r="BF9" s="74">
        <v>6.3758E-6</v>
      </c>
      <c r="BG9" s="74">
        <v>6.1395999999999996E-6</v>
      </c>
      <c r="BH9" s="74">
        <v>5.9120999999999997E-6</v>
      </c>
      <c r="BI9" s="74">
        <v>5.6930999999999998E-6</v>
      </c>
      <c r="BJ9" s="74">
        <v>5.4821000000000004E-6</v>
      </c>
      <c r="BK9" s="74">
        <v>5.2788000000000002E-6</v>
      </c>
      <c r="BL9" s="74">
        <v>5.0830999999999997E-6</v>
      </c>
      <c r="BM9" s="74">
        <v>4.8946999999999999E-6</v>
      </c>
      <c r="BN9" s="74">
        <v>4.7132E-6</v>
      </c>
      <c r="BO9" s="74">
        <v>4.5383999999999996E-6</v>
      </c>
      <c r="BP9" s="74">
        <v>4.3699999999999997E-6</v>
      </c>
      <c r="BQ9" s="74">
        <v>4.2079E-6</v>
      </c>
      <c r="BR9" s="74">
        <v>4.0517999999999999E-6</v>
      </c>
      <c r="BS9" s="74">
        <v>3.9014999999999998E-6</v>
      </c>
      <c r="BT9" s="74">
        <v>3.7567E-6</v>
      </c>
      <c r="BU9" s="74">
        <v>3.6173000000000001E-6</v>
      </c>
      <c r="BV9" s="74">
        <v>3.4831000000000002E-6</v>
      </c>
      <c r="BW9" s="74">
        <v>3.3538E-6</v>
      </c>
      <c r="BX9" s="74">
        <v>3.2293000000000002E-6</v>
      </c>
      <c r="BY9" s="74">
        <v>3.1095E-6</v>
      </c>
      <c r="BZ9" s="74">
        <v>2.994E-6</v>
      </c>
      <c r="CA9" s="74">
        <v>2.8829E-6</v>
      </c>
      <c r="CB9" s="74">
        <v>2.7758000000000002E-6</v>
      </c>
      <c r="CC9" s="74">
        <v>2.6728000000000001E-6</v>
      </c>
      <c r="CD9" s="74">
        <v>2.5735E-6</v>
      </c>
      <c r="CE9" s="74">
        <v>2.4779999999999998E-6</v>
      </c>
      <c r="CF9" s="74">
        <v>2.3860000000000001E-6</v>
      </c>
      <c r="CG9" s="74">
        <v>2.2973999999999998E-6</v>
      </c>
      <c r="CH9" s="74">
        <v>2.2120000000000002E-6</v>
      </c>
      <c r="CI9" s="74">
        <v>2.1299000000000001E-6</v>
      </c>
      <c r="CJ9" s="74">
        <v>2.0507999999999999E-6</v>
      </c>
      <c r="CK9" s="74">
        <v>1.9746000000000001E-6</v>
      </c>
      <c r="CL9" s="74">
        <v>1.9012999999999999E-6</v>
      </c>
      <c r="CM9" s="74">
        <v>1.8306999999999999E-6</v>
      </c>
      <c r="CN9" s="74">
        <v>1.7627000000000001E-6</v>
      </c>
      <c r="CO9" s="74">
        <v>1.6972E-6</v>
      </c>
      <c r="CP9" s="74">
        <v>1.6340999999999999E-6</v>
      </c>
      <c r="CQ9" s="74">
        <v>1.5734E-6</v>
      </c>
      <c r="CR9" s="74">
        <v>1.5149999999999999E-6</v>
      </c>
      <c r="CS9" s="74">
        <v>1.4586999999999999E-6</v>
      </c>
      <c r="CT9" s="74">
        <v>1.4045000000000001E-6</v>
      </c>
      <c r="CU9" s="74">
        <v>1.3523E-6</v>
      </c>
      <c r="CV9" s="74">
        <v>1.3021E-6</v>
      </c>
      <c r="CW9" s="74">
        <v>1.2537E-6</v>
      </c>
      <c r="CX9" s="74">
        <v>1.2071000000000001E-6</v>
      </c>
      <c r="CY9" s="74">
        <v>1.1623000000000001E-6</v>
      </c>
      <c r="CZ9" s="74">
        <v>1.1191E-6</v>
      </c>
      <c r="DA9" s="74">
        <v>1.0775000000000001E-6</v>
      </c>
      <c r="DB9" s="74">
        <v>1.0375E-6</v>
      </c>
      <c r="DC9" s="74">
        <v>9.9890000000000008E-7</v>
      </c>
      <c r="DD9" s="74">
        <v>9.6180000000000005E-7</v>
      </c>
      <c r="DE9" s="74">
        <v>9.2610000000000001E-7</v>
      </c>
      <c r="DF9" s="74">
        <v>8.9169999999999997E-7</v>
      </c>
      <c r="DG9" s="74">
        <v>8.5850000000000002E-7</v>
      </c>
      <c r="DH9" s="74">
        <v>8.2659999999999995E-7</v>
      </c>
      <c r="DI9" s="74">
        <v>7.9589999999999997E-7</v>
      </c>
      <c r="DJ9" s="74">
        <v>7.6629999999999997E-7</v>
      </c>
      <c r="DK9" s="74">
        <v>7.3789999999999996E-7</v>
      </c>
      <c r="DL9" s="74">
        <v>7.1040000000000001E-7</v>
      </c>
      <c r="DM9" s="74">
        <v>6.8400000000000004E-7</v>
      </c>
      <c r="DN9" s="74">
        <v>6.5860000000000003E-7</v>
      </c>
      <c r="DO9" s="74">
        <v>6.342E-7</v>
      </c>
      <c r="DP9" s="74">
        <v>6.1060000000000003E-7</v>
      </c>
      <c r="DQ9" s="74">
        <v>5.8790000000000002E-7</v>
      </c>
      <c r="DR9" s="74">
        <v>5.6599999999999996E-7</v>
      </c>
      <c r="DS9" s="74">
        <v>5.4499999999999997E-7</v>
      </c>
      <c r="DT9" s="74">
        <v>5.2480000000000004E-7</v>
      </c>
      <c r="DU9" s="74">
        <v>5.0529999999999995E-7</v>
      </c>
      <c r="DV9" s="74">
        <v>4.8650000000000002E-7</v>
      </c>
      <c r="DW9" s="74">
        <v>4.6839999999999999E-7</v>
      </c>
      <c r="DX9" s="74">
        <v>4.51E-7</v>
      </c>
      <c r="DY9" s="74">
        <v>4.3420000000000001E-7</v>
      </c>
      <c r="DZ9" s="74">
        <v>4.1810000000000002E-7</v>
      </c>
      <c r="EA9" s="74">
        <v>4.0260000000000002E-7</v>
      </c>
      <c r="EB9" s="74">
        <v>3.876E-7</v>
      </c>
      <c r="EC9" s="74">
        <v>3.7319999999999998E-7</v>
      </c>
      <c r="ED9" s="74">
        <v>3.5929999999999999E-7</v>
      </c>
      <c r="EE9" s="74">
        <v>3.46E-7</v>
      </c>
      <c r="EF9" s="74">
        <v>3.3309999999999999E-7</v>
      </c>
      <c r="EG9" s="74">
        <v>3.2070000000000001E-7</v>
      </c>
      <c r="EH9" s="74">
        <v>3.0880000000000001E-7</v>
      </c>
      <c r="EI9" s="74">
        <v>2.973E-7</v>
      </c>
      <c r="EJ9" s="74">
        <v>2.8630000000000002E-7</v>
      </c>
      <c r="EK9" s="74">
        <v>2.7560000000000001E-7</v>
      </c>
      <c r="EL9" s="74">
        <v>2.6539999999999998E-7</v>
      </c>
      <c r="EM9" s="74">
        <v>2.5549999999999998E-7</v>
      </c>
      <c r="EN9" s="74">
        <v>2.4600000000000001E-7</v>
      </c>
      <c r="EO9" s="74">
        <v>2.3690000000000001E-7</v>
      </c>
      <c r="EP9" s="74">
        <v>2.2810000000000001E-7</v>
      </c>
      <c r="EQ9" s="74">
        <v>2.1960000000000001E-7</v>
      </c>
      <c r="ER9" s="74">
        <v>2.1150000000000001E-7</v>
      </c>
      <c r="ES9" s="74">
        <v>2.036E-7</v>
      </c>
      <c r="ET9" s="74">
        <v>1.9600000000000001E-7</v>
      </c>
      <c r="EU9" s="74">
        <v>1.8869999999999999E-7</v>
      </c>
      <c r="EV9" s="74">
        <v>1.8169999999999999E-7</v>
      </c>
      <c r="EW9" s="74">
        <v>1.7499999999999999E-7</v>
      </c>
      <c r="EX9" s="74">
        <v>1.6850000000000001E-7</v>
      </c>
      <c r="EY9" s="74">
        <v>1.6220000000000001E-7</v>
      </c>
      <c r="EZ9" s="74">
        <v>1.5620000000000001E-7</v>
      </c>
      <c r="FA9" s="74">
        <v>1.504E-7</v>
      </c>
      <c r="FB9" s="74">
        <v>1.448E-7</v>
      </c>
      <c r="FC9" s="74">
        <v>1.3939999999999999E-7</v>
      </c>
      <c r="FD9" s="74">
        <v>1.342E-7</v>
      </c>
      <c r="FE9" s="74">
        <v>1.2919999999999999E-7</v>
      </c>
      <c r="FF9" s="74">
        <v>1.244E-7</v>
      </c>
      <c r="FG9" s="74">
        <v>1.198E-7</v>
      </c>
      <c r="FH9" s="74">
        <v>1.154E-7</v>
      </c>
      <c r="FI9" s="74">
        <v>1.111E-7</v>
      </c>
      <c r="FJ9" s="74">
        <v>1.069E-7</v>
      </c>
      <c r="FK9" s="74">
        <v>1.03E-7</v>
      </c>
      <c r="FL9" s="74">
        <v>9.9099999999999994E-8</v>
      </c>
      <c r="FM9" s="74">
        <v>9.5500000000000002E-8</v>
      </c>
      <c r="FN9" s="74">
        <v>9.1899999999999996E-8</v>
      </c>
      <c r="FO9" s="74">
        <v>8.8500000000000005E-8</v>
      </c>
      <c r="FP9" s="74">
        <v>8.5199999999999995E-8</v>
      </c>
      <c r="FQ9" s="74">
        <v>8.2000000000000006E-8</v>
      </c>
    </row>
    <row r="10" spans="1:173" x14ac:dyDescent="0.25">
      <c r="A10" s="76">
        <v>8</v>
      </c>
      <c r="B10" s="74">
        <v>5.0746499999999999E-5</v>
      </c>
      <c r="C10" s="74">
        <v>4.9186700000000001E-5</v>
      </c>
      <c r="D10" s="74">
        <v>4.7667899999999998E-5</v>
      </c>
      <c r="E10" s="74">
        <v>4.6189400000000002E-5</v>
      </c>
      <c r="F10" s="74">
        <v>4.4750799999999999E-5</v>
      </c>
      <c r="G10" s="74">
        <v>4.33515E-5</v>
      </c>
      <c r="H10" s="74">
        <v>4.1990799999999998E-5</v>
      </c>
      <c r="I10" s="74">
        <v>4.0668299999999998E-5</v>
      </c>
      <c r="J10" s="74">
        <v>3.9383099999999999E-5</v>
      </c>
      <c r="K10" s="74">
        <v>3.8134599999999999E-5</v>
      </c>
      <c r="L10" s="74">
        <v>3.6922199999999997E-5</v>
      </c>
      <c r="M10" s="74">
        <v>3.5744899999999997E-5</v>
      </c>
      <c r="N10" s="74">
        <v>3.4602199999999999E-5</v>
      </c>
      <c r="O10" s="74">
        <v>3.34932E-5</v>
      </c>
      <c r="P10" s="74">
        <v>3.2417199999999999E-5</v>
      </c>
      <c r="Q10" s="74">
        <v>3.13734E-5</v>
      </c>
      <c r="R10" s="74">
        <v>3.03611E-5</v>
      </c>
      <c r="S10" s="74">
        <v>2.9379499999999999E-5</v>
      </c>
      <c r="T10" s="74">
        <v>2.8427699999999999E-5</v>
      </c>
      <c r="U10" s="74">
        <v>2.7505199999999999E-5</v>
      </c>
      <c r="V10" s="74">
        <v>2.66111E-5</v>
      </c>
      <c r="W10" s="74">
        <v>2.5744600000000001E-5</v>
      </c>
      <c r="X10" s="74">
        <v>2.49051E-5</v>
      </c>
      <c r="Y10" s="74">
        <v>2.4091799999999999E-5</v>
      </c>
      <c r="Z10" s="74">
        <v>2.3303899999999999E-5</v>
      </c>
      <c r="AA10" s="74">
        <v>2.2540799999999999E-5</v>
      </c>
      <c r="AB10" s="74">
        <v>2.1801799999999999E-5</v>
      </c>
      <c r="AC10" s="74">
        <v>2.1086200000000002E-5</v>
      </c>
      <c r="AD10" s="74">
        <v>2.03933E-5</v>
      </c>
      <c r="AE10" s="74">
        <v>1.97225E-5</v>
      </c>
      <c r="AF10" s="74">
        <v>1.9073099999999999E-5</v>
      </c>
      <c r="AG10" s="74">
        <v>1.8444499999999999E-5</v>
      </c>
      <c r="AH10" s="74">
        <v>1.78361E-5</v>
      </c>
      <c r="AI10" s="74">
        <v>1.72472E-5</v>
      </c>
      <c r="AJ10" s="74">
        <v>1.6677400000000001E-5</v>
      </c>
      <c r="AK10" s="74">
        <v>1.6125900000000001E-5</v>
      </c>
      <c r="AL10" s="74">
        <v>1.55923E-5</v>
      </c>
      <c r="AM10" s="74">
        <v>1.5075999999999999E-5</v>
      </c>
      <c r="AN10" s="74">
        <v>1.45765E-5</v>
      </c>
      <c r="AO10" s="74">
        <v>1.4093199999999999E-5</v>
      </c>
      <c r="AP10" s="74">
        <v>1.3625700000000001E-5</v>
      </c>
      <c r="AQ10" s="74">
        <v>1.31734E-5</v>
      </c>
      <c r="AR10" s="74">
        <v>1.2736E-5</v>
      </c>
      <c r="AS10" s="74">
        <v>1.23128E-5</v>
      </c>
      <c r="AT10" s="74">
        <v>1.19035E-5</v>
      </c>
      <c r="AU10" s="74">
        <v>1.15077E-5</v>
      </c>
      <c r="AV10" s="74">
        <v>1.1124800000000001E-5</v>
      </c>
      <c r="AW10" s="74">
        <v>1.07546E-5</v>
      </c>
      <c r="AX10" s="74">
        <v>1.0396499999999999E-5</v>
      </c>
      <c r="AY10" s="74">
        <v>1.0050200000000001E-5</v>
      </c>
      <c r="AZ10" s="74">
        <v>9.7154000000000002E-6</v>
      </c>
      <c r="BA10" s="74">
        <v>9.3916E-6</v>
      </c>
      <c r="BB10" s="74">
        <v>9.0784999999999996E-6</v>
      </c>
      <c r="BC10" s="74">
        <v>8.7756999999999997E-6</v>
      </c>
      <c r="BD10" s="74">
        <v>8.4829999999999999E-6</v>
      </c>
      <c r="BE10" s="74">
        <v>8.1998999999999992E-6</v>
      </c>
      <c r="BF10" s="74">
        <v>7.9262000000000004E-6</v>
      </c>
      <c r="BG10" s="74">
        <v>7.6615999999999996E-6</v>
      </c>
      <c r="BH10" s="74">
        <v>7.4058000000000003E-6</v>
      </c>
      <c r="BI10" s="74">
        <v>7.1585000000000002E-6</v>
      </c>
      <c r="BJ10" s="74">
        <v>6.9194000000000002E-6</v>
      </c>
      <c r="BK10" s="74">
        <v>6.6881999999999998E-6</v>
      </c>
      <c r="BL10" s="74">
        <v>6.4647000000000001E-6</v>
      </c>
      <c r="BM10" s="74">
        <v>6.2485999999999998E-6</v>
      </c>
      <c r="BN10" s="74">
        <v>6.0398000000000002E-6</v>
      </c>
      <c r="BO10" s="74">
        <v>5.8378000000000002E-6</v>
      </c>
      <c r="BP10" s="74">
        <v>5.6426E-6</v>
      </c>
      <c r="BQ10" s="74">
        <v>5.4539000000000004E-6</v>
      </c>
      <c r="BR10" s="74">
        <v>5.2715000000000003E-6</v>
      </c>
      <c r="BS10" s="74">
        <v>5.0951999999999999E-6</v>
      </c>
      <c r="BT10" s="74">
        <v>4.9246999999999996E-6</v>
      </c>
      <c r="BU10" s="74">
        <v>4.7600000000000002E-6</v>
      </c>
      <c r="BV10" s="74">
        <v>4.6006999999999998E-6</v>
      </c>
      <c r="BW10" s="74">
        <v>4.4467000000000001E-6</v>
      </c>
      <c r="BX10" s="74">
        <v>4.2979E-6</v>
      </c>
      <c r="BY10" s="74">
        <v>4.1540999999999997E-6</v>
      </c>
      <c r="BZ10" s="74">
        <v>4.0149999999999997E-6</v>
      </c>
      <c r="CA10" s="74">
        <v>3.8805999999999997E-6</v>
      </c>
      <c r="CB10" s="74">
        <v>3.7506999999999999E-6</v>
      </c>
      <c r="CC10" s="74">
        <v>3.6250999999999998E-6</v>
      </c>
      <c r="CD10" s="74">
        <v>3.5037E-6</v>
      </c>
      <c r="CE10" s="74">
        <v>3.3863999999999999E-6</v>
      </c>
      <c r="CF10" s="74">
        <v>3.2729999999999998E-6</v>
      </c>
      <c r="CG10" s="74">
        <v>3.1634000000000001E-6</v>
      </c>
      <c r="CH10" s="74">
        <v>3.0574000000000002E-6</v>
      </c>
      <c r="CI10" s="74">
        <v>2.9550000000000001E-6</v>
      </c>
      <c r="CJ10" s="74">
        <v>2.8561000000000001E-6</v>
      </c>
      <c r="CK10" s="74">
        <v>2.7603999999999999E-6</v>
      </c>
      <c r="CL10" s="74">
        <v>2.6678999999999999E-6</v>
      </c>
      <c r="CM10" s="74">
        <v>2.5786000000000002E-6</v>
      </c>
      <c r="CN10" s="74">
        <v>2.4922E-6</v>
      </c>
      <c r="CO10" s="74">
        <v>2.4086999999999999E-6</v>
      </c>
      <c r="CP10" s="74">
        <v>2.328E-6</v>
      </c>
      <c r="CQ10" s="74">
        <v>2.2500000000000001E-6</v>
      </c>
      <c r="CR10" s="74">
        <v>2.1745999999999999E-6</v>
      </c>
      <c r="CS10" s="74">
        <v>2.1017000000000001E-6</v>
      </c>
      <c r="CT10" s="74">
        <v>2.0312999999999999E-6</v>
      </c>
      <c r="CU10" s="74">
        <v>1.9632000000000001E-6</v>
      </c>
      <c r="CV10" s="74">
        <v>1.8975E-6</v>
      </c>
      <c r="CW10" s="74">
        <v>1.8338999999999999E-6</v>
      </c>
      <c r="CX10" s="74">
        <v>1.7724E-6</v>
      </c>
      <c r="CY10" s="74">
        <v>1.7129999999999999E-6</v>
      </c>
      <c r="CZ10" s="74">
        <v>1.6556000000000001E-6</v>
      </c>
      <c r="DA10" s="74">
        <v>1.6000999999999999E-6</v>
      </c>
      <c r="DB10" s="74">
        <v>1.5464999999999999E-6</v>
      </c>
      <c r="DC10" s="74">
        <v>1.4947000000000001E-6</v>
      </c>
      <c r="DD10" s="74">
        <v>1.4445999999999999E-6</v>
      </c>
      <c r="DE10" s="74">
        <v>1.3962000000000001E-6</v>
      </c>
      <c r="DF10" s="74">
        <v>1.3493999999999999E-6</v>
      </c>
      <c r="DG10" s="74">
        <v>1.3040999999999999E-6</v>
      </c>
      <c r="DH10" s="74">
        <v>1.2604E-6</v>
      </c>
      <c r="DI10" s="74">
        <v>1.2182E-6</v>
      </c>
      <c r="DJ10" s="74">
        <v>1.1772999999999999E-6</v>
      </c>
      <c r="DK10" s="74">
        <v>1.1378999999999999E-6</v>
      </c>
      <c r="DL10" s="74">
        <v>1.0997E-6</v>
      </c>
      <c r="DM10" s="74">
        <v>1.0629E-6</v>
      </c>
      <c r="DN10" s="74">
        <v>1.0273000000000001E-6</v>
      </c>
      <c r="DO10" s="74">
        <v>9.9280000000000005E-7</v>
      </c>
      <c r="DP10" s="74">
        <v>9.5950000000000009E-7</v>
      </c>
      <c r="DQ10" s="74">
        <v>9.2740000000000001E-7</v>
      </c>
      <c r="DR10" s="74">
        <v>8.963E-7</v>
      </c>
      <c r="DS10" s="74">
        <v>8.6619999999999996E-7</v>
      </c>
      <c r="DT10" s="74">
        <v>8.3720000000000001E-7</v>
      </c>
      <c r="DU10" s="74">
        <v>8.0910000000000001E-7</v>
      </c>
      <c r="DV10" s="74">
        <v>7.8199999999999999E-7</v>
      </c>
      <c r="DW10" s="74">
        <v>7.5580000000000003E-7</v>
      </c>
      <c r="DX10" s="74">
        <v>7.3050000000000004E-7</v>
      </c>
      <c r="DY10" s="74">
        <v>7.06E-7</v>
      </c>
      <c r="DZ10" s="74">
        <v>6.8230000000000001E-7</v>
      </c>
      <c r="EA10" s="74">
        <v>6.5939999999999999E-7</v>
      </c>
      <c r="EB10" s="74">
        <v>6.3730000000000002E-7</v>
      </c>
      <c r="EC10" s="74">
        <v>6.1600000000000001E-7</v>
      </c>
      <c r="ED10" s="74">
        <v>5.9530000000000004E-7</v>
      </c>
      <c r="EE10" s="74">
        <v>5.7540000000000003E-7</v>
      </c>
      <c r="EF10" s="74">
        <v>5.5609999999999996E-7</v>
      </c>
      <c r="EG10" s="74">
        <v>5.3740000000000003E-7</v>
      </c>
      <c r="EH10" s="74">
        <v>5.1939999999999995E-7</v>
      </c>
      <c r="EI10" s="74">
        <v>5.0200000000000002E-7</v>
      </c>
      <c r="EJ10" s="74">
        <v>4.8520000000000003E-7</v>
      </c>
      <c r="EK10" s="74">
        <v>4.6890000000000002E-7</v>
      </c>
      <c r="EL10" s="74">
        <v>4.5320000000000001E-7</v>
      </c>
      <c r="EM10" s="74">
        <v>4.3799999999999998E-7</v>
      </c>
      <c r="EN10" s="74">
        <v>4.2329999999999999E-7</v>
      </c>
      <c r="EO10" s="74">
        <v>4.0909999999999998E-7</v>
      </c>
      <c r="EP10" s="74">
        <v>3.9540000000000001E-7</v>
      </c>
      <c r="EQ10" s="74">
        <v>3.8220000000000002E-7</v>
      </c>
      <c r="ER10" s="74">
        <v>3.693E-7</v>
      </c>
      <c r="ES10" s="74">
        <v>3.5699999999999998E-7</v>
      </c>
      <c r="ET10" s="74">
        <v>3.4499999999999998E-7</v>
      </c>
      <c r="EU10" s="74">
        <v>3.3340000000000001E-7</v>
      </c>
      <c r="EV10" s="74">
        <v>3.2220000000000001E-7</v>
      </c>
      <c r="EW10" s="74">
        <v>3.114E-7</v>
      </c>
      <c r="EX10" s="74">
        <v>3.0100000000000001E-7</v>
      </c>
      <c r="EY10" s="74">
        <v>2.9089999999999999E-7</v>
      </c>
      <c r="EZ10" s="74">
        <v>2.812E-7</v>
      </c>
      <c r="FA10" s="74">
        <v>2.7169999999999998E-7</v>
      </c>
      <c r="FB10" s="74">
        <v>2.6259999999999998E-7</v>
      </c>
      <c r="FC10" s="74">
        <v>2.5380000000000001E-7</v>
      </c>
      <c r="FD10" s="74">
        <v>2.4530000000000001E-7</v>
      </c>
      <c r="FE10" s="74">
        <v>2.371E-7</v>
      </c>
      <c r="FF10" s="74">
        <v>2.2910000000000001E-7</v>
      </c>
      <c r="FG10" s="74">
        <v>2.2149999999999999E-7</v>
      </c>
      <c r="FH10" s="74">
        <v>2.1400000000000001E-7</v>
      </c>
      <c r="FI10" s="74">
        <v>2.0690000000000001E-7</v>
      </c>
      <c r="FJ10" s="74">
        <v>1.9990000000000001E-7</v>
      </c>
      <c r="FK10" s="74">
        <v>1.9320000000000001E-7</v>
      </c>
      <c r="FL10" s="74">
        <v>1.867E-7</v>
      </c>
      <c r="FM10" s="74">
        <v>1.8050000000000001E-7</v>
      </c>
      <c r="FN10" s="74">
        <v>1.744E-7</v>
      </c>
      <c r="FO10" s="74">
        <v>1.6859999999999999E-7</v>
      </c>
      <c r="FP10" s="74">
        <v>1.6290000000000001E-7</v>
      </c>
      <c r="FQ10" s="74">
        <v>1.575E-7</v>
      </c>
    </row>
    <row r="11" spans="1:173" x14ac:dyDescent="0.25">
      <c r="A11" s="76">
        <v>9</v>
      </c>
      <c r="B11" s="74">
        <v>5.6159000000000002E-5</v>
      </c>
      <c r="C11" s="74">
        <v>5.4466699999999998E-5</v>
      </c>
      <c r="D11" s="74">
        <v>5.2818899999999997E-5</v>
      </c>
      <c r="E11" s="74">
        <v>5.1214999999999997E-5</v>
      </c>
      <c r="F11" s="74">
        <v>4.9654300000000003E-5</v>
      </c>
      <c r="G11" s="74">
        <v>4.8136200000000002E-5</v>
      </c>
      <c r="H11" s="74">
        <v>4.6659799999999997E-5</v>
      </c>
      <c r="I11" s="74">
        <v>4.52245E-5</v>
      </c>
      <c r="J11" s="74">
        <v>4.3829399999999997E-5</v>
      </c>
      <c r="K11" s="74">
        <v>4.24738E-5</v>
      </c>
      <c r="L11" s="74">
        <v>4.1156799999999999E-5</v>
      </c>
      <c r="M11" s="74">
        <v>3.9877599999999999E-5</v>
      </c>
      <c r="N11" s="74">
        <v>3.8635299999999999E-5</v>
      </c>
      <c r="O11" s="74">
        <v>3.7429299999999998E-5</v>
      </c>
      <c r="P11" s="74">
        <v>3.6258499999999999E-5</v>
      </c>
      <c r="Q11" s="74">
        <v>3.51221E-5</v>
      </c>
      <c r="R11" s="74">
        <v>3.4019400000000002E-5</v>
      </c>
      <c r="S11" s="74">
        <v>3.29495E-5</v>
      </c>
      <c r="T11" s="74">
        <v>3.1911600000000001E-5</v>
      </c>
      <c r="U11" s="74">
        <v>3.0904800000000003E-5</v>
      </c>
      <c r="V11" s="74">
        <v>2.99284E-5</v>
      </c>
      <c r="W11" s="74">
        <v>2.89815E-5</v>
      </c>
      <c r="X11" s="74">
        <v>2.80634E-5</v>
      </c>
      <c r="Y11" s="74">
        <v>2.71733E-5</v>
      </c>
      <c r="Z11" s="74">
        <v>2.6310400000000001E-5</v>
      </c>
      <c r="AA11" s="74">
        <v>2.5474E-5</v>
      </c>
      <c r="AB11" s="74">
        <v>2.4663300000000002E-5</v>
      </c>
      <c r="AC11" s="74">
        <v>2.38777E-5</v>
      </c>
      <c r="AD11" s="74">
        <v>2.3116400000000001E-5</v>
      </c>
      <c r="AE11" s="74">
        <v>2.23787E-5</v>
      </c>
      <c r="AF11" s="74">
        <v>2.1663900000000001E-5</v>
      </c>
      <c r="AG11" s="74">
        <v>2.0971400000000001E-5</v>
      </c>
      <c r="AH11" s="74">
        <v>2.03005E-5</v>
      </c>
      <c r="AI11" s="74">
        <v>1.9650700000000001E-5</v>
      </c>
      <c r="AJ11" s="74">
        <v>1.90212E-5</v>
      </c>
      <c r="AK11" s="74">
        <v>1.8411400000000001E-5</v>
      </c>
      <c r="AL11" s="74">
        <v>1.7820900000000001E-5</v>
      </c>
      <c r="AM11" s="74">
        <v>1.7249E-5</v>
      </c>
      <c r="AN11" s="74">
        <v>1.6695099999999999E-5</v>
      </c>
      <c r="AO11" s="74">
        <v>1.6158700000000002E-5</v>
      </c>
      <c r="AP11" s="74">
        <v>1.5639300000000001E-5</v>
      </c>
      <c r="AQ11" s="74">
        <v>1.51364E-5</v>
      </c>
      <c r="AR11" s="74">
        <v>1.4649400000000001E-5</v>
      </c>
      <c r="AS11" s="74">
        <v>1.41779E-5</v>
      </c>
      <c r="AT11" s="74">
        <v>1.37214E-5</v>
      </c>
      <c r="AU11" s="74">
        <v>1.32794E-5</v>
      </c>
      <c r="AV11" s="74">
        <v>1.2851600000000001E-5</v>
      </c>
      <c r="AW11" s="74">
        <v>1.24373E-5</v>
      </c>
      <c r="AX11" s="74">
        <v>1.20363E-5</v>
      </c>
      <c r="AY11" s="74">
        <v>1.1648099999999999E-5</v>
      </c>
      <c r="AZ11" s="74">
        <v>1.12723E-5</v>
      </c>
      <c r="BA11" s="74">
        <v>1.0908500000000001E-5</v>
      </c>
      <c r="BB11" s="74">
        <v>1.0556399999999999E-5</v>
      </c>
      <c r="BC11" s="74">
        <v>1.0215500000000001E-5</v>
      </c>
      <c r="BD11" s="74">
        <v>9.8856000000000007E-6</v>
      </c>
      <c r="BE11" s="74">
        <v>9.5663000000000002E-6</v>
      </c>
      <c r="BF11" s="74">
        <v>9.2572000000000001E-6</v>
      </c>
      <c r="BG11" s="74">
        <v>8.9580999999999998E-6</v>
      </c>
      <c r="BH11" s="74">
        <v>8.6685000000000001E-6</v>
      </c>
      <c r="BI11" s="74">
        <v>8.3883000000000006E-6</v>
      </c>
      <c r="BJ11" s="74">
        <v>8.1171000000000006E-6</v>
      </c>
      <c r="BK11" s="74">
        <v>7.8545999999999993E-6</v>
      </c>
      <c r="BL11" s="74">
        <v>7.6005000000000003E-6</v>
      </c>
      <c r="BM11" s="74">
        <v>7.3547000000000001E-6</v>
      </c>
      <c r="BN11" s="74">
        <v>7.1167E-6</v>
      </c>
      <c r="BO11" s="74">
        <v>6.8865E-6</v>
      </c>
      <c r="BP11" s="74">
        <v>6.6636E-6</v>
      </c>
      <c r="BQ11" s="74">
        <v>6.4478999999999997E-6</v>
      </c>
      <c r="BR11" s="74">
        <v>6.2392000000000003E-6</v>
      </c>
      <c r="BS11" s="74">
        <v>6.0372999999999998E-6</v>
      </c>
      <c r="BT11" s="74">
        <v>5.8417999999999997E-6</v>
      </c>
      <c r="BU11" s="74">
        <v>5.6527000000000001E-6</v>
      </c>
      <c r="BV11" s="74">
        <v>5.4696000000000001E-6</v>
      </c>
      <c r="BW11" s="74">
        <v>5.2924999999999997E-6</v>
      </c>
      <c r="BX11" s="74">
        <v>5.1211E-6</v>
      </c>
      <c r="BY11" s="74">
        <v>4.9551999999999996E-6</v>
      </c>
      <c r="BZ11" s="74">
        <v>4.7947E-6</v>
      </c>
      <c r="CA11" s="74">
        <v>4.6394E-6</v>
      </c>
      <c r="CB11" s="74">
        <v>4.4890999999999999E-6</v>
      </c>
      <c r="CC11" s="74">
        <v>4.3436999999999996E-6</v>
      </c>
      <c r="CD11" s="74">
        <v>4.2030000000000002E-6</v>
      </c>
      <c r="CE11" s="74">
        <v>4.0667999999999998E-6</v>
      </c>
      <c r="CF11" s="74">
        <v>3.9349999999999996E-6</v>
      </c>
      <c r="CG11" s="74">
        <v>3.8075E-6</v>
      </c>
      <c r="CH11" s="74">
        <v>3.6841E-6</v>
      </c>
      <c r="CI11" s="74">
        <v>3.5646999999999999E-6</v>
      </c>
      <c r="CJ11" s="74">
        <v>3.4491999999999999E-6</v>
      </c>
      <c r="CK11" s="74">
        <v>3.3374E-6</v>
      </c>
      <c r="CL11" s="74">
        <v>3.2291999999999999E-6</v>
      </c>
      <c r="CM11" s="74">
        <v>3.1246000000000001E-6</v>
      </c>
      <c r="CN11" s="74">
        <v>3.0232999999999999E-6</v>
      </c>
      <c r="CO11" s="74">
        <v>2.9253000000000002E-6</v>
      </c>
      <c r="CP11" s="74">
        <v>2.8304999999999998E-6</v>
      </c>
      <c r="CQ11" s="74">
        <v>2.7387000000000001E-6</v>
      </c>
      <c r="CR11" s="74">
        <v>2.6498999999999998E-6</v>
      </c>
      <c r="CS11" s="74">
        <v>2.5639999999999999E-6</v>
      </c>
      <c r="CT11" s="74">
        <v>2.4808999999999998E-6</v>
      </c>
      <c r="CU11" s="74">
        <v>2.4005000000000001E-6</v>
      </c>
      <c r="CV11" s="74">
        <v>2.3226999999999998E-6</v>
      </c>
      <c r="CW11" s="74">
        <v>2.2473999999999999E-6</v>
      </c>
      <c r="CX11" s="74">
        <v>2.1745000000000001E-6</v>
      </c>
      <c r="CY11" s="74">
        <v>2.1040000000000001E-6</v>
      </c>
      <c r="CZ11" s="74">
        <v>2.0358000000000001E-6</v>
      </c>
      <c r="DA11" s="74">
        <v>1.9698000000000002E-6</v>
      </c>
      <c r="DB11" s="74">
        <v>1.9059E-6</v>
      </c>
      <c r="DC11" s="74">
        <v>1.8441000000000001E-6</v>
      </c>
      <c r="DD11" s="74">
        <v>1.7843E-6</v>
      </c>
      <c r="DE11" s="74">
        <v>1.7264999999999999E-6</v>
      </c>
      <c r="DF11" s="74">
        <v>1.6704999999999999E-6</v>
      </c>
      <c r="DG11" s="74">
        <v>1.6163000000000001E-6</v>
      </c>
      <c r="DH11" s="74">
        <v>1.5639E-6</v>
      </c>
      <c r="DI11" s="74">
        <v>1.5132E-6</v>
      </c>
      <c r="DJ11" s="74">
        <v>1.4641000000000001E-6</v>
      </c>
      <c r="DK11" s="74">
        <v>1.4165999999999999E-6</v>
      </c>
      <c r="DL11" s="74">
        <v>1.3707000000000001E-6</v>
      </c>
      <c r="DM11" s="74">
        <v>1.3261999999999999E-6</v>
      </c>
      <c r="DN11" s="74">
        <v>1.2832000000000001E-6</v>
      </c>
      <c r="DO11" s="74">
        <v>1.2415999999999999E-6</v>
      </c>
      <c r="DP11" s="74">
        <v>1.2014000000000001E-6</v>
      </c>
      <c r="DQ11" s="74">
        <v>1.1624000000000001E-6</v>
      </c>
      <c r="DR11" s="74">
        <v>1.1247E-6</v>
      </c>
      <c r="DS11" s="74">
        <v>1.0882E-6</v>
      </c>
      <c r="DT11" s="74">
        <v>1.0528999999999999E-6</v>
      </c>
      <c r="DU11" s="74">
        <v>1.0188000000000001E-6</v>
      </c>
      <c r="DV11" s="74">
        <v>9.8579999999999995E-7</v>
      </c>
      <c r="DW11" s="74">
        <v>9.5380000000000008E-7</v>
      </c>
      <c r="DX11" s="74">
        <v>9.2289999999999999E-7</v>
      </c>
      <c r="DY11" s="74">
        <v>8.9289999999999996E-7</v>
      </c>
      <c r="DZ11" s="74">
        <v>8.6400000000000001E-7</v>
      </c>
      <c r="EA11" s="74">
        <v>8.3590000000000001E-7</v>
      </c>
      <c r="EB11" s="74">
        <v>8.0879999999999999E-7</v>
      </c>
      <c r="EC11" s="74">
        <v>7.8260000000000003E-7</v>
      </c>
      <c r="ED11" s="74">
        <v>7.5720000000000003E-7</v>
      </c>
      <c r="EE11" s="74">
        <v>7.3269999999999999E-7</v>
      </c>
      <c r="EF11" s="74">
        <v>7.089E-7</v>
      </c>
      <c r="EG11" s="74">
        <v>6.8589999999999997E-7</v>
      </c>
      <c r="EH11" s="74">
        <v>6.6369999999999999E-7</v>
      </c>
      <c r="EI11" s="74">
        <v>6.4209999999999996E-7</v>
      </c>
      <c r="EJ11" s="74">
        <v>6.2129999999999998E-7</v>
      </c>
      <c r="EK11" s="74">
        <v>6.0119999999999996E-7</v>
      </c>
      <c r="EL11" s="74">
        <v>5.8169999999999997E-7</v>
      </c>
      <c r="EM11" s="74">
        <v>5.6280000000000004E-7</v>
      </c>
      <c r="EN11" s="74">
        <v>5.4460000000000005E-7</v>
      </c>
      <c r="EO11" s="74">
        <v>5.2689999999999999E-7</v>
      </c>
      <c r="EP11" s="74">
        <v>5.0979999999999997E-7</v>
      </c>
      <c r="EQ11" s="74">
        <v>4.933E-7</v>
      </c>
      <c r="ER11" s="74">
        <v>4.7729999999999997E-7</v>
      </c>
      <c r="ES11" s="74">
        <v>4.6180000000000002E-7</v>
      </c>
      <c r="ET11" s="74">
        <v>4.468E-7</v>
      </c>
      <c r="EU11" s="74">
        <v>4.3230000000000003E-7</v>
      </c>
      <c r="EV11" s="74">
        <v>4.1829999999999998E-7</v>
      </c>
      <c r="EW11" s="74">
        <v>4.0470000000000002E-7</v>
      </c>
      <c r="EX11" s="74">
        <v>3.9159999999999999E-7</v>
      </c>
      <c r="EY11" s="74">
        <v>3.7889999999999998E-7</v>
      </c>
      <c r="EZ11" s="74">
        <v>3.6660000000000001E-7</v>
      </c>
      <c r="FA11" s="74">
        <v>3.5470000000000002E-7</v>
      </c>
      <c r="FB11" s="74">
        <v>3.432E-7</v>
      </c>
      <c r="FC11" s="74">
        <v>3.3210000000000002E-7</v>
      </c>
      <c r="FD11" s="74">
        <v>3.213E-7</v>
      </c>
      <c r="FE11" s="74">
        <v>3.1090000000000001E-7</v>
      </c>
      <c r="FF11" s="74">
        <v>3.0079999999999999E-7</v>
      </c>
      <c r="FG11" s="74">
        <v>2.9110000000000001E-7</v>
      </c>
      <c r="FH11" s="74">
        <v>2.8159999999999998E-7</v>
      </c>
      <c r="FI11" s="74">
        <v>2.7249999999999999E-7</v>
      </c>
      <c r="FJ11" s="74">
        <v>2.636E-7</v>
      </c>
      <c r="FK11" s="74">
        <v>2.551E-7</v>
      </c>
      <c r="FL11" s="74">
        <v>2.4680000000000001E-7</v>
      </c>
      <c r="FM11" s="74">
        <v>2.3879999999999999E-7</v>
      </c>
      <c r="FN11" s="74">
        <v>2.311E-7</v>
      </c>
      <c r="FO11" s="74">
        <v>2.2359999999999999E-7</v>
      </c>
      <c r="FP11" s="74">
        <v>2.163E-7</v>
      </c>
      <c r="FQ11" s="74">
        <v>2.093E-7</v>
      </c>
    </row>
    <row r="12" spans="1:173" x14ac:dyDescent="0.25">
      <c r="A12" s="76">
        <v>10</v>
      </c>
      <c r="B12" s="74">
        <v>6.1327000000000004E-5</v>
      </c>
      <c r="C12" s="74">
        <v>5.9695999999999999E-5</v>
      </c>
      <c r="D12" s="74">
        <v>5.8097999999999998E-5</v>
      </c>
      <c r="E12" s="74">
        <v>5.6533200000000003E-5</v>
      </c>
      <c r="F12" s="74">
        <v>5.5001799999999999E-5</v>
      </c>
      <c r="G12" s="74">
        <v>5.3503700000000001E-5</v>
      </c>
      <c r="H12" s="74">
        <v>5.2039000000000001E-5</v>
      </c>
      <c r="I12" s="74">
        <v>5.0607399999999999E-5</v>
      </c>
      <c r="J12" s="74">
        <v>4.9208900000000002E-5</v>
      </c>
      <c r="K12" s="74">
        <v>4.7843100000000003E-5</v>
      </c>
      <c r="L12" s="74">
        <v>4.65098E-5</v>
      </c>
      <c r="M12" s="74">
        <v>4.52087E-5</v>
      </c>
      <c r="N12" s="74">
        <v>4.3939400000000002E-5</v>
      </c>
      <c r="O12" s="74">
        <v>4.2701499999999998E-5</v>
      </c>
      <c r="P12" s="74">
        <v>4.1494600000000001E-5</v>
      </c>
      <c r="Q12" s="74">
        <v>4.0318100000000003E-5</v>
      </c>
      <c r="R12" s="74">
        <v>3.9171700000000003E-5</v>
      </c>
      <c r="S12" s="74">
        <v>3.80548E-5</v>
      </c>
      <c r="T12" s="74">
        <v>3.6967E-5</v>
      </c>
      <c r="U12" s="74">
        <v>3.5907700000000002E-5</v>
      </c>
      <c r="V12" s="74">
        <v>3.4876299999999997E-5</v>
      </c>
      <c r="W12" s="74">
        <v>3.3872399999999998E-5</v>
      </c>
      <c r="X12" s="74">
        <v>3.2895300000000003E-5</v>
      </c>
      <c r="Y12" s="74">
        <v>3.1944499999999999E-5</v>
      </c>
      <c r="Z12" s="74">
        <v>3.1019499999999997E-5</v>
      </c>
      <c r="AA12" s="74">
        <v>3.0119799999999999E-5</v>
      </c>
      <c r="AB12" s="74">
        <v>2.9244600000000001E-5</v>
      </c>
      <c r="AC12" s="74">
        <v>2.8393499999999998E-5</v>
      </c>
      <c r="AD12" s="74">
        <v>2.7566E-5</v>
      </c>
      <c r="AE12" s="74">
        <v>2.6761400000000001E-5</v>
      </c>
      <c r="AF12" s="74">
        <v>2.59793E-5</v>
      </c>
      <c r="AG12" s="74">
        <v>2.5219100000000001E-5</v>
      </c>
      <c r="AH12" s="74">
        <v>2.44802E-5</v>
      </c>
      <c r="AI12" s="74">
        <v>2.3762200000000001E-5</v>
      </c>
      <c r="AJ12" s="74">
        <v>2.3064499999999999E-5</v>
      </c>
      <c r="AK12" s="74">
        <v>2.23865E-5</v>
      </c>
      <c r="AL12" s="74">
        <v>2.1727899999999999E-5</v>
      </c>
      <c r="AM12" s="74">
        <v>2.1087999999999999E-5</v>
      </c>
      <c r="AN12" s="74">
        <v>2.0466500000000001E-5</v>
      </c>
      <c r="AO12" s="74">
        <v>1.9862799999999999E-5</v>
      </c>
      <c r="AP12" s="74">
        <v>1.9276400000000001E-5</v>
      </c>
      <c r="AQ12" s="74">
        <v>1.8706899999999999E-5</v>
      </c>
      <c r="AR12" s="74">
        <v>1.8153799999999999E-5</v>
      </c>
      <c r="AS12" s="74">
        <v>1.76168E-5</v>
      </c>
      <c r="AT12" s="74">
        <v>1.7095299999999999E-5</v>
      </c>
      <c r="AU12" s="74">
        <v>1.65889E-5</v>
      </c>
      <c r="AV12" s="74">
        <v>1.6097299999999999E-5</v>
      </c>
      <c r="AW12" s="74">
        <v>1.562E-5</v>
      </c>
      <c r="AX12" s="74">
        <v>1.51566E-5</v>
      </c>
      <c r="AY12" s="74">
        <v>1.4706699999999999E-5</v>
      </c>
      <c r="AZ12" s="74">
        <v>1.4270000000000001E-5</v>
      </c>
      <c r="BA12" s="74">
        <v>1.3845999999999999E-5</v>
      </c>
      <c r="BB12" s="74">
        <v>1.34345E-5</v>
      </c>
      <c r="BC12" s="74">
        <v>1.30351E-5</v>
      </c>
      <c r="BD12" s="74">
        <v>1.26474E-5</v>
      </c>
      <c r="BE12" s="74">
        <v>1.22711E-5</v>
      </c>
      <c r="BF12" s="74">
        <v>1.19058E-5</v>
      </c>
      <c r="BG12" s="74">
        <v>1.1551399999999999E-5</v>
      </c>
      <c r="BH12" s="74">
        <v>1.12073E-5</v>
      </c>
      <c r="BI12" s="74">
        <v>1.08735E-5</v>
      </c>
      <c r="BJ12" s="74">
        <v>1.05495E-5</v>
      </c>
      <c r="BK12" s="74">
        <v>1.0234999999999999E-5</v>
      </c>
      <c r="BL12" s="74">
        <v>9.9298999999999996E-6</v>
      </c>
      <c r="BM12" s="74">
        <v>9.6338000000000008E-6</v>
      </c>
      <c r="BN12" s="74">
        <v>9.3464999999999994E-6</v>
      </c>
      <c r="BO12" s="74">
        <v>9.0675999999999994E-6</v>
      </c>
      <c r="BP12" s="74">
        <v>8.7970999999999992E-6</v>
      </c>
      <c r="BQ12" s="74">
        <v>8.5344999999999993E-6</v>
      </c>
      <c r="BR12" s="74">
        <v>8.2797999999999999E-6</v>
      </c>
      <c r="BS12" s="74">
        <v>8.0326E-6</v>
      </c>
      <c r="BT12" s="74">
        <v>7.7927999999999993E-6</v>
      </c>
      <c r="BU12" s="74">
        <v>7.5600999999999998E-6</v>
      </c>
      <c r="BV12" s="74">
        <v>7.3343000000000002E-6</v>
      </c>
      <c r="BW12" s="74">
        <v>7.1152000000000001E-6</v>
      </c>
      <c r="BX12" s="74">
        <v>6.9025999999999998E-6</v>
      </c>
      <c r="BY12" s="74">
        <v>6.6964E-6</v>
      </c>
      <c r="BZ12" s="74">
        <v>6.4963E-6</v>
      </c>
      <c r="CA12" s="74">
        <v>6.3021000000000002E-6</v>
      </c>
      <c r="CB12" s="74">
        <v>6.1137999999999998E-6</v>
      </c>
      <c r="CC12" s="74">
        <v>5.9309999999999996E-6</v>
      </c>
      <c r="CD12" s="74">
        <v>5.7536999999999996E-6</v>
      </c>
      <c r="CE12" s="74">
        <v>5.5817000000000003E-6</v>
      </c>
      <c r="CF12" s="74">
        <v>5.4148000000000002E-6</v>
      </c>
      <c r="CG12" s="74">
        <v>5.2529000000000001E-6</v>
      </c>
      <c r="CH12" s="74">
        <v>5.0958000000000004E-6</v>
      </c>
      <c r="CI12" s="74">
        <v>4.9434E-6</v>
      </c>
      <c r="CJ12" s="74">
        <v>4.7956000000000003E-6</v>
      </c>
      <c r="CK12" s="74">
        <v>4.6522000000000001E-6</v>
      </c>
      <c r="CL12" s="74">
        <v>4.5129999999999998E-6</v>
      </c>
      <c r="CM12" s="74">
        <v>4.3780000000000003E-6</v>
      </c>
      <c r="CN12" s="74">
        <v>4.2471000000000004E-6</v>
      </c>
      <c r="CO12" s="74">
        <v>4.1200000000000004E-6</v>
      </c>
      <c r="CP12" s="74">
        <v>3.9967000000000002E-6</v>
      </c>
      <c r="CQ12" s="74">
        <v>3.8771999999999999E-6</v>
      </c>
      <c r="CR12" s="74">
        <v>3.7612000000000001E-6</v>
      </c>
      <c r="CS12" s="74">
        <v>3.6486000000000001E-6</v>
      </c>
      <c r="CT12" s="74">
        <v>3.5393999999999999E-6</v>
      </c>
      <c r="CU12" s="74">
        <v>3.4334999999999998E-6</v>
      </c>
      <c r="CV12" s="74">
        <v>3.3307999999999999E-6</v>
      </c>
      <c r="CW12" s="74">
        <v>3.2310999999999999E-6</v>
      </c>
      <c r="CX12" s="74">
        <v>3.1344E-6</v>
      </c>
      <c r="CY12" s="74">
        <v>3.0406000000000002E-6</v>
      </c>
      <c r="CZ12" s="74">
        <v>2.9496000000000001E-6</v>
      </c>
      <c r="DA12" s="74">
        <v>2.8613E-6</v>
      </c>
      <c r="DB12" s="74">
        <v>2.7757E-6</v>
      </c>
      <c r="DC12" s="74">
        <v>2.6925999999999999E-6</v>
      </c>
      <c r="DD12" s="74">
        <v>2.6120000000000001E-6</v>
      </c>
      <c r="DE12" s="74">
        <v>2.5338000000000002E-6</v>
      </c>
      <c r="DF12" s="74">
        <v>2.458E-6</v>
      </c>
      <c r="DG12" s="74">
        <v>2.3844E-6</v>
      </c>
      <c r="DH12" s="74">
        <v>2.3130000000000001E-6</v>
      </c>
      <c r="DI12" s="74">
        <v>2.2438E-6</v>
      </c>
      <c r="DJ12" s="74">
        <v>2.1766E-6</v>
      </c>
      <c r="DK12" s="74">
        <v>2.1115E-6</v>
      </c>
      <c r="DL12" s="74">
        <v>2.0482000000000001E-6</v>
      </c>
      <c r="DM12" s="74">
        <v>1.9869E-6</v>
      </c>
      <c r="DN12" s="74">
        <v>1.9274E-6</v>
      </c>
      <c r="DO12" s="74">
        <v>1.8697000000000001E-6</v>
      </c>
      <c r="DP12" s="74">
        <v>1.8137999999999999E-6</v>
      </c>
      <c r="DQ12" s="74">
        <v>1.7595000000000001E-6</v>
      </c>
      <c r="DR12" s="74">
        <v>1.7067999999999999E-6</v>
      </c>
      <c r="DS12" s="74">
        <v>1.6557000000000001E-6</v>
      </c>
      <c r="DT12" s="74">
        <v>1.6061E-6</v>
      </c>
      <c r="DU12" s="74">
        <v>1.5579999999999999E-6</v>
      </c>
      <c r="DV12" s="74">
        <v>1.5114E-6</v>
      </c>
      <c r="DW12" s="74">
        <v>1.4661E-6</v>
      </c>
      <c r="DX12" s="74">
        <v>1.4221999999999999E-6</v>
      </c>
      <c r="DY12" s="74">
        <v>1.3797000000000001E-6</v>
      </c>
      <c r="DZ12" s="74">
        <v>1.3384E-6</v>
      </c>
      <c r="EA12" s="74">
        <v>1.2982999999999999E-6</v>
      </c>
      <c r="EB12" s="74">
        <v>1.2594E-6</v>
      </c>
      <c r="EC12" s="74">
        <v>1.2217000000000001E-6</v>
      </c>
      <c r="ED12" s="74">
        <v>1.1851000000000001E-6</v>
      </c>
      <c r="EE12" s="74">
        <v>1.1496E-6</v>
      </c>
      <c r="EF12" s="74">
        <v>1.1151999999999999E-6</v>
      </c>
      <c r="EG12" s="74">
        <v>1.0818E-6</v>
      </c>
      <c r="EH12" s="74">
        <v>1.0494000000000001E-6</v>
      </c>
      <c r="EI12" s="74">
        <v>1.018E-6</v>
      </c>
      <c r="EJ12" s="74">
        <v>9.8750000000000007E-7</v>
      </c>
      <c r="EK12" s="74">
        <v>9.5799999999999998E-7</v>
      </c>
      <c r="EL12" s="74">
        <v>9.2930000000000004E-7</v>
      </c>
      <c r="EM12" s="74">
        <v>9.0149999999999997E-7</v>
      </c>
      <c r="EN12" s="74">
        <v>8.7449999999999995E-7</v>
      </c>
      <c r="EO12" s="74">
        <v>8.4829999999999999E-7</v>
      </c>
      <c r="EP12" s="74">
        <v>8.2289999999999999E-7</v>
      </c>
      <c r="EQ12" s="74">
        <v>7.9820000000000004E-7</v>
      </c>
      <c r="ER12" s="74">
        <v>7.7430000000000004E-7</v>
      </c>
      <c r="ES12" s="74">
        <v>7.511E-7</v>
      </c>
      <c r="ET12" s="74">
        <v>7.2870000000000001E-7</v>
      </c>
      <c r="EU12" s="74">
        <v>7.0679999999999995E-7</v>
      </c>
      <c r="EV12" s="74">
        <v>6.8569999999999995E-7</v>
      </c>
      <c r="EW12" s="74">
        <v>6.6509999999999999E-7</v>
      </c>
      <c r="EX12" s="74">
        <v>6.4519999999999998E-7</v>
      </c>
      <c r="EY12" s="74">
        <v>6.2590000000000001E-7</v>
      </c>
      <c r="EZ12" s="74">
        <v>6.0719999999999998E-7</v>
      </c>
      <c r="FA12" s="74">
        <v>5.8899999999999999E-7</v>
      </c>
      <c r="FB12" s="74">
        <v>5.7130000000000004E-7</v>
      </c>
      <c r="FC12" s="74">
        <v>5.5420000000000003E-7</v>
      </c>
      <c r="FD12" s="74">
        <v>5.3760000000000005E-7</v>
      </c>
      <c r="FE12" s="74">
        <v>5.215E-7</v>
      </c>
      <c r="FF12" s="74">
        <v>5.059E-7</v>
      </c>
      <c r="FG12" s="74">
        <v>4.9080000000000003E-7</v>
      </c>
      <c r="FH12" s="74">
        <v>4.7609999999999998E-7</v>
      </c>
      <c r="FI12" s="74">
        <v>4.6180000000000002E-7</v>
      </c>
      <c r="FJ12" s="74">
        <v>4.4799999999999999E-7</v>
      </c>
      <c r="FK12" s="74">
        <v>4.3459999999999999E-7</v>
      </c>
      <c r="FL12" s="74">
        <v>4.2160000000000002E-7</v>
      </c>
      <c r="FM12" s="74">
        <v>4.0890000000000002E-7</v>
      </c>
      <c r="FN12" s="74">
        <v>3.967E-7</v>
      </c>
      <c r="FO12" s="74">
        <v>3.848E-7</v>
      </c>
      <c r="FP12" s="74">
        <v>3.7329999999999999E-7</v>
      </c>
      <c r="FQ12" s="74">
        <v>3.6209999999999999E-7</v>
      </c>
    </row>
    <row r="13" spans="1:173" x14ac:dyDescent="0.25">
      <c r="A13" s="76">
        <v>11</v>
      </c>
      <c r="B13" s="74">
        <v>6.16617E-5</v>
      </c>
      <c r="C13" s="74">
        <v>5.9882800000000002E-5</v>
      </c>
      <c r="D13" s="74">
        <v>5.8158900000000003E-5</v>
      </c>
      <c r="E13" s="74">
        <v>5.6488099999999999E-5</v>
      </c>
      <c r="F13" s="74">
        <v>5.4868499999999998E-5</v>
      </c>
      <c r="G13" s="74">
        <v>5.3298199999999997E-5</v>
      </c>
      <c r="H13" s="74">
        <v>5.1775599999999999E-5</v>
      </c>
      <c r="I13" s="74">
        <v>5.0299000000000001E-5</v>
      </c>
      <c r="J13" s="74">
        <v>4.8866699999999998E-5</v>
      </c>
      <c r="K13" s="74">
        <v>4.74773E-5</v>
      </c>
      <c r="L13" s="74">
        <v>4.6129399999999999E-5</v>
      </c>
      <c r="M13" s="74">
        <v>4.4821499999999998E-5</v>
      </c>
      <c r="N13" s="74">
        <v>4.35524E-5</v>
      </c>
      <c r="O13" s="74">
        <v>4.2320700000000003E-5</v>
      </c>
      <c r="P13" s="74">
        <v>4.1125199999999997E-5</v>
      </c>
      <c r="Q13" s="74">
        <v>3.9964800000000001E-5</v>
      </c>
      <c r="R13" s="74">
        <v>3.8838299999999997E-5</v>
      </c>
      <c r="S13" s="74">
        <v>3.7744699999999998E-5</v>
      </c>
      <c r="T13" s="74">
        <v>3.6682900000000001E-5</v>
      </c>
      <c r="U13" s="74">
        <v>3.5651900000000003E-5</v>
      </c>
      <c r="V13" s="74">
        <v>3.4650699999999997E-5</v>
      </c>
      <c r="W13" s="74">
        <v>3.3678399999999999E-5</v>
      </c>
      <c r="X13" s="74">
        <v>3.2734100000000002E-5</v>
      </c>
      <c r="Y13" s="74">
        <v>3.1816999999999997E-5</v>
      </c>
      <c r="Z13" s="74">
        <v>3.0926200000000002E-5</v>
      </c>
      <c r="AA13" s="74">
        <v>3.0060899999999999E-5</v>
      </c>
      <c r="AB13" s="74">
        <v>2.9220299999999999E-5</v>
      </c>
      <c r="AC13" s="74">
        <v>2.8403800000000001E-5</v>
      </c>
      <c r="AD13" s="74">
        <v>2.7610399999999999E-5</v>
      </c>
      <c r="AE13" s="74">
        <v>2.68397E-5</v>
      </c>
      <c r="AF13" s="74">
        <v>2.6090900000000001E-5</v>
      </c>
      <c r="AG13" s="74">
        <v>2.5363300000000002E-5</v>
      </c>
      <c r="AH13" s="74">
        <v>2.46563E-5</v>
      </c>
      <c r="AI13" s="74">
        <v>2.3969300000000001E-5</v>
      </c>
      <c r="AJ13" s="74">
        <v>2.3301700000000001E-5</v>
      </c>
      <c r="AK13" s="74">
        <v>2.2653000000000001E-5</v>
      </c>
      <c r="AL13" s="74">
        <v>2.2022600000000002E-5</v>
      </c>
      <c r="AM13" s="74">
        <v>2.14099E-5</v>
      </c>
      <c r="AN13" s="74">
        <v>2.0814499999999999E-5</v>
      </c>
      <c r="AO13" s="74">
        <v>2.02358E-5</v>
      </c>
      <c r="AP13" s="74">
        <v>1.96734E-5</v>
      </c>
      <c r="AQ13" s="74">
        <v>1.9126700000000001E-5</v>
      </c>
      <c r="AR13" s="74">
        <v>1.8595400000000002E-5</v>
      </c>
      <c r="AS13" s="74">
        <v>1.8079000000000001E-5</v>
      </c>
      <c r="AT13" s="74">
        <v>1.7577000000000001E-5</v>
      </c>
      <c r="AU13" s="74">
        <v>1.7089099999999999E-5</v>
      </c>
      <c r="AV13" s="74">
        <v>1.6614899999999999E-5</v>
      </c>
      <c r="AW13" s="74">
        <v>1.6153900000000001E-5</v>
      </c>
      <c r="AX13" s="74">
        <v>1.5705800000000001E-5</v>
      </c>
      <c r="AY13" s="74">
        <v>1.5270100000000001E-5</v>
      </c>
      <c r="AZ13" s="74">
        <v>1.48467E-5</v>
      </c>
      <c r="BA13" s="74">
        <v>1.4435E-5</v>
      </c>
      <c r="BB13" s="74">
        <v>1.40349E-5</v>
      </c>
      <c r="BC13" s="74">
        <v>1.3645899999999999E-5</v>
      </c>
      <c r="BD13" s="74">
        <v>1.32677E-5</v>
      </c>
      <c r="BE13" s="74">
        <v>1.29E-5</v>
      </c>
      <c r="BF13" s="74">
        <v>1.2542600000000001E-5</v>
      </c>
      <c r="BG13" s="74">
        <v>1.21952E-5</v>
      </c>
      <c r="BH13" s="74">
        <v>1.1857399999999999E-5</v>
      </c>
      <c r="BI13" s="74">
        <v>1.1528999999999999E-5</v>
      </c>
      <c r="BJ13" s="74">
        <v>1.12097E-5</v>
      </c>
      <c r="BK13" s="74">
        <v>1.0899300000000001E-5</v>
      </c>
      <c r="BL13" s="74">
        <v>1.05975E-5</v>
      </c>
      <c r="BM13" s="74">
        <v>1.03041E-5</v>
      </c>
      <c r="BN13" s="74">
        <v>1.00188E-5</v>
      </c>
      <c r="BO13" s="74">
        <v>9.7414999999999998E-6</v>
      </c>
      <c r="BP13" s="74">
        <v>9.4718999999999999E-6</v>
      </c>
      <c r="BQ13" s="74">
        <v>9.2096999999999993E-6</v>
      </c>
      <c r="BR13" s="74">
        <v>8.9547999999999994E-6</v>
      </c>
      <c r="BS13" s="74">
        <v>8.7069999999999998E-6</v>
      </c>
      <c r="BT13" s="74">
        <v>8.4661000000000001E-6</v>
      </c>
      <c r="BU13" s="74">
        <v>8.2317999999999997E-6</v>
      </c>
      <c r="BV13" s="74">
        <v>8.0039999999999999E-6</v>
      </c>
      <c r="BW13" s="74">
        <v>7.7826000000000007E-6</v>
      </c>
      <c r="BX13" s="74">
        <v>7.5673000000000004E-6</v>
      </c>
      <c r="BY13" s="74">
        <v>7.3579000000000003E-6</v>
      </c>
      <c r="BZ13" s="74">
        <v>7.1543999999999996E-6</v>
      </c>
      <c r="CA13" s="74">
        <v>6.9565000000000002E-6</v>
      </c>
      <c r="CB13" s="74">
        <v>6.764E-6</v>
      </c>
      <c r="CC13" s="74">
        <v>6.5769999999999999E-6</v>
      </c>
      <c r="CD13" s="74">
        <v>6.3949999999999998E-6</v>
      </c>
      <c r="CE13" s="74">
        <v>6.2182E-6</v>
      </c>
      <c r="CF13" s="74">
        <v>6.0461999999999998E-6</v>
      </c>
      <c r="CG13" s="74">
        <v>5.879E-6</v>
      </c>
      <c r="CH13" s="74">
        <v>5.7164E-6</v>
      </c>
      <c r="CI13" s="74">
        <v>5.5582999999999998E-6</v>
      </c>
      <c r="CJ13" s="74">
        <v>5.4045999999999999E-6</v>
      </c>
      <c r="CK13" s="74">
        <v>5.2550999999999999E-6</v>
      </c>
      <c r="CL13" s="74">
        <v>5.1097999999999998E-6</v>
      </c>
      <c r="CM13" s="74">
        <v>4.9684999999999999E-6</v>
      </c>
      <c r="CN13" s="74">
        <v>4.8311000000000002E-6</v>
      </c>
      <c r="CO13" s="74">
        <v>4.6975000000000003E-6</v>
      </c>
      <c r="CP13" s="74">
        <v>4.5676000000000001E-6</v>
      </c>
      <c r="CQ13" s="74">
        <v>4.4414000000000004E-6</v>
      </c>
      <c r="CR13" s="74">
        <v>4.3185999999999996E-6</v>
      </c>
      <c r="CS13" s="74">
        <v>4.1991000000000002E-6</v>
      </c>
      <c r="CT13" s="74">
        <v>4.0829999999999997E-6</v>
      </c>
      <c r="CU13" s="74">
        <v>3.9701999999999997E-6</v>
      </c>
      <c r="CV13" s="74">
        <v>3.8604000000000003E-6</v>
      </c>
      <c r="CW13" s="74">
        <v>3.7537000000000002E-6</v>
      </c>
      <c r="CX13" s="74">
        <v>3.6499E-6</v>
      </c>
      <c r="CY13" s="74">
        <v>3.5489999999999998E-6</v>
      </c>
      <c r="CZ13" s="74">
        <v>3.4508999999999999E-6</v>
      </c>
      <c r="DA13" s="74">
        <v>3.3554999999999999E-6</v>
      </c>
      <c r="DB13" s="74">
        <v>3.2627000000000001E-6</v>
      </c>
      <c r="DC13" s="74">
        <v>3.1725000000000001E-6</v>
      </c>
      <c r="DD13" s="74">
        <v>3.0848000000000001E-6</v>
      </c>
      <c r="DE13" s="74">
        <v>2.9994999999999998E-6</v>
      </c>
      <c r="DF13" s="74">
        <v>2.9166000000000002E-6</v>
      </c>
      <c r="DG13" s="74">
        <v>2.836E-6</v>
      </c>
      <c r="DH13" s="74">
        <v>2.7576000000000001E-6</v>
      </c>
      <c r="DI13" s="74">
        <v>2.6813000000000001E-6</v>
      </c>
      <c r="DJ13" s="74">
        <v>2.6072000000000002E-6</v>
      </c>
      <c r="DK13" s="74">
        <v>2.5351000000000001E-6</v>
      </c>
      <c r="DL13" s="74">
        <v>2.4650000000000001E-6</v>
      </c>
      <c r="DM13" s="74">
        <v>2.3968999999999999E-6</v>
      </c>
      <c r="DN13" s="74">
        <v>2.3306000000000002E-6</v>
      </c>
      <c r="DO13" s="74">
        <v>2.2662E-6</v>
      </c>
      <c r="DP13" s="74">
        <v>2.2036E-6</v>
      </c>
      <c r="DQ13" s="74">
        <v>2.1426999999999998E-6</v>
      </c>
      <c r="DR13" s="74">
        <v>2.0833999999999998E-6</v>
      </c>
      <c r="DS13" s="74">
        <v>2.0258000000000002E-6</v>
      </c>
      <c r="DT13" s="74">
        <v>1.9698000000000002E-6</v>
      </c>
      <c r="DU13" s="74">
        <v>1.9153999999999999E-6</v>
      </c>
      <c r="DV13" s="74">
        <v>1.8623999999999999E-6</v>
      </c>
      <c r="DW13" s="74">
        <v>1.8109999999999999E-6</v>
      </c>
      <c r="DX13" s="74">
        <v>1.7608999999999999E-6</v>
      </c>
      <c r="DY13" s="74">
        <v>1.7122000000000001E-6</v>
      </c>
      <c r="DZ13" s="74">
        <v>1.6648999999999999E-6</v>
      </c>
      <c r="EA13" s="74">
        <v>1.6189000000000001E-6</v>
      </c>
      <c r="EB13" s="74">
        <v>1.5741000000000001E-6</v>
      </c>
      <c r="EC13" s="74">
        <v>1.5306E-6</v>
      </c>
      <c r="ED13" s="74">
        <v>1.4883E-6</v>
      </c>
      <c r="EE13" s="74">
        <v>1.4472000000000001E-6</v>
      </c>
      <c r="EF13" s="74">
        <v>1.4072000000000001E-6</v>
      </c>
      <c r="EG13" s="74">
        <v>1.3683000000000001E-6</v>
      </c>
      <c r="EH13" s="74">
        <v>1.3304E-6</v>
      </c>
      <c r="EI13" s="74">
        <v>1.2937E-6</v>
      </c>
      <c r="EJ13" s="74">
        <v>1.2579000000000001E-6</v>
      </c>
      <c r="EK13" s="74">
        <v>1.2231E-6</v>
      </c>
      <c r="EL13" s="74">
        <v>1.1893E-6</v>
      </c>
      <c r="EM13" s="74">
        <v>1.1564000000000001E-6</v>
      </c>
      <c r="EN13" s="74">
        <v>1.1245E-6</v>
      </c>
      <c r="EO13" s="74">
        <v>1.0934E-6</v>
      </c>
      <c r="EP13" s="74">
        <v>1.0632E-6</v>
      </c>
      <c r="EQ13" s="74">
        <v>1.0338E-6</v>
      </c>
      <c r="ER13" s="74">
        <v>1.0051999999999999E-6</v>
      </c>
      <c r="ES13" s="74">
        <v>9.7739999999999995E-7</v>
      </c>
      <c r="ET13" s="74">
        <v>9.5040000000000004E-7</v>
      </c>
      <c r="EU13" s="74">
        <v>9.2409999999999997E-7</v>
      </c>
      <c r="EV13" s="74">
        <v>8.9859999999999996E-7</v>
      </c>
      <c r="EW13" s="74">
        <v>8.738E-7</v>
      </c>
      <c r="EX13" s="74">
        <v>8.4959999999999998E-7</v>
      </c>
      <c r="EY13" s="74">
        <v>8.2610000000000002E-7</v>
      </c>
      <c r="EZ13" s="74">
        <v>8.033E-7</v>
      </c>
      <c r="FA13" s="74">
        <v>7.8110000000000003E-7</v>
      </c>
      <c r="FB13" s="74">
        <v>7.5949999999999999E-7</v>
      </c>
      <c r="FC13" s="74">
        <v>7.385E-7</v>
      </c>
      <c r="FD13" s="74">
        <v>7.1809999999999995E-7</v>
      </c>
      <c r="FE13" s="74">
        <v>6.9820000000000004E-7</v>
      </c>
      <c r="FF13" s="74">
        <v>6.7889999999999997E-7</v>
      </c>
      <c r="FG13" s="74">
        <v>6.6020000000000005E-7</v>
      </c>
      <c r="FH13" s="74">
        <v>6.4190000000000005E-7</v>
      </c>
      <c r="FI13" s="74">
        <v>6.2419999999999999E-7</v>
      </c>
      <c r="FJ13" s="74">
        <v>6.0689999999999996E-7</v>
      </c>
      <c r="FK13" s="74">
        <v>5.9019999999999998E-7</v>
      </c>
      <c r="FL13" s="74">
        <v>5.7380000000000002E-7</v>
      </c>
      <c r="FM13" s="74">
        <v>5.5799999999999999E-7</v>
      </c>
      <c r="FN13" s="74">
        <v>5.426E-7</v>
      </c>
      <c r="FO13" s="74">
        <v>5.2760000000000004E-7</v>
      </c>
      <c r="FP13" s="74">
        <v>5.13E-7</v>
      </c>
      <c r="FQ13" s="74">
        <v>4.9879999999999999E-7</v>
      </c>
    </row>
    <row r="14" spans="1:173" x14ac:dyDescent="0.25">
      <c r="A14" s="76">
        <v>12</v>
      </c>
      <c r="B14" s="74">
        <v>7.4573099999999999E-5</v>
      </c>
      <c r="C14" s="74">
        <v>7.2529300000000004E-5</v>
      </c>
      <c r="D14" s="74">
        <v>7.0543799999999994E-5</v>
      </c>
      <c r="E14" s="74">
        <v>6.8614899999999999E-5</v>
      </c>
      <c r="F14" s="74">
        <v>6.6740699999999996E-5</v>
      </c>
      <c r="G14" s="74">
        <v>6.4919500000000001E-5</v>
      </c>
      <c r="H14" s="74">
        <v>6.3149800000000003E-5</v>
      </c>
      <c r="I14" s="74">
        <v>6.1429799999999999E-5</v>
      </c>
      <c r="J14" s="74">
        <v>5.97581E-5</v>
      </c>
      <c r="K14" s="74">
        <v>5.8133300000000001E-5</v>
      </c>
      <c r="L14" s="74">
        <v>5.6553900000000001E-5</v>
      </c>
      <c r="M14" s="74">
        <v>5.5018500000000002E-5</v>
      </c>
      <c r="N14" s="74">
        <v>5.3525800000000002E-5</v>
      </c>
      <c r="O14" s="74">
        <v>5.2074599999999998E-5</v>
      </c>
      <c r="P14" s="74">
        <v>5.0663700000000001E-5</v>
      </c>
      <c r="Q14" s="74">
        <v>4.9291800000000001E-5</v>
      </c>
      <c r="R14" s="74">
        <v>4.7957799999999997E-5</v>
      </c>
      <c r="S14" s="74">
        <v>4.6660599999999998E-5</v>
      </c>
      <c r="T14" s="74">
        <v>4.5399199999999997E-5</v>
      </c>
      <c r="U14" s="74">
        <v>4.4172399999999997E-5</v>
      </c>
      <c r="V14" s="74">
        <v>4.2979299999999997E-5</v>
      </c>
      <c r="W14" s="74">
        <v>4.1819000000000001E-5</v>
      </c>
      <c r="X14" s="74">
        <v>4.0690499999999999E-5</v>
      </c>
      <c r="Y14" s="74">
        <v>3.9592899999999998E-5</v>
      </c>
      <c r="Z14" s="74">
        <v>3.8525200000000002E-5</v>
      </c>
      <c r="AA14" s="74">
        <v>3.7486700000000001E-5</v>
      </c>
      <c r="AB14" s="74">
        <v>3.6476600000000002E-5</v>
      </c>
      <c r="AC14" s="74">
        <v>3.5494000000000003E-5</v>
      </c>
      <c r="AD14" s="74">
        <v>3.4538100000000001E-5</v>
      </c>
      <c r="AE14" s="74">
        <v>3.3608300000000001E-5</v>
      </c>
      <c r="AF14" s="74">
        <v>3.2703700000000003E-5</v>
      </c>
      <c r="AG14" s="74">
        <v>3.1823799999999998E-5</v>
      </c>
      <c r="AH14" s="74">
        <v>3.0967699999999998E-5</v>
      </c>
      <c r="AI14" s="74">
        <v>3.0134800000000002E-5</v>
      </c>
      <c r="AJ14" s="74">
        <v>2.93245E-5</v>
      </c>
      <c r="AK14" s="74">
        <v>2.8536099999999999E-5</v>
      </c>
      <c r="AL14" s="74">
        <v>2.7769100000000002E-5</v>
      </c>
      <c r="AM14" s="74">
        <v>2.7022899999999998E-5</v>
      </c>
      <c r="AN14" s="74">
        <v>2.6296799999999999E-5</v>
      </c>
      <c r="AO14" s="74">
        <v>2.5590400000000002E-5</v>
      </c>
      <c r="AP14" s="74">
        <v>2.4903099999999999E-5</v>
      </c>
      <c r="AQ14" s="74">
        <v>2.4234299999999999E-5</v>
      </c>
      <c r="AR14" s="74">
        <v>2.3583599999999999E-5</v>
      </c>
      <c r="AS14" s="74">
        <v>2.29504E-5</v>
      </c>
      <c r="AT14" s="74">
        <v>2.2334300000000001E-5</v>
      </c>
      <c r="AU14" s="74">
        <v>2.1734800000000001E-5</v>
      </c>
      <c r="AV14" s="74">
        <v>2.1151499999999999E-5</v>
      </c>
      <c r="AW14" s="74">
        <v>2.0583900000000001E-5</v>
      </c>
      <c r="AX14" s="74">
        <v>2.00316E-5</v>
      </c>
      <c r="AY14" s="74">
        <v>1.94942E-5</v>
      </c>
      <c r="AZ14" s="74">
        <v>1.8971199999999999E-5</v>
      </c>
      <c r="BA14" s="74">
        <v>1.8462300000000001E-5</v>
      </c>
      <c r="BB14" s="74">
        <v>1.7967099999999999E-5</v>
      </c>
      <c r="BC14" s="74">
        <v>1.74852E-5</v>
      </c>
      <c r="BD14" s="74">
        <v>1.7016299999999998E-5</v>
      </c>
      <c r="BE14" s="74">
        <v>1.6560000000000001E-5</v>
      </c>
      <c r="BF14" s="74">
        <v>1.6116E-5</v>
      </c>
      <c r="BG14" s="74">
        <v>1.5683900000000001E-5</v>
      </c>
      <c r="BH14" s="74">
        <v>1.52634E-5</v>
      </c>
      <c r="BI14" s="74">
        <v>1.4854199999999999E-5</v>
      </c>
      <c r="BJ14" s="74">
        <v>1.4456E-5</v>
      </c>
      <c r="BK14" s="74">
        <v>1.4068499999999999E-5</v>
      </c>
      <c r="BL14" s="74">
        <v>1.3691400000000001E-5</v>
      </c>
      <c r="BM14" s="74">
        <v>1.3324400000000001E-5</v>
      </c>
      <c r="BN14" s="74">
        <v>1.29673E-5</v>
      </c>
      <c r="BO14" s="74">
        <v>1.26197E-5</v>
      </c>
      <c r="BP14" s="74">
        <v>1.2281499999999999E-5</v>
      </c>
      <c r="BQ14" s="74">
        <v>1.1952399999999999E-5</v>
      </c>
      <c r="BR14" s="74">
        <v>1.16321E-5</v>
      </c>
      <c r="BS14" s="74">
        <v>1.1320399999999999E-5</v>
      </c>
      <c r="BT14" s="74">
        <v>1.1017E-5</v>
      </c>
      <c r="BU14" s="74">
        <v>1.07218E-5</v>
      </c>
      <c r="BV14" s="74">
        <v>1.04345E-5</v>
      </c>
      <c r="BW14" s="74">
        <v>1.01549E-5</v>
      </c>
      <c r="BX14" s="74">
        <v>9.8828999999999999E-6</v>
      </c>
      <c r="BY14" s="74">
        <v>9.6181000000000003E-6</v>
      </c>
      <c r="BZ14" s="74">
        <v>9.3603999999999994E-6</v>
      </c>
      <c r="CA14" s="74">
        <v>9.1096E-6</v>
      </c>
      <c r="CB14" s="74">
        <v>8.8656000000000003E-6</v>
      </c>
      <c r="CC14" s="74">
        <v>8.6279999999999994E-6</v>
      </c>
      <c r="CD14" s="74">
        <v>8.3968999999999992E-6</v>
      </c>
      <c r="CE14" s="74">
        <v>8.1720000000000007E-6</v>
      </c>
      <c r="CF14" s="74">
        <v>7.9529999999999999E-6</v>
      </c>
      <c r="CG14" s="74">
        <v>7.7400000000000004E-6</v>
      </c>
      <c r="CH14" s="74">
        <v>7.5325999999999997E-6</v>
      </c>
      <c r="CI14" s="74">
        <v>7.3309000000000004E-6</v>
      </c>
      <c r="CJ14" s="74">
        <v>7.1345E-6</v>
      </c>
      <c r="CK14" s="74">
        <v>6.9434000000000003E-6</v>
      </c>
      <c r="CL14" s="74">
        <v>6.7573999999999999E-6</v>
      </c>
      <c r="CM14" s="74">
        <v>6.5764000000000003E-6</v>
      </c>
      <c r="CN14" s="74">
        <v>6.4002000000000001E-6</v>
      </c>
      <c r="CO14" s="74">
        <v>6.2288000000000004E-6</v>
      </c>
      <c r="CP14" s="74">
        <v>6.0619999999999997E-6</v>
      </c>
      <c r="CQ14" s="74">
        <v>5.8996000000000002E-6</v>
      </c>
      <c r="CR14" s="74">
        <v>5.7416000000000002E-6</v>
      </c>
      <c r="CS14" s="74">
        <v>5.5878000000000001E-6</v>
      </c>
      <c r="CT14" s="74">
        <v>5.4380999999999997E-6</v>
      </c>
      <c r="CU14" s="74">
        <v>5.2924999999999997E-6</v>
      </c>
      <c r="CV14" s="74">
        <v>5.1506999999999997E-6</v>
      </c>
      <c r="CW14" s="74">
        <v>5.0127999999999997E-6</v>
      </c>
      <c r="CX14" s="74">
        <v>4.8785E-6</v>
      </c>
      <c r="CY14" s="74">
        <v>4.7477999999999997E-6</v>
      </c>
      <c r="CZ14" s="74">
        <v>4.6206999999999997E-6</v>
      </c>
      <c r="DA14" s="74">
        <v>4.4969000000000001E-6</v>
      </c>
      <c r="DB14" s="74">
        <v>4.3765000000000004E-6</v>
      </c>
      <c r="DC14" s="74">
        <v>4.2593E-6</v>
      </c>
      <c r="DD14" s="74">
        <v>4.1451999999999997E-6</v>
      </c>
      <c r="DE14" s="74">
        <v>4.0342000000000003E-6</v>
      </c>
      <c r="DF14" s="74">
        <v>3.9261000000000004E-6</v>
      </c>
      <c r="DG14" s="74">
        <v>3.8210000000000003E-6</v>
      </c>
      <c r="DH14" s="74">
        <v>3.7185999999999999E-6</v>
      </c>
      <c r="DI14" s="74">
        <v>3.619E-6</v>
      </c>
      <c r="DJ14" s="74">
        <v>3.5221000000000001E-6</v>
      </c>
      <c r="DK14" s="74">
        <v>3.4278E-6</v>
      </c>
      <c r="DL14" s="74">
        <v>3.3359999999999999E-6</v>
      </c>
      <c r="DM14" s="74">
        <v>3.2466E-6</v>
      </c>
      <c r="DN14" s="74">
        <v>3.1597E-6</v>
      </c>
      <c r="DO14" s="74">
        <v>3.0751E-6</v>
      </c>
      <c r="DP14" s="74">
        <v>2.9927000000000002E-6</v>
      </c>
      <c r="DQ14" s="74">
        <v>2.9125999999999999E-6</v>
      </c>
      <c r="DR14" s="74">
        <v>2.8345999999999999E-6</v>
      </c>
      <c r="DS14" s="74">
        <v>2.7586999999999999E-6</v>
      </c>
      <c r="DT14" s="74">
        <v>2.6848000000000001E-6</v>
      </c>
      <c r="DU14" s="74">
        <v>2.6129E-6</v>
      </c>
      <c r="DV14" s="74">
        <v>2.5428999999999998E-6</v>
      </c>
      <c r="DW14" s="74">
        <v>2.4748E-6</v>
      </c>
      <c r="DX14" s="74">
        <v>2.4084999999999999E-6</v>
      </c>
      <c r="DY14" s="74">
        <v>2.3439999999999999E-6</v>
      </c>
      <c r="DZ14" s="74">
        <v>2.2811999999999999E-6</v>
      </c>
      <c r="EA14" s="74">
        <v>2.2201000000000001E-6</v>
      </c>
      <c r="EB14" s="74">
        <v>2.1606999999999999E-6</v>
      </c>
      <c r="EC14" s="74">
        <v>2.1028E-6</v>
      </c>
      <c r="ED14" s="74">
        <v>2.0464999999999998E-6</v>
      </c>
      <c r="EE14" s="74">
        <v>1.9916999999999999E-6</v>
      </c>
      <c r="EF14" s="74">
        <v>1.9383999999999999E-6</v>
      </c>
      <c r="EG14" s="74">
        <v>1.8864000000000001E-6</v>
      </c>
      <c r="EH14" s="74">
        <v>1.8359000000000001E-6</v>
      </c>
      <c r="EI14" s="74">
        <v>1.7868E-6</v>
      </c>
      <c r="EJ14" s="74">
        <v>1.7389E-6</v>
      </c>
      <c r="EK14" s="74">
        <v>1.6923000000000001E-6</v>
      </c>
      <c r="EL14" s="74">
        <v>1.6470000000000001E-6</v>
      </c>
      <c r="EM14" s="74">
        <v>1.6028999999999999E-6</v>
      </c>
      <c r="EN14" s="74">
        <v>1.5600000000000001E-6</v>
      </c>
      <c r="EO14" s="74">
        <v>1.5181999999999999E-6</v>
      </c>
      <c r="EP14" s="74">
        <v>1.4775E-6</v>
      </c>
      <c r="EQ14" s="74">
        <v>1.438E-6</v>
      </c>
      <c r="ER14" s="74">
        <v>1.3994999999999999E-6</v>
      </c>
      <c r="ES14" s="74">
        <v>1.362E-6</v>
      </c>
      <c r="ET14" s="74">
        <v>1.3255000000000001E-6</v>
      </c>
      <c r="EU14" s="74">
        <v>1.2899999999999999E-6</v>
      </c>
      <c r="EV14" s="74">
        <v>1.2555000000000001E-6</v>
      </c>
      <c r="EW14" s="74">
        <v>1.2218000000000001E-6</v>
      </c>
      <c r="EX14" s="74">
        <v>1.1891E-6</v>
      </c>
      <c r="EY14" s="74">
        <v>1.1572999999999999E-6</v>
      </c>
      <c r="EZ14" s="74">
        <v>1.1262999999999999E-6</v>
      </c>
      <c r="FA14" s="74">
        <v>1.0961E-6</v>
      </c>
      <c r="FB14" s="74">
        <v>1.0668000000000001E-6</v>
      </c>
      <c r="FC14" s="74">
        <v>1.0382000000000001E-6</v>
      </c>
      <c r="FD14" s="74">
        <v>1.0104000000000001E-6</v>
      </c>
      <c r="FE14" s="74">
        <v>9.8329999999999997E-7</v>
      </c>
      <c r="FF14" s="74">
        <v>9.569999999999999E-7</v>
      </c>
      <c r="FG14" s="74">
        <v>9.3139999999999999E-7</v>
      </c>
      <c r="FH14" s="74">
        <v>9.0640000000000002E-7</v>
      </c>
      <c r="FI14" s="74">
        <v>8.822E-7</v>
      </c>
      <c r="FJ14" s="74">
        <v>8.5850000000000002E-7</v>
      </c>
      <c r="FK14" s="74">
        <v>8.3549999999999998E-7</v>
      </c>
      <c r="FL14" s="74">
        <v>8.132E-7</v>
      </c>
      <c r="FM14" s="74">
        <v>7.9139999999999995E-7</v>
      </c>
      <c r="FN14" s="74">
        <v>7.7019999999999995E-7</v>
      </c>
      <c r="FO14" s="74">
        <v>7.4959999999999999E-7</v>
      </c>
      <c r="FP14" s="74">
        <v>7.2949999999999996E-7</v>
      </c>
      <c r="FQ14" s="74">
        <v>7.0999999999999998E-7</v>
      </c>
    </row>
    <row r="15" spans="1:173" x14ac:dyDescent="0.25">
      <c r="A15" s="76">
        <v>13</v>
      </c>
      <c r="B15" s="74">
        <v>8.3313300000000001E-5</v>
      </c>
      <c r="C15" s="74">
        <v>8.11003E-5</v>
      </c>
      <c r="D15" s="74">
        <v>7.8955299999999999E-5</v>
      </c>
      <c r="E15" s="74">
        <v>7.6875500000000006E-5</v>
      </c>
      <c r="F15" s="74">
        <v>7.4858300000000001E-5</v>
      </c>
      <c r="G15" s="74">
        <v>7.2901199999999999E-5</v>
      </c>
      <c r="H15" s="74">
        <v>7.1001999999999995E-5</v>
      </c>
      <c r="I15" s="74">
        <v>6.9158499999999999E-5</v>
      </c>
      <c r="J15" s="74">
        <v>6.7368500000000004E-5</v>
      </c>
      <c r="K15" s="74">
        <v>6.56301E-5</v>
      </c>
      <c r="L15" s="74">
        <v>6.3941400000000004E-5</v>
      </c>
      <c r="M15" s="74">
        <v>6.2300700000000005E-5</v>
      </c>
      <c r="N15" s="74">
        <v>6.0706199999999998E-5</v>
      </c>
      <c r="O15" s="74">
        <v>5.9156400000000002E-5</v>
      </c>
      <c r="P15" s="74">
        <v>5.7649699999999998E-5</v>
      </c>
      <c r="Q15" s="74">
        <v>5.6184699999999998E-5</v>
      </c>
      <c r="R15" s="74">
        <v>5.4759899999999997E-5</v>
      </c>
      <c r="S15" s="74">
        <v>5.3374000000000001E-5</v>
      </c>
      <c r="T15" s="74">
        <v>5.2025799999999999E-5</v>
      </c>
      <c r="U15" s="74">
        <v>5.0714000000000003E-5</v>
      </c>
      <c r="V15" s="74">
        <v>4.9437600000000002E-5</v>
      </c>
      <c r="W15" s="74">
        <v>4.8195300000000003E-5</v>
      </c>
      <c r="X15" s="74">
        <v>4.6986100000000001E-5</v>
      </c>
      <c r="Y15" s="74">
        <v>4.5809000000000001E-5</v>
      </c>
      <c r="Z15" s="74">
        <v>4.4663000000000003E-5</v>
      </c>
      <c r="AA15" s="74">
        <v>4.3547200000000002E-5</v>
      </c>
      <c r="AB15" s="74">
        <v>4.2460599999999998E-5</v>
      </c>
      <c r="AC15" s="74">
        <v>4.1402500000000002E-5</v>
      </c>
      <c r="AD15" s="74">
        <v>4.0371799999999999E-5</v>
      </c>
      <c r="AE15" s="74">
        <v>3.9368E-5</v>
      </c>
      <c r="AF15" s="74">
        <v>3.8390099999999997E-5</v>
      </c>
      <c r="AG15" s="74">
        <v>3.7437400000000002E-5</v>
      </c>
      <c r="AH15" s="74">
        <v>3.6509199999999999E-5</v>
      </c>
      <c r="AI15" s="74">
        <v>3.5604900000000002E-5</v>
      </c>
      <c r="AJ15" s="74">
        <v>3.4723600000000001E-5</v>
      </c>
      <c r="AK15" s="74">
        <v>3.3864900000000002E-5</v>
      </c>
      <c r="AL15" s="74">
        <v>3.3028100000000003E-5</v>
      </c>
      <c r="AM15" s="74">
        <v>3.2212499999999997E-5</v>
      </c>
      <c r="AN15" s="74">
        <v>3.1417600000000002E-5</v>
      </c>
      <c r="AO15" s="74">
        <v>3.0642799999999997E-5</v>
      </c>
      <c r="AP15" s="74">
        <v>2.9887600000000002E-5</v>
      </c>
      <c r="AQ15" s="74">
        <v>2.91514E-5</v>
      </c>
      <c r="AR15" s="74">
        <v>2.8433699999999998E-5</v>
      </c>
      <c r="AS15" s="74">
        <v>2.7734099999999999E-5</v>
      </c>
      <c r="AT15" s="74">
        <v>2.7052100000000001E-5</v>
      </c>
      <c r="AU15" s="74">
        <v>2.63871E-5</v>
      </c>
      <c r="AV15" s="74">
        <v>2.5738800000000002E-5</v>
      </c>
      <c r="AW15" s="74">
        <v>2.5106600000000001E-5</v>
      </c>
      <c r="AX15" s="74">
        <v>2.4490300000000002E-5</v>
      </c>
      <c r="AY15" s="74">
        <v>2.3889299999999998E-5</v>
      </c>
      <c r="AZ15" s="74">
        <v>2.3303200000000001E-5</v>
      </c>
      <c r="BA15" s="74">
        <v>2.2731700000000001E-5</v>
      </c>
      <c r="BB15" s="74">
        <v>2.2174499999999999E-5</v>
      </c>
      <c r="BC15" s="74">
        <v>2.1631E-5</v>
      </c>
      <c r="BD15" s="74">
        <v>2.11011E-5</v>
      </c>
      <c r="BE15" s="74">
        <v>2.0584199999999999E-5</v>
      </c>
      <c r="BF15" s="74">
        <v>2.0080200000000001E-5</v>
      </c>
      <c r="BG15" s="74">
        <v>1.9588600000000001E-5</v>
      </c>
      <c r="BH15" s="74">
        <v>1.91092E-5</v>
      </c>
      <c r="BI15" s="74">
        <v>1.8641600000000001E-5</v>
      </c>
      <c r="BJ15" s="74">
        <v>1.8185500000000001E-5</v>
      </c>
      <c r="BK15" s="74">
        <v>1.7740700000000001E-5</v>
      </c>
      <c r="BL15" s="74">
        <v>1.7306799999999998E-5</v>
      </c>
      <c r="BM15" s="74">
        <v>1.6883699999999999E-5</v>
      </c>
      <c r="BN15" s="74">
        <v>1.6470999999999999E-5</v>
      </c>
      <c r="BO15" s="74">
        <v>1.60684E-5</v>
      </c>
      <c r="BP15" s="74">
        <v>1.56757E-5</v>
      </c>
      <c r="BQ15" s="74">
        <v>1.52927E-5</v>
      </c>
      <c r="BR15" s="74">
        <v>1.4919000000000001E-5</v>
      </c>
      <c r="BS15" s="74">
        <v>1.45546E-5</v>
      </c>
      <c r="BT15" s="74">
        <v>1.4199099999999999E-5</v>
      </c>
      <c r="BU15" s="74">
        <v>1.3852299999999999E-5</v>
      </c>
      <c r="BV15" s="74">
        <v>1.35141E-5</v>
      </c>
      <c r="BW15" s="74">
        <v>1.31841E-5</v>
      </c>
      <c r="BX15" s="74">
        <v>1.28622E-5</v>
      </c>
      <c r="BY15" s="74">
        <v>1.25482E-5</v>
      </c>
      <c r="BZ15" s="74">
        <v>1.22419E-5</v>
      </c>
      <c r="CA15" s="74">
        <v>1.1943199999999999E-5</v>
      </c>
      <c r="CB15" s="74">
        <v>1.1651700000000001E-5</v>
      </c>
      <c r="CC15" s="74">
        <v>1.13673E-5</v>
      </c>
      <c r="CD15" s="74">
        <v>1.1090000000000001E-5</v>
      </c>
      <c r="CE15" s="74">
        <v>1.08194E-5</v>
      </c>
      <c r="CF15" s="74">
        <v>1.0555400000000001E-5</v>
      </c>
      <c r="CG15" s="74">
        <v>1.02979E-5</v>
      </c>
      <c r="CH15" s="74">
        <v>1.00467E-5</v>
      </c>
      <c r="CI15" s="74">
        <v>9.8015999999999995E-6</v>
      </c>
      <c r="CJ15" s="74">
        <v>9.5625000000000003E-6</v>
      </c>
      <c r="CK15" s="74">
        <v>9.3292000000000004E-6</v>
      </c>
      <c r="CL15" s="74">
        <v>9.1016999999999996E-6</v>
      </c>
      <c r="CM15" s="74">
        <v>8.8797000000000007E-6</v>
      </c>
      <c r="CN15" s="74">
        <v>8.6632000000000003E-6</v>
      </c>
      <c r="CO15" s="74">
        <v>8.4518999999999995E-6</v>
      </c>
      <c r="CP15" s="74">
        <v>8.2457999999999999E-6</v>
      </c>
      <c r="CQ15" s="74">
        <v>8.0446999999999994E-6</v>
      </c>
      <c r="CR15" s="74">
        <v>7.8485999999999997E-6</v>
      </c>
      <c r="CS15" s="74">
        <v>7.6572000000000001E-6</v>
      </c>
      <c r="CT15" s="74">
        <v>7.4704999999999999E-6</v>
      </c>
      <c r="CU15" s="74">
        <v>7.2883000000000002E-6</v>
      </c>
      <c r="CV15" s="74">
        <v>7.1106000000000002E-6</v>
      </c>
      <c r="CW15" s="74">
        <v>6.9372999999999996E-6</v>
      </c>
      <c r="CX15" s="74">
        <v>6.7680999999999996E-6</v>
      </c>
      <c r="CY15" s="74">
        <v>6.6031000000000004E-6</v>
      </c>
      <c r="CZ15" s="74">
        <v>6.4421999999999999E-6</v>
      </c>
      <c r="DA15" s="74">
        <v>6.2851000000000002E-6</v>
      </c>
      <c r="DB15" s="74">
        <v>6.1318999999999997E-6</v>
      </c>
      <c r="DC15" s="74">
        <v>5.9823999999999997E-6</v>
      </c>
      <c r="DD15" s="74">
        <v>5.8366000000000002E-6</v>
      </c>
      <c r="DE15" s="74">
        <v>5.6942999999999998E-6</v>
      </c>
      <c r="DF15" s="74">
        <v>5.5554999999999996E-6</v>
      </c>
      <c r="DG15" s="74">
        <v>5.4201E-6</v>
      </c>
      <c r="DH15" s="74">
        <v>5.288E-6</v>
      </c>
      <c r="DI15" s="74">
        <v>5.1591000000000003E-6</v>
      </c>
      <c r="DJ15" s="74">
        <v>5.0332999999999997E-6</v>
      </c>
      <c r="DK15" s="74">
        <v>4.9107000000000003E-6</v>
      </c>
      <c r="DL15" s="74">
        <v>4.7910000000000004E-6</v>
      </c>
      <c r="DM15" s="74">
        <v>4.6742000000000001E-6</v>
      </c>
      <c r="DN15" s="74">
        <v>4.5603000000000002E-6</v>
      </c>
      <c r="DO15" s="74">
        <v>4.4491000000000003E-6</v>
      </c>
      <c r="DP15" s="74">
        <v>4.3406999999999998E-6</v>
      </c>
      <c r="DQ15" s="74">
        <v>4.2348999999999999E-6</v>
      </c>
      <c r="DR15" s="74">
        <v>4.1316999999999998E-6</v>
      </c>
      <c r="DS15" s="74">
        <v>4.031E-6</v>
      </c>
      <c r="DT15" s="74">
        <v>3.9326999999999996E-6</v>
      </c>
      <c r="DU15" s="74">
        <v>3.8368999999999996E-6</v>
      </c>
      <c r="DV15" s="74">
        <v>3.7434E-6</v>
      </c>
      <c r="DW15" s="74">
        <v>3.6521000000000002E-6</v>
      </c>
      <c r="DX15" s="74">
        <v>3.5630999999999998E-6</v>
      </c>
      <c r="DY15" s="74">
        <v>3.4763000000000001E-6</v>
      </c>
      <c r="DZ15" s="74">
        <v>3.3915999999999999E-6</v>
      </c>
      <c r="EA15" s="74">
        <v>3.3089000000000002E-6</v>
      </c>
      <c r="EB15" s="74">
        <v>3.2283000000000001E-6</v>
      </c>
      <c r="EC15" s="74">
        <v>3.1495999999999999E-6</v>
      </c>
      <c r="ED15" s="74">
        <v>3.0728E-6</v>
      </c>
      <c r="EE15" s="74">
        <v>2.9979999999999999E-6</v>
      </c>
      <c r="EF15" s="74">
        <v>2.9249000000000002E-6</v>
      </c>
      <c r="EG15" s="74">
        <v>2.8536000000000001E-6</v>
      </c>
      <c r="EH15" s="74">
        <v>2.7841000000000002E-6</v>
      </c>
      <c r="EI15" s="74">
        <v>2.7161999999999999E-6</v>
      </c>
      <c r="EJ15" s="74">
        <v>2.65E-6</v>
      </c>
      <c r="EK15" s="74">
        <v>2.5855000000000001E-6</v>
      </c>
      <c r="EL15" s="74">
        <v>2.5224000000000002E-6</v>
      </c>
      <c r="EM15" s="74">
        <v>2.4609999999999998E-6</v>
      </c>
      <c r="EN15" s="74">
        <v>2.401E-6</v>
      </c>
      <c r="EO15" s="74">
        <v>2.3425E-6</v>
      </c>
      <c r="EP15" s="74">
        <v>2.2854000000000002E-6</v>
      </c>
      <c r="EQ15" s="74">
        <v>2.2297E-6</v>
      </c>
      <c r="ER15" s="74">
        <v>2.1754E-6</v>
      </c>
      <c r="ES15" s="74">
        <v>2.1224000000000002E-6</v>
      </c>
      <c r="ET15" s="74">
        <v>2.0706000000000001E-6</v>
      </c>
      <c r="EU15" s="74">
        <v>2.0202000000000002E-6</v>
      </c>
      <c r="EV15" s="74">
        <v>1.9709999999999998E-6</v>
      </c>
      <c r="EW15" s="74">
        <v>1.9228999999999998E-6</v>
      </c>
      <c r="EX15" s="74">
        <v>1.8760999999999999E-6</v>
      </c>
      <c r="EY15" s="74">
        <v>1.8303000000000001E-6</v>
      </c>
      <c r="EZ15" s="74">
        <v>1.7856999999999999E-6</v>
      </c>
      <c r="FA15" s="74">
        <v>1.7422E-6</v>
      </c>
      <c r="FB15" s="74">
        <v>1.6998E-6</v>
      </c>
      <c r="FC15" s="74">
        <v>1.6583000000000001E-6</v>
      </c>
      <c r="FD15" s="74">
        <v>1.6179E-6</v>
      </c>
      <c r="FE15" s="74">
        <v>1.5785E-6</v>
      </c>
      <c r="FF15" s="74">
        <v>1.5400000000000001E-6</v>
      </c>
      <c r="FG15" s="74">
        <v>1.5025E-6</v>
      </c>
      <c r="FH15" s="74">
        <v>1.4659E-6</v>
      </c>
      <c r="FI15" s="74">
        <v>1.4302000000000001E-6</v>
      </c>
      <c r="FJ15" s="74">
        <v>1.3953E-6</v>
      </c>
      <c r="FK15" s="74">
        <v>1.3613E-6</v>
      </c>
      <c r="FL15" s="74">
        <v>1.3281E-6</v>
      </c>
      <c r="FM15" s="74">
        <v>1.2957999999999999E-6</v>
      </c>
      <c r="FN15" s="74">
        <v>1.2641999999999999E-6</v>
      </c>
      <c r="FO15" s="74">
        <v>1.2333999999999999E-6</v>
      </c>
      <c r="FP15" s="74">
        <v>1.2033E-6</v>
      </c>
      <c r="FQ15" s="74">
        <v>1.1739999999999999E-6</v>
      </c>
    </row>
    <row r="16" spans="1:173" x14ac:dyDescent="0.25">
      <c r="A16" s="76">
        <v>14</v>
      </c>
      <c r="B16" s="74">
        <v>9.4035600000000005E-5</v>
      </c>
      <c r="C16" s="74">
        <v>9.2011599999999998E-5</v>
      </c>
      <c r="D16" s="74">
        <v>9.0016800000000002E-5</v>
      </c>
      <c r="E16" s="74">
        <v>8.8051800000000003E-5</v>
      </c>
      <c r="F16" s="74">
        <v>8.6117200000000003E-5</v>
      </c>
      <c r="G16" s="74">
        <v>8.4213600000000003E-5</v>
      </c>
      <c r="H16" s="74">
        <v>8.2341299999999997E-5</v>
      </c>
      <c r="I16" s="74">
        <v>8.05007E-5</v>
      </c>
      <c r="J16" s="74">
        <v>7.8691999999999998E-5</v>
      </c>
      <c r="K16" s="74">
        <v>7.6915400000000006E-5</v>
      </c>
      <c r="L16" s="74">
        <v>7.5171099999999996E-5</v>
      </c>
      <c r="M16" s="74">
        <v>7.3458899999999996E-5</v>
      </c>
      <c r="N16" s="74">
        <v>7.1779000000000005E-5</v>
      </c>
      <c r="O16" s="74">
        <v>7.0131100000000004E-5</v>
      </c>
      <c r="P16" s="74">
        <v>6.8515299999999998E-5</v>
      </c>
      <c r="Q16" s="74">
        <v>6.6931299999999994E-5</v>
      </c>
      <c r="R16" s="74">
        <v>6.5378900000000005E-5</v>
      </c>
      <c r="S16" s="74">
        <v>6.3857799999999997E-5</v>
      </c>
      <c r="T16" s="74">
        <v>6.2367900000000003E-5</v>
      </c>
      <c r="U16" s="74">
        <v>6.0908700000000002E-5</v>
      </c>
      <c r="V16" s="74">
        <v>5.948E-5</v>
      </c>
      <c r="W16" s="74">
        <v>5.8081400000000003E-5</v>
      </c>
      <c r="X16" s="74">
        <v>5.6712500000000003E-5</v>
      </c>
      <c r="Y16" s="74">
        <v>5.53729E-5</v>
      </c>
      <c r="Z16" s="74">
        <v>5.4062299999999999E-5</v>
      </c>
      <c r="AA16" s="74">
        <v>5.27802E-5</v>
      </c>
      <c r="AB16" s="74">
        <v>5.1526200000000001E-5</v>
      </c>
      <c r="AC16" s="74">
        <v>5.0299800000000002E-5</v>
      </c>
      <c r="AD16" s="74">
        <v>4.9100600000000002E-5</v>
      </c>
      <c r="AE16" s="74">
        <v>4.79282E-5</v>
      </c>
      <c r="AF16" s="74">
        <v>4.6782E-5</v>
      </c>
      <c r="AG16" s="74">
        <v>4.5661699999999997E-5</v>
      </c>
      <c r="AH16" s="74">
        <v>4.4566700000000001E-5</v>
      </c>
      <c r="AI16" s="74">
        <v>4.34967E-5</v>
      </c>
      <c r="AJ16" s="74">
        <v>4.2451099999999997E-5</v>
      </c>
      <c r="AK16" s="74">
        <v>4.14294E-5</v>
      </c>
      <c r="AL16" s="74">
        <v>4.04313E-5</v>
      </c>
      <c r="AM16" s="74">
        <v>3.9456199999999997E-5</v>
      </c>
      <c r="AN16" s="74">
        <v>3.8503800000000002E-5</v>
      </c>
      <c r="AO16" s="74">
        <v>3.7573400000000002E-5</v>
      </c>
      <c r="AP16" s="74">
        <v>3.6664800000000002E-5</v>
      </c>
      <c r="AQ16" s="74">
        <v>3.5777400000000001E-5</v>
      </c>
      <c r="AR16" s="74">
        <v>3.4910799999999998E-5</v>
      </c>
      <c r="AS16" s="74">
        <v>3.4064599999999999E-5</v>
      </c>
      <c r="AT16" s="74">
        <v>3.3238300000000003E-5</v>
      </c>
      <c r="AU16" s="74">
        <v>3.2431500000000003E-5</v>
      </c>
      <c r="AV16" s="74">
        <v>3.1643799999999997E-5</v>
      </c>
      <c r="AW16" s="74">
        <v>3.0874799999999998E-5</v>
      </c>
      <c r="AX16" s="74">
        <v>3.0124099999999998E-5</v>
      </c>
      <c r="AY16" s="74">
        <v>2.9391200000000001E-5</v>
      </c>
      <c r="AZ16" s="74">
        <v>2.8675800000000001E-5</v>
      </c>
      <c r="BA16" s="74">
        <v>2.7977400000000001E-5</v>
      </c>
      <c r="BB16" s="74">
        <v>2.72958E-5</v>
      </c>
      <c r="BC16" s="74">
        <v>2.6630399999999998E-5</v>
      </c>
      <c r="BD16" s="74">
        <v>2.5981100000000001E-5</v>
      </c>
      <c r="BE16" s="74">
        <v>2.53473E-5</v>
      </c>
      <c r="BF16" s="74">
        <v>2.4728699999999999E-5</v>
      </c>
      <c r="BG16" s="74">
        <v>2.41251E-5</v>
      </c>
      <c r="BH16" s="74">
        <v>2.3535899999999999E-5</v>
      </c>
      <c r="BI16" s="74">
        <v>2.2960999999999999E-5</v>
      </c>
      <c r="BJ16" s="74">
        <v>2.2399999999999999E-5</v>
      </c>
      <c r="BK16" s="74">
        <v>2.1852500000000001E-5</v>
      </c>
      <c r="BL16" s="74">
        <v>2.1318299999999999E-5</v>
      </c>
      <c r="BM16" s="74">
        <v>2.0796900000000001E-5</v>
      </c>
      <c r="BN16" s="74">
        <v>2.02882E-5</v>
      </c>
      <c r="BO16" s="74">
        <v>1.9791899999999999E-5</v>
      </c>
      <c r="BP16" s="74">
        <v>1.9307600000000001E-5</v>
      </c>
      <c r="BQ16" s="74">
        <v>1.8834999999999998E-5</v>
      </c>
      <c r="BR16" s="74">
        <v>1.83739E-5</v>
      </c>
      <c r="BS16" s="74">
        <v>1.7924E-5</v>
      </c>
      <c r="BT16" s="74">
        <v>1.74851E-5</v>
      </c>
      <c r="BU16" s="74">
        <v>1.7056799999999999E-5</v>
      </c>
      <c r="BV16" s="74">
        <v>1.6638900000000001E-5</v>
      </c>
      <c r="BW16" s="74">
        <v>1.6231300000000002E-5</v>
      </c>
      <c r="BX16" s="74">
        <v>1.58335E-5</v>
      </c>
      <c r="BY16" s="74">
        <v>1.54455E-5</v>
      </c>
      <c r="BZ16" s="74">
        <v>1.50669E-5</v>
      </c>
      <c r="CA16" s="74">
        <v>1.46976E-5</v>
      </c>
      <c r="CB16" s="74">
        <v>1.4337200000000001E-5</v>
      </c>
      <c r="CC16" s="74">
        <v>1.3985700000000001E-5</v>
      </c>
      <c r="CD16" s="74">
        <v>1.3642700000000001E-5</v>
      </c>
      <c r="CE16" s="74">
        <v>1.3308200000000001E-5</v>
      </c>
      <c r="CF16" s="74">
        <v>1.29818E-5</v>
      </c>
      <c r="CG16" s="74">
        <v>1.26634E-5</v>
      </c>
      <c r="CH16" s="74">
        <v>1.2352699999999999E-5</v>
      </c>
      <c r="CI16" s="74">
        <v>1.2049699999999999E-5</v>
      </c>
      <c r="CJ16" s="74">
        <v>1.1754E-5</v>
      </c>
      <c r="CK16" s="74">
        <v>1.1465600000000001E-5</v>
      </c>
      <c r="CL16" s="74">
        <v>1.1184300000000001E-5</v>
      </c>
      <c r="CM16" s="74">
        <v>1.09099E-5</v>
      </c>
      <c r="CN16" s="74">
        <v>1.0642099999999999E-5</v>
      </c>
      <c r="CO16" s="74">
        <v>1.0380900000000001E-5</v>
      </c>
      <c r="CP16" s="74">
        <v>1.01262E-5</v>
      </c>
      <c r="CQ16" s="74">
        <v>9.8776000000000001E-6</v>
      </c>
      <c r="CR16" s="74">
        <v>9.6352000000000005E-6</v>
      </c>
      <c r="CS16" s="74">
        <v>9.3986000000000001E-6</v>
      </c>
      <c r="CT16" s="74">
        <v>9.1679000000000008E-6</v>
      </c>
      <c r="CU16" s="74">
        <v>8.9429000000000004E-6</v>
      </c>
      <c r="CV16" s="74">
        <v>8.7233E-6</v>
      </c>
      <c r="CW16" s="74">
        <v>8.5090999999999996E-6</v>
      </c>
      <c r="CX16" s="74">
        <v>8.3002000000000006E-6</v>
      </c>
      <c r="CY16" s="74">
        <v>8.0963999999999993E-6</v>
      </c>
      <c r="CZ16" s="74">
        <v>7.8976000000000004E-6</v>
      </c>
      <c r="DA16" s="74">
        <v>7.7037000000000005E-6</v>
      </c>
      <c r="DB16" s="74">
        <v>7.5146E-6</v>
      </c>
      <c r="DC16" s="74">
        <v>7.3300000000000001E-6</v>
      </c>
      <c r="DD16" s="74">
        <v>7.1500000000000002E-6</v>
      </c>
      <c r="DE16" s="74">
        <v>6.9744999999999999E-6</v>
      </c>
      <c r="DF16" s="74">
        <v>6.8032000000000004E-6</v>
      </c>
      <c r="DG16" s="74">
        <v>6.6360999999999999E-6</v>
      </c>
      <c r="DH16" s="74">
        <v>6.4730999999999999E-6</v>
      </c>
      <c r="DI16" s="74">
        <v>6.3141999999999996E-6</v>
      </c>
      <c r="DJ16" s="74">
        <v>6.1591E-6</v>
      </c>
      <c r="DK16" s="74">
        <v>6.0078000000000003E-6</v>
      </c>
      <c r="DL16" s="74">
        <v>5.8602999999999996E-6</v>
      </c>
      <c r="DM16" s="74">
        <v>5.7162999999999998E-6</v>
      </c>
      <c r="DN16" s="74">
        <v>5.5759000000000003E-6</v>
      </c>
      <c r="DO16" s="74">
        <v>5.4389999999999999E-6</v>
      </c>
      <c r="DP16" s="74">
        <v>5.3054000000000001E-6</v>
      </c>
      <c r="DQ16" s="74">
        <v>5.1750999999999998E-6</v>
      </c>
      <c r="DR16" s="74">
        <v>5.0479999999999998E-6</v>
      </c>
      <c r="DS16" s="74">
        <v>4.9239999999999998E-6</v>
      </c>
      <c r="DT16" s="74">
        <v>4.8029999999999996E-6</v>
      </c>
      <c r="DU16" s="74">
        <v>4.6851000000000003E-6</v>
      </c>
      <c r="DV16" s="74">
        <v>4.5700000000000003E-6</v>
      </c>
      <c r="DW16" s="74">
        <v>4.4576999999999997E-6</v>
      </c>
      <c r="DX16" s="74">
        <v>4.3482000000000001E-6</v>
      </c>
      <c r="DY16" s="74">
        <v>4.2413999999999997E-6</v>
      </c>
      <c r="DZ16" s="74">
        <v>4.1372E-6</v>
      </c>
      <c r="EA16" s="74">
        <v>4.0356E-6</v>
      </c>
      <c r="EB16" s="74">
        <v>3.9365000000000003E-6</v>
      </c>
      <c r="EC16" s="74">
        <v>3.8398000000000001E-6</v>
      </c>
      <c r="ED16" s="74">
        <v>3.7454000000000002E-6</v>
      </c>
      <c r="EE16" s="74">
        <v>3.6534E-6</v>
      </c>
      <c r="EF16" s="74">
        <v>3.5636999999999999E-6</v>
      </c>
      <c r="EG16" s="74">
        <v>3.4761000000000001E-6</v>
      </c>
      <c r="EH16" s="74">
        <v>3.3907E-6</v>
      </c>
      <c r="EI16" s="74">
        <v>3.3075000000000001E-6</v>
      </c>
      <c r="EJ16" s="74">
        <v>3.2262000000000001E-6</v>
      </c>
      <c r="EK16" s="74">
        <v>3.1468999999999999E-6</v>
      </c>
      <c r="EL16" s="74">
        <v>3.0695999999999998E-6</v>
      </c>
      <c r="EM16" s="74">
        <v>2.9942000000000001E-6</v>
      </c>
      <c r="EN16" s="74">
        <v>2.9206999999999998E-6</v>
      </c>
      <c r="EO16" s="74">
        <v>2.8488999999999999E-6</v>
      </c>
      <c r="EP16" s="74">
        <v>2.7789000000000002E-6</v>
      </c>
      <c r="EQ16" s="74">
        <v>2.7107000000000002E-6</v>
      </c>
      <c r="ER16" s="74">
        <v>2.6440999999999998E-6</v>
      </c>
      <c r="ES16" s="74">
        <v>2.5791E-6</v>
      </c>
      <c r="ET16" s="74">
        <v>2.5158000000000001E-6</v>
      </c>
      <c r="EU16" s="74">
        <v>2.4540000000000001E-6</v>
      </c>
      <c r="EV16" s="74">
        <v>2.3937000000000001E-6</v>
      </c>
      <c r="EW16" s="74">
        <v>2.3348999999999999E-6</v>
      </c>
      <c r="EX16" s="74">
        <v>2.2774999999999998E-6</v>
      </c>
      <c r="EY16" s="74">
        <v>2.2216E-6</v>
      </c>
      <c r="EZ16" s="74">
        <v>2.1670000000000002E-6</v>
      </c>
      <c r="FA16" s="74">
        <v>2.1137000000000002E-6</v>
      </c>
      <c r="FB16" s="74">
        <v>2.0617999999999999E-6</v>
      </c>
      <c r="FC16" s="74">
        <v>2.0111999999999999E-6</v>
      </c>
      <c r="FD16" s="74">
        <v>1.9618E-6</v>
      </c>
      <c r="FE16" s="74">
        <v>1.9136000000000002E-6</v>
      </c>
      <c r="FF16" s="74">
        <v>1.8665E-6</v>
      </c>
      <c r="FG16" s="74">
        <v>1.8207E-6</v>
      </c>
      <c r="FH16" s="74">
        <v>1.776E-6</v>
      </c>
      <c r="FI16" s="74">
        <v>1.7322999999999999E-6</v>
      </c>
      <c r="FJ16" s="74">
        <v>1.6897999999999999E-6</v>
      </c>
      <c r="FK16" s="74">
        <v>1.6483E-6</v>
      </c>
      <c r="FL16" s="74">
        <v>1.6078000000000001E-6</v>
      </c>
      <c r="FM16" s="74">
        <v>1.5683000000000001E-6</v>
      </c>
      <c r="FN16" s="74">
        <v>1.5296999999999999E-6</v>
      </c>
      <c r="FO16" s="74">
        <v>1.4922000000000001E-6</v>
      </c>
      <c r="FP16" s="74">
        <v>1.4555000000000001E-6</v>
      </c>
      <c r="FQ16" s="74">
        <v>1.4196999999999999E-6</v>
      </c>
    </row>
    <row r="17" spans="1:173" x14ac:dyDescent="0.25">
      <c r="A17" s="76">
        <v>15</v>
      </c>
      <c r="B17" s="74">
        <v>1.0565639999999999E-4</v>
      </c>
      <c r="C17" s="74">
        <v>1.0325160000000001E-4</v>
      </c>
      <c r="D17" s="74">
        <v>1.008876E-4</v>
      </c>
      <c r="E17" s="74">
        <v>9.8564899999999995E-5</v>
      </c>
      <c r="F17" s="74">
        <v>9.6283699999999994E-5</v>
      </c>
      <c r="G17" s="74">
        <v>9.4044199999999997E-5</v>
      </c>
      <c r="H17" s="74">
        <v>9.1846600000000003E-5</v>
      </c>
      <c r="I17" s="74">
        <v>8.9690899999999999E-5</v>
      </c>
      <c r="J17" s="74">
        <v>8.7576899999999998E-5</v>
      </c>
      <c r="K17" s="74">
        <v>8.5504699999999995E-5</v>
      </c>
      <c r="L17" s="74">
        <v>8.3473900000000001E-5</v>
      </c>
      <c r="M17" s="74">
        <v>8.1484500000000002E-5</v>
      </c>
      <c r="N17" s="74">
        <v>7.9535899999999999E-5</v>
      </c>
      <c r="O17" s="74">
        <v>7.7628100000000003E-5</v>
      </c>
      <c r="P17" s="74">
        <v>7.5760399999999994E-5</v>
      </c>
      <c r="Q17" s="74">
        <v>7.3932599999999998E-5</v>
      </c>
      <c r="R17" s="74">
        <v>7.2144099999999999E-5</v>
      </c>
      <c r="S17" s="74">
        <v>7.0394499999999998E-5</v>
      </c>
      <c r="T17" s="74">
        <v>6.86833E-5</v>
      </c>
      <c r="U17" s="74">
        <v>6.7009900000000004E-5</v>
      </c>
      <c r="V17" s="74">
        <v>6.5373800000000001E-5</v>
      </c>
      <c r="W17" s="74">
        <v>6.3774499999999997E-5</v>
      </c>
      <c r="X17" s="74">
        <v>6.2211299999999998E-5</v>
      </c>
      <c r="Y17" s="74">
        <v>6.0683700000000003E-5</v>
      </c>
      <c r="Z17" s="74">
        <v>5.9191000000000003E-5</v>
      </c>
      <c r="AA17" s="74">
        <v>5.7732799999999997E-5</v>
      </c>
      <c r="AB17" s="74">
        <v>5.6308199999999997E-5</v>
      </c>
      <c r="AC17" s="74">
        <v>5.4916800000000002E-5</v>
      </c>
      <c r="AD17" s="74">
        <v>5.3557999999999998E-5</v>
      </c>
      <c r="AE17" s="74">
        <v>5.2231000000000002E-5</v>
      </c>
      <c r="AF17" s="74">
        <v>5.09353E-5</v>
      </c>
      <c r="AG17" s="74">
        <v>4.9670299999999998E-5</v>
      </c>
      <c r="AH17" s="74">
        <v>4.84353E-5</v>
      </c>
      <c r="AI17" s="74">
        <v>4.72298E-5</v>
      </c>
      <c r="AJ17" s="74">
        <v>4.6053100000000001E-5</v>
      </c>
      <c r="AK17" s="74">
        <v>4.4904699999999997E-5</v>
      </c>
      <c r="AL17" s="74">
        <v>4.3783899999999999E-5</v>
      </c>
      <c r="AM17" s="74">
        <v>4.26902E-5</v>
      </c>
      <c r="AN17" s="74">
        <v>4.1622899999999998E-5</v>
      </c>
      <c r="AO17" s="74">
        <v>4.0581499999999998E-5</v>
      </c>
      <c r="AP17" s="74">
        <v>3.9565499999999999E-5</v>
      </c>
      <c r="AQ17" s="74">
        <v>3.8574200000000001E-5</v>
      </c>
      <c r="AR17" s="74">
        <v>3.7607200000000001E-5</v>
      </c>
      <c r="AS17" s="74">
        <v>3.66638E-5</v>
      </c>
      <c r="AT17" s="74">
        <v>3.5743500000000001E-5</v>
      </c>
      <c r="AU17" s="74">
        <v>3.4845799999999998E-5</v>
      </c>
      <c r="AV17" s="74">
        <v>3.3970300000000002E-5</v>
      </c>
      <c r="AW17" s="74">
        <v>3.31163E-5</v>
      </c>
      <c r="AX17" s="74">
        <v>3.2283400000000003E-5</v>
      </c>
      <c r="AY17" s="74">
        <v>3.1471099999999998E-5</v>
      </c>
      <c r="AZ17" s="74">
        <v>3.0678900000000002E-5</v>
      </c>
      <c r="BA17" s="74">
        <v>2.9906299999999999E-5</v>
      </c>
      <c r="BB17" s="74">
        <v>2.91529E-5</v>
      </c>
      <c r="BC17" s="74">
        <v>2.8418199999999998E-5</v>
      </c>
      <c r="BD17" s="74">
        <v>2.77018E-5</v>
      </c>
      <c r="BE17" s="74">
        <v>2.7003199999999999E-5</v>
      </c>
      <c r="BF17" s="74">
        <v>2.6322E-5</v>
      </c>
      <c r="BG17" s="74">
        <v>2.56579E-5</v>
      </c>
      <c r="BH17" s="74">
        <v>2.50103E-5</v>
      </c>
      <c r="BI17" s="74">
        <v>2.4378800000000001E-5</v>
      </c>
      <c r="BJ17" s="74">
        <v>2.37632E-5</v>
      </c>
      <c r="BK17" s="74">
        <v>2.3163000000000002E-5</v>
      </c>
      <c r="BL17" s="74">
        <v>2.2577799999999999E-5</v>
      </c>
      <c r="BM17" s="74">
        <v>2.2007299999999998E-5</v>
      </c>
      <c r="BN17" s="74">
        <v>2.1451099999999999E-5</v>
      </c>
      <c r="BO17" s="74">
        <v>2.0908799999999999E-5</v>
      </c>
      <c r="BP17" s="74">
        <v>2.0380199999999998E-5</v>
      </c>
      <c r="BQ17" s="74">
        <v>1.98648E-5</v>
      </c>
      <c r="BR17" s="74">
        <v>1.9362399999999999E-5</v>
      </c>
      <c r="BS17" s="74">
        <v>1.88726E-5</v>
      </c>
      <c r="BT17" s="74">
        <v>1.8395099999999999E-5</v>
      </c>
      <c r="BU17" s="74">
        <v>1.7929699999999999E-5</v>
      </c>
      <c r="BV17" s="74">
        <v>1.74759E-5</v>
      </c>
      <c r="BW17" s="74">
        <v>1.7033599999999999E-5</v>
      </c>
      <c r="BX17" s="74">
        <v>1.6602499999999999E-5</v>
      </c>
      <c r="BY17" s="74">
        <v>1.6182199999999999E-5</v>
      </c>
      <c r="BZ17" s="74">
        <v>1.5772499999999998E-5</v>
      </c>
      <c r="CA17" s="74">
        <v>1.53731E-5</v>
      </c>
      <c r="CB17" s="74">
        <v>1.49838E-5</v>
      </c>
      <c r="CC17" s="74">
        <v>1.46044E-5</v>
      </c>
      <c r="CD17" s="74">
        <v>1.4234500000000001E-5</v>
      </c>
      <c r="CE17" s="74">
        <v>1.3873899999999999E-5</v>
      </c>
      <c r="CF17" s="74">
        <v>1.35225E-5</v>
      </c>
      <c r="CG17" s="74">
        <v>1.3179900000000001E-5</v>
      </c>
      <c r="CH17" s="74">
        <v>1.2846E-5</v>
      </c>
      <c r="CI17" s="74">
        <v>1.25206E-5</v>
      </c>
      <c r="CJ17" s="74">
        <v>1.2203300000000001E-5</v>
      </c>
      <c r="CK17" s="74">
        <v>1.18941E-5</v>
      </c>
      <c r="CL17" s="74">
        <v>1.15927E-5</v>
      </c>
      <c r="CM17" s="74">
        <v>1.12989E-5</v>
      </c>
      <c r="CN17" s="74">
        <v>1.10126E-5</v>
      </c>
      <c r="CO17" s="74">
        <v>1.07334E-5</v>
      </c>
      <c r="CP17" s="74">
        <v>1.0461399999999999E-5</v>
      </c>
      <c r="CQ17" s="74">
        <v>1.0196200000000001E-5</v>
      </c>
      <c r="CR17" s="74">
        <v>9.9378E-6</v>
      </c>
      <c r="CS17" s="74">
        <v>9.6858999999999999E-6</v>
      </c>
      <c r="CT17" s="74">
        <v>9.4403000000000001E-6</v>
      </c>
      <c r="CU17" s="74">
        <v>9.2010000000000005E-6</v>
      </c>
      <c r="CV17" s="74">
        <v>8.9678000000000008E-6</v>
      </c>
      <c r="CW17" s="74">
        <v>8.7404000000000002E-6</v>
      </c>
      <c r="CX17" s="74">
        <v>8.5188000000000005E-6</v>
      </c>
      <c r="CY17" s="74">
        <v>8.3027999999999995E-6</v>
      </c>
      <c r="CZ17" s="74">
        <v>8.0923000000000004E-6</v>
      </c>
      <c r="DA17" s="74">
        <v>7.8870999999999994E-6</v>
      </c>
      <c r="DB17" s="74">
        <v>7.6871999999999999E-6</v>
      </c>
      <c r="DC17" s="74">
        <v>7.4922E-6</v>
      </c>
      <c r="DD17" s="74">
        <v>7.3023000000000004E-6</v>
      </c>
      <c r="DE17" s="74">
        <v>7.1171E-6</v>
      </c>
      <c r="DF17" s="74">
        <v>6.9365999999999998E-6</v>
      </c>
      <c r="DG17" s="74">
        <v>6.7607000000000003E-6</v>
      </c>
      <c r="DH17" s="74">
        <v>6.5892999999999997E-6</v>
      </c>
      <c r="DI17" s="74">
        <v>6.4222000000000001E-6</v>
      </c>
      <c r="DJ17" s="74">
        <v>6.2593000000000004E-6</v>
      </c>
      <c r="DK17" s="74">
        <v>6.1005999999999997E-6</v>
      </c>
      <c r="DL17" s="74">
        <v>5.9459000000000001E-6</v>
      </c>
      <c r="DM17" s="74">
        <v>5.7950999999999998E-6</v>
      </c>
      <c r="DN17" s="74">
        <v>5.6481000000000002E-6</v>
      </c>
      <c r="DO17" s="74">
        <v>5.5048999999999996E-6</v>
      </c>
      <c r="DP17" s="74">
        <v>5.3653000000000001E-6</v>
      </c>
      <c r="DQ17" s="74">
        <v>5.2291999999999998E-6</v>
      </c>
      <c r="DR17" s="74">
        <v>5.0965999999999996E-6</v>
      </c>
      <c r="DS17" s="74">
        <v>4.9672999999999999E-6</v>
      </c>
      <c r="DT17" s="74">
        <v>4.8412999999999997E-6</v>
      </c>
      <c r="DU17" s="74">
        <v>4.7184999999999998E-6</v>
      </c>
      <c r="DV17" s="74">
        <v>4.5989000000000001E-6</v>
      </c>
      <c r="DW17" s="74">
        <v>4.4822E-6</v>
      </c>
      <c r="DX17" s="74">
        <v>4.3684999999999998E-6</v>
      </c>
      <c r="DY17" s="74">
        <v>4.2576999999999999E-6</v>
      </c>
      <c r="DZ17" s="74">
        <v>4.1497999999999996E-6</v>
      </c>
      <c r="EA17" s="74">
        <v>4.0445E-6</v>
      </c>
      <c r="EB17" s="74">
        <v>3.9419000000000003E-6</v>
      </c>
      <c r="EC17" s="74">
        <v>3.8418999999999996E-6</v>
      </c>
      <c r="ED17" s="74">
        <v>3.7444999999999999E-6</v>
      </c>
      <c r="EE17" s="74">
        <v>3.6495E-6</v>
      </c>
      <c r="EF17" s="74">
        <v>3.5569000000000002E-6</v>
      </c>
      <c r="EG17" s="74">
        <v>3.4667000000000002E-6</v>
      </c>
      <c r="EH17" s="74">
        <v>3.3788000000000002E-6</v>
      </c>
      <c r="EI17" s="74">
        <v>3.2930999999999999E-6</v>
      </c>
      <c r="EJ17" s="74">
        <v>3.2096000000000002E-6</v>
      </c>
      <c r="EK17" s="74">
        <v>3.1281000000000002E-6</v>
      </c>
      <c r="EL17" s="74">
        <v>3.0487999999999999E-6</v>
      </c>
      <c r="EM17" s="74">
        <v>2.9714999999999998E-6</v>
      </c>
      <c r="EN17" s="74">
        <v>2.8961000000000001E-6</v>
      </c>
      <c r="EO17" s="74">
        <v>2.8225999999999999E-6</v>
      </c>
      <c r="EP17" s="74">
        <v>2.751E-6</v>
      </c>
      <c r="EQ17" s="74">
        <v>2.6813000000000001E-6</v>
      </c>
      <c r="ER17" s="74">
        <v>2.6131999999999998E-6</v>
      </c>
      <c r="ES17" s="74">
        <v>2.5469999999999999E-6</v>
      </c>
      <c r="ET17" s="74">
        <v>2.4824000000000002E-6</v>
      </c>
      <c r="EU17" s="74">
        <v>2.4194000000000001E-6</v>
      </c>
      <c r="EV17" s="74">
        <v>2.3580000000000001E-6</v>
      </c>
      <c r="EW17" s="74">
        <v>2.2981999999999999E-6</v>
      </c>
      <c r="EX17" s="74">
        <v>2.2398999999999999E-6</v>
      </c>
      <c r="EY17" s="74">
        <v>2.1830999999999999E-6</v>
      </c>
      <c r="EZ17" s="74">
        <v>2.1277E-6</v>
      </c>
      <c r="FA17" s="74">
        <v>2.0737000000000002E-6</v>
      </c>
      <c r="FB17" s="74">
        <v>2.0211E-6</v>
      </c>
      <c r="FC17" s="74">
        <v>1.9699E-6</v>
      </c>
      <c r="FD17" s="74">
        <v>1.9199E-6</v>
      </c>
      <c r="FE17" s="74">
        <v>1.8712E-6</v>
      </c>
      <c r="FF17" s="74">
        <v>1.8237E-6</v>
      </c>
      <c r="FG17" s="74">
        <v>1.7774999999999999E-6</v>
      </c>
      <c r="FH17" s="74">
        <v>1.7323999999999999E-6</v>
      </c>
      <c r="FI17" s="74">
        <v>1.6884E-6</v>
      </c>
      <c r="FJ17" s="74">
        <v>1.6456E-6</v>
      </c>
      <c r="FK17" s="74">
        <v>1.6039E-6</v>
      </c>
      <c r="FL17" s="74">
        <v>1.5631999999999999E-6</v>
      </c>
      <c r="FM17" s="74">
        <v>1.5234999999999999E-6</v>
      </c>
      <c r="FN17" s="74">
        <v>1.4849E-6</v>
      </c>
      <c r="FO17" s="74">
        <v>1.4472000000000001E-6</v>
      </c>
      <c r="FP17" s="74">
        <v>1.4105000000000001E-6</v>
      </c>
      <c r="FQ17" s="74">
        <v>1.3746999999999999E-6</v>
      </c>
    </row>
    <row r="18" spans="1:173" x14ac:dyDescent="0.25">
      <c r="A18" s="76">
        <v>16</v>
      </c>
      <c r="B18" s="74">
        <v>1.274538E-4</v>
      </c>
      <c r="C18" s="74">
        <v>1.2440300000000001E-4</v>
      </c>
      <c r="D18" s="74">
        <v>1.214126E-4</v>
      </c>
      <c r="E18" s="74">
        <v>1.184823E-4</v>
      </c>
      <c r="F18" s="74">
        <v>1.15612E-4</v>
      </c>
      <c r="G18" s="74">
        <v>1.128011E-4</v>
      </c>
      <c r="H18" s="74">
        <v>1.100494E-4</v>
      </c>
      <c r="I18" s="74">
        <v>1.0735619999999999E-4</v>
      </c>
      <c r="J18" s="74">
        <v>1.047209E-4</v>
      </c>
      <c r="K18" s="74">
        <v>1.0214309999999999E-4</v>
      </c>
      <c r="L18" s="74">
        <v>9.9621899999999996E-5</v>
      </c>
      <c r="M18" s="74">
        <v>9.7156600000000004E-5</v>
      </c>
      <c r="N18" s="74">
        <v>9.4746600000000005E-5</v>
      </c>
      <c r="O18" s="74">
        <v>9.2390899999999997E-5</v>
      </c>
      <c r="P18" s="74">
        <v>9.0088900000000004E-5</v>
      </c>
      <c r="Q18" s="74">
        <v>8.7839700000000005E-5</v>
      </c>
      <c r="R18" s="74">
        <v>8.5642299999999998E-5</v>
      </c>
      <c r="S18" s="74">
        <v>8.3496000000000002E-5</v>
      </c>
      <c r="T18" s="74">
        <v>8.1399900000000006E-5</v>
      </c>
      <c r="U18" s="74">
        <v>7.9352999999999997E-5</v>
      </c>
      <c r="V18" s="74">
        <v>7.7354499999999999E-5</v>
      </c>
      <c r="W18" s="74">
        <v>7.5403399999999997E-5</v>
      </c>
      <c r="X18" s="74">
        <v>7.3498999999999995E-5</v>
      </c>
      <c r="Y18" s="74">
        <v>7.1640100000000005E-5</v>
      </c>
      <c r="Z18" s="74">
        <v>6.9826000000000005E-5</v>
      </c>
      <c r="AA18" s="74">
        <v>6.80558E-5</v>
      </c>
      <c r="AB18" s="74">
        <v>6.63285E-5</v>
      </c>
      <c r="AC18" s="74">
        <v>6.4643300000000005E-5</v>
      </c>
      <c r="AD18" s="74">
        <v>6.2999199999999998E-5</v>
      </c>
      <c r="AE18" s="74">
        <v>6.1395400000000005E-5</v>
      </c>
      <c r="AF18" s="74">
        <v>5.9830999999999997E-5</v>
      </c>
      <c r="AG18" s="74">
        <v>5.8305199999999999E-5</v>
      </c>
      <c r="AH18" s="74">
        <v>5.6817100000000002E-5</v>
      </c>
      <c r="AI18" s="74">
        <v>5.5365799999999998E-5</v>
      </c>
      <c r="AJ18" s="74">
        <v>5.3950599999999998E-5</v>
      </c>
      <c r="AK18" s="74">
        <v>5.2570600000000001E-5</v>
      </c>
      <c r="AL18" s="74">
        <v>5.1225099999999999E-5</v>
      </c>
      <c r="AM18" s="74">
        <v>4.9913100000000002E-5</v>
      </c>
      <c r="AN18" s="74">
        <v>4.8634000000000002E-5</v>
      </c>
      <c r="AO18" s="74">
        <v>4.7386999999999999E-5</v>
      </c>
      <c r="AP18" s="74">
        <v>4.6171300000000003E-5</v>
      </c>
      <c r="AQ18" s="74">
        <v>4.49863E-5</v>
      </c>
      <c r="AR18" s="74">
        <v>4.3831100000000001E-5</v>
      </c>
      <c r="AS18" s="74">
        <v>4.2704999999999999E-5</v>
      </c>
      <c r="AT18" s="74">
        <v>4.1607399999999997E-5</v>
      </c>
      <c r="AU18" s="74">
        <v>4.0537600000000003E-5</v>
      </c>
      <c r="AV18" s="74">
        <v>3.94949E-5</v>
      </c>
      <c r="AW18" s="74">
        <v>3.8478600000000001E-5</v>
      </c>
      <c r="AX18" s="74">
        <v>3.7488199999999998E-5</v>
      </c>
      <c r="AY18" s="74">
        <v>3.6522900000000002E-5</v>
      </c>
      <c r="AZ18" s="74">
        <v>3.55822E-5</v>
      </c>
      <c r="BA18" s="74">
        <v>3.4665500000000002E-5</v>
      </c>
      <c r="BB18" s="74">
        <v>3.3772100000000001E-5</v>
      </c>
      <c r="BC18" s="74">
        <v>3.2901499999999997E-5</v>
      </c>
      <c r="BD18" s="74">
        <v>3.20532E-5</v>
      </c>
      <c r="BE18" s="74">
        <v>3.1226500000000003E-5</v>
      </c>
      <c r="BF18" s="74">
        <v>3.0420999999999999E-5</v>
      </c>
      <c r="BG18" s="74">
        <v>2.9636099999999999E-5</v>
      </c>
      <c r="BH18" s="74">
        <v>2.8871199999999999E-5</v>
      </c>
      <c r="BI18" s="74">
        <v>2.8126000000000001E-5</v>
      </c>
      <c r="BJ18" s="74">
        <v>2.7399899999999998E-5</v>
      </c>
      <c r="BK18" s="74">
        <v>2.6692399999999999E-5</v>
      </c>
      <c r="BL18" s="74">
        <v>2.6003099999999998E-5</v>
      </c>
      <c r="BM18" s="74">
        <v>2.5331399999999999E-5</v>
      </c>
      <c r="BN18" s="74">
        <v>2.4677000000000001E-5</v>
      </c>
      <c r="BO18" s="74">
        <v>2.4039399999999999E-5</v>
      </c>
      <c r="BP18" s="74">
        <v>2.3418299999999999E-5</v>
      </c>
      <c r="BQ18" s="74">
        <v>2.28131E-5</v>
      </c>
      <c r="BR18" s="74">
        <v>2.2223400000000001E-5</v>
      </c>
      <c r="BS18" s="74">
        <v>2.1648999999999999E-5</v>
      </c>
      <c r="BT18" s="74">
        <v>2.1089300000000002E-5</v>
      </c>
      <c r="BU18" s="74">
        <v>2.0543999999999998E-5</v>
      </c>
      <c r="BV18" s="74">
        <v>2.0012799999999999E-5</v>
      </c>
      <c r="BW18" s="74">
        <v>1.94953E-5</v>
      </c>
      <c r="BX18" s="74">
        <v>1.8991099999999998E-5</v>
      </c>
      <c r="BY18" s="74">
        <v>1.8499899999999999E-5</v>
      </c>
      <c r="BZ18" s="74">
        <v>1.80214E-5</v>
      </c>
      <c r="CA18" s="74">
        <v>1.7555200000000001E-5</v>
      </c>
      <c r="CB18" s="74">
        <v>1.7101100000000001E-5</v>
      </c>
      <c r="CC18" s="74">
        <v>1.66586E-5</v>
      </c>
      <c r="CD18" s="74">
        <v>1.62276E-5</v>
      </c>
      <c r="CE18" s="74">
        <v>1.5807700000000001E-5</v>
      </c>
      <c r="CF18" s="74">
        <v>1.5398699999999999E-5</v>
      </c>
      <c r="CG18" s="74">
        <v>1.5000200000000001E-5</v>
      </c>
      <c r="CH18" s="74">
        <v>1.4612E-5</v>
      </c>
      <c r="CI18" s="74">
        <v>1.4233899999999999E-5</v>
      </c>
      <c r="CJ18" s="74">
        <v>1.38655E-5</v>
      </c>
      <c r="CK18" s="74">
        <v>1.35066E-5</v>
      </c>
      <c r="CL18" s="74">
        <v>1.3157E-5</v>
      </c>
      <c r="CM18" s="74">
        <v>1.28165E-5</v>
      </c>
      <c r="CN18" s="74">
        <v>1.2484699999999999E-5</v>
      </c>
      <c r="CO18" s="74">
        <v>1.21615E-5</v>
      </c>
      <c r="CP18" s="74">
        <v>1.18467E-5</v>
      </c>
      <c r="CQ18" s="74">
        <v>1.154E-5</v>
      </c>
      <c r="CR18" s="74">
        <v>1.12412E-5</v>
      </c>
      <c r="CS18" s="74">
        <v>1.0950200000000001E-5</v>
      </c>
      <c r="CT18" s="74">
        <v>1.0666700000000001E-5</v>
      </c>
      <c r="CU18" s="74">
        <v>1.03905E-5</v>
      </c>
      <c r="CV18" s="74">
        <v>1.01215E-5</v>
      </c>
      <c r="CW18" s="74">
        <v>9.8594999999999994E-6</v>
      </c>
      <c r="CX18" s="74">
        <v>9.6042000000000003E-6</v>
      </c>
      <c r="CY18" s="74">
        <v>9.3555000000000005E-6</v>
      </c>
      <c r="CZ18" s="74">
        <v>9.1131999999999994E-6</v>
      </c>
      <c r="DA18" s="74">
        <v>8.8773000000000005E-6</v>
      </c>
      <c r="DB18" s="74">
        <v>8.6473999999999996E-6</v>
      </c>
      <c r="DC18" s="74">
        <v>8.4234999999999999E-6</v>
      </c>
      <c r="DD18" s="74">
        <v>8.2052999999999992E-6</v>
      </c>
      <c r="DE18" s="74">
        <v>7.9928000000000008E-6</v>
      </c>
      <c r="DF18" s="74">
        <v>7.7858999999999994E-6</v>
      </c>
      <c r="DG18" s="74">
        <v>7.5842000000000002E-6</v>
      </c>
      <c r="DH18" s="74">
        <v>7.3877999999999998E-6</v>
      </c>
      <c r="DI18" s="74">
        <v>7.1964999999999996E-6</v>
      </c>
      <c r="DJ18" s="74">
        <v>7.0101E-6</v>
      </c>
      <c r="DK18" s="74">
        <v>6.8286000000000001E-6</v>
      </c>
      <c r="DL18" s="74">
        <v>6.6517000000000002E-6</v>
      </c>
      <c r="DM18" s="74">
        <v>6.4795000000000004E-6</v>
      </c>
      <c r="DN18" s="74">
        <v>6.3117000000000001E-6</v>
      </c>
      <c r="DO18" s="74">
        <v>6.1481999999999999E-6</v>
      </c>
      <c r="DP18" s="74">
        <v>5.9889999999999997E-6</v>
      </c>
      <c r="DQ18" s="74">
        <v>5.8339000000000002E-6</v>
      </c>
      <c r="DR18" s="74">
        <v>5.6828E-6</v>
      </c>
      <c r="DS18" s="74">
        <v>5.5356E-6</v>
      </c>
      <c r="DT18" s="74">
        <v>5.3921999999999998E-6</v>
      </c>
      <c r="DU18" s="74">
        <v>5.2525000000000001E-6</v>
      </c>
      <c r="DV18" s="74">
        <v>5.1165000000000001E-6</v>
      </c>
      <c r="DW18" s="74">
        <v>4.9840000000000001E-6</v>
      </c>
      <c r="DX18" s="74">
        <v>4.8548999999999999E-6</v>
      </c>
      <c r="DY18" s="74">
        <v>4.7292000000000004E-6</v>
      </c>
      <c r="DZ18" s="74">
        <v>4.6067000000000003E-6</v>
      </c>
      <c r="EA18" s="74">
        <v>4.4873999999999996E-6</v>
      </c>
      <c r="EB18" s="74">
        <v>4.3711000000000004E-6</v>
      </c>
      <c r="EC18" s="74">
        <v>4.2579000000000003E-6</v>
      </c>
      <c r="ED18" s="74">
        <v>4.1475999999999999E-6</v>
      </c>
      <c r="EE18" s="74">
        <v>4.0401999999999999E-6</v>
      </c>
      <c r="EF18" s="74">
        <v>3.9354999999999998E-6</v>
      </c>
      <c r="EG18" s="74">
        <v>3.8336E-6</v>
      </c>
      <c r="EH18" s="74">
        <v>3.7343E-6</v>
      </c>
      <c r="EI18" s="74">
        <v>3.6376000000000001E-6</v>
      </c>
      <c r="EJ18" s="74">
        <v>3.5433999999999998E-6</v>
      </c>
      <c r="EK18" s="74">
        <v>3.4516000000000001E-6</v>
      </c>
      <c r="EL18" s="74">
        <v>3.3622000000000002E-6</v>
      </c>
      <c r="EM18" s="74">
        <v>3.2751000000000002E-6</v>
      </c>
      <c r="EN18" s="74">
        <v>3.1903000000000002E-6</v>
      </c>
      <c r="EO18" s="74">
        <v>3.1076000000000001E-6</v>
      </c>
      <c r="EP18" s="74">
        <v>3.0271000000000002E-6</v>
      </c>
      <c r="EQ18" s="74">
        <v>2.9486999999999998E-6</v>
      </c>
      <c r="ER18" s="74">
        <v>2.8723999999999998E-6</v>
      </c>
      <c r="ES18" s="74">
        <v>2.7980000000000001E-6</v>
      </c>
      <c r="ET18" s="74">
        <v>2.7255E-6</v>
      </c>
      <c r="EU18" s="74">
        <v>2.6549000000000002E-6</v>
      </c>
      <c r="EV18" s="74">
        <v>2.5861000000000001E-6</v>
      </c>
      <c r="EW18" s="74">
        <v>2.5191000000000002E-6</v>
      </c>
      <c r="EX18" s="74">
        <v>2.4538999999999999E-6</v>
      </c>
      <c r="EY18" s="74">
        <v>2.3902999999999998E-6</v>
      </c>
      <c r="EZ18" s="74">
        <v>2.3284E-6</v>
      </c>
      <c r="FA18" s="74">
        <v>2.2680999999999999E-6</v>
      </c>
      <c r="FB18" s="74">
        <v>2.2093000000000002E-6</v>
      </c>
      <c r="FC18" s="74">
        <v>2.1521000000000001E-6</v>
      </c>
      <c r="FD18" s="74">
        <v>2.0964E-6</v>
      </c>
      <c r="FE18" s="74">
        <v>2.0420999999999999E-6</v>
      </c>
      <c r="FF18" s="74">
        <v>1.9891999999999999E-6</v>
      </c>
      <c r="FG18" s="74">
        <v>1.9375999999999999E-6</v>
      </c>
      <c r="FH18" s="74">
        <v>1.8874999999999999E-6</v>
      </c>
      <c r="FI18" s="74">
        <v>1.8386000000000001E-6</v>
      </c>
      <c r="FJ18" s="74">
        <v>1.7909000000000001E-6</v>
      </c>
      <c r="FK18" s="74">
        <v>1.7446E-6</v>
      </c>
      <c r="FL18" s="74">
        <v>1.6994E-6</v>
      </c>
      <c r="FM18" s="74">
        <v>1.6553000000000001E-6</v>
      </c>
      <c r="FN18" s="74">
        <v>1.6125E-6</v>
      </c>
      <c r="FO18" s="74">
        <v>1.5707000000000001E-6</v>
      </c>
      <c r="FP18" s="74">
        <v>1.53E-6</v>
      </c>
      <c r="FQ18" s="74">
        <v>1.4904E-6</v>
      </c>
    </row>
    <row r="19" spans="1:173" x14ac:dyDescent="0.25">
      <c r="A19" s="76">
        <v>17</v>
      </c>
      <c r="B19" s="74">
        <v>1.460911E-4</v>
      </c>
      <c r="C19" s="74">
        <v>1.4309920000000001E-4</v>
      </c>
      <c r="D19" s="74">
        <v>1.4013099999999999E-4</v>
      </c>
      <c r="E19" s="74">
        <v>1.3718939999999999E-4</v>
      </c>
      <c r="F19" s="74">
        <v>1.3427710000000001E-4</v>
      </c>
      <c r="G19" s="74">
        <v>1.313966E-4</v>
      </c>
      <c r="H19" s="74">
        <v>1.285499E-4</v>
      </c>
      <c r="I19" s="74">
        <v>1.2573900000000001E-4</v>
      </c>
      <c r="J19" s="74">
        <v>1.2296559999999999E-4</v>
      </c>
      <c r="K19" s="74">
        <v>1.2023099999999999E-4</v>
      </c>
      <c r="L19" s="74">
        <v>1.175367E-4</v>
      </c>
      <c r="M19" s="74">
        <v>1.148835E-4</v>
      </c>
      <c r="N19" s="74">
        <v>1.1227250000000001E-4</v>
      </c>
      <c r="O19" s="74">
        <v>1.0970440000000001E-4</v>
      </c>
      <c r="P19" s="74">
        <v>1.0717989999999999E-4</v>
      </c>
      <c r="Q19" s="74">
        <v>1.046993E-4</v>
      </c>
      <c r="R19" s="74">
        <v>1.0226300000000001E-4</v>
      </c>
      <c r="S19" s="74">
        <v>9.98713E-5</v>
      </c>
      <c r="T19" s="74">
        <v>9.7524399999999998E-5</v>
      </c>
      <c r="U19" s="74">
        <v>9.5222200000000005E-5</v>
      </c>
      <c r="V19" s="74">
        <v>9.2964800000000001E-5</v>
      </c>
      <c r="W19" s="74">
        <v>9.0752000000000001E-5</v>
      </c>
      <c r="X19" s="74">
        <v>8.8583600000000003E-5</v>
      </c>
      <c r="Y19" s="74">
        <v>8.6459399999999994E-5</v>
      </c>
      <c r="Z19" s="74">
        <v>8.4379100000000007E-5</v>
      </c>
      <c r="AA19" s="74">
        <v>8.2342299999999999E-5</v>
      </c>
      <c r="AB19" s="74">
        <v>8.0348599999999998E-5</v>
      </c>
      <c r="AC19" s="74">
        <v>7.8397600000000003E-5</v>
      </c>
      <c r="AD19" s="74">
        <v>7.6488800000000005E-5</v>
      </c>
      <c r="AE19" s="74">
        <v>7.4621699999999997E-5</v>
      </c>
      <c r="AF19" s="74">
        <v>7.2795700000000005E-5</v>
      </c>
      <c r="AG19" s="74">
        <v>7.1010299999999993E-5</v>
      </c>
      <c r="AH19" s="74">
        <v>6.9264900000000002E-5</v>
      </c>
      <c r="AI19" s="74">
        <v>6.7558900000000001E-5</v>
      </c>
      <c r="AJ19" s="74">
        <v>6.5891700000000005E-5</v>
      </c>
      <c r="AK19" s="74">
        <v>6.4262600000000004E-5</v>
      </c>
      <c r="AL19" s="74">
        <v>6.2671100000000004E-5</v>
      </c>
      <c r="AM19" s="74">
        <v>6.1116400000000003E-5</v>
      </c>
      <c r="AN19" s="74">
        <v>5.9597800000000001E-5</v>
      </c>
      <c r="AO19" s="74">
        <v>5.8114800000000001E-5</v>
      </c>
      <c r="AP19" s="74">
        <v>5.6666699999999997E-5</v>
      </c>
      <c r="AQ19" s="74">
        <v>5.5252800000000001E-5</v>
      </c>
      <c r="AR19" s="74">
        <v>5.3872400000000003E-5</v>
      </c>
      <c r="AS19" s="74">
        <v>5.2525000000000003E-5</v>
      </c>
      <c r="AT19" s="74">
        <v>5.1209699999999999E-5</v>
      </c>
      <c r="AU19" s="74">
        <v>4.9926000000000003E-5</v>
      </c>
      <c r="AV19" s="74">
        <v>4.86732E-5</v>
      </c>
      <c r="AW19" s="74">
        <v>4.7450700000000003E-5</v>
      </c>
      <c r="AX19" s="74">
        <v>4.6257800000000003E-5</v>
      </c>
      <c r="AY19" s="74">
        <v>4.5093799999999998E-5</v>
      </c>
      <c r="AZ19" s="74">
        <v>4.3958300000000002E-5</v>
      </c>
      <c r="BA19" s="74">
        <v>4.2850499999999999E-5</v>
      </c>
      <c r="BB19" s="74">
        <v>4.1769800000000001E-5</v>
      </c>
      <c r="BC19" s="74">
        <v>4.07156E-5</v>
      </c>
      <c r="BD19" s="74">
        <v>3.9687400000000002E-5</v>
      </c>
      <c r="BE19" s="74">
        <v>3.8684499999999999E-5</v>
      </c>
      <c r="BF19" s="74">
        <v>3.7706300000000002E-5</v>
      </c>
      <c r="BG19" s="74">
        <v>3.6752399999999997E-5</v>
      </c>
      <c r="BH19" s="74">
        <v>3.5822099999999997E-5</v>
      </c>
      <c r="BI19" s="74">
        <v>3.49149E-5</v>
      </c>
      <c r="BJ19" s="74">
        <v>3.4030199999999998E-5</v>
      </c>
      <c r="BK19" s="74">
        <v>3.3167599999999997E-5</v>
      </c>
      <c r="BL19" s="74">
        <v>3.2326500000000003E-5</v>
      </c>
      <c r="BM19" s="74">
        <v>3.15063E-5</v>
      </c>
      <c r="BN19" s="74">
        <v>3.0706700000000002E-5</v>
      </c>
      <c r="BO19" s="74">
        <v>2.99271E-5</v>
      </c>
      <c r="BP19" s="74">
        <v>2.9167E-5</v>
      </c>
      <c r="BQ19" s="74">
        <v>2.8425999999999999E-5</v>
      </c>
      <c r="BR19" s="74">
        <v>2.77036E-5</v>
      </c>
      <c r="BS19" s="74">
        <v>2.6999300000000001E-5</v>
      </c>
      <c r="BT19" s="74">
        <v>2.63127E-5</v>
      </c>
      <c r="BU19" s="74">
        <v>2.5643399999999999E-5</v>
      </c>
      <c r="BV19" s="74">
        <v>2.4990999999999998E-5</v>
      </c>
      <c r="BW19" s="74">
        <v>2.4355E-5</v>
      </c>
      <c r="BX19" s="74">
        <v>2.3735099999999999E-5</v>
      </c>
      <c r="BY19" s="74">
        <v>2.3130799999999999E-5</v>
      </c>
      <c r="BZ19" s="74">
        <v>2.2541800000000002E-5</v>
      </c>
      <c r="CA19" s="74">
        <v>2.19677E-5</v>
      </c>
      <c r="CB19" s="74">
        <v>2.1408099999999999E-5</v>
      </c>
      <c r="CC19" s="74">
        <v>2.0862599999999999E-5</v>
      </c>
      <c r="CD19" s="74">
        <v>2.0330999999999999E-5</v>
      </c>
      <c r="CE19" s="74">
        <v>1.9812800000000001E-5</v>
      </c>
      <c r="CF19" s="74">
        <v>1.9307799999999998E-5</v>
      </c>
      <c r="CG19" s="74">
        <v>1.88156E-5</v>
      </c>
      <c r="CH19" s="74">
        <v>1.8335800000000002E-5</v>
      </c>
      <c r="CI19" s="74">
        <v>1.7868199999999999E-5</v>
      </c>
      <c r="CJ19" s="74">
        <v>1.74125E-5</v>
      </c>
      <c r="CK19" s="74">
        <v>1.6968399999999998E-5</v>
      </c>
      <c r="CL19" s="74">
        <v>1.6535600000000001E-5</v>
      </c>
      <c r="CM19" s="74">
        <v>1.6113700000000001E-5</v>
      </c>
      <c r="CN19" s="74">
        <v>1.5702600000000001E-5</v>
      </c>
      <c r="CO19" s="74">
        <v>1.53019E-5</v>
      </c>
      <c r="CP19" s="74">
        <v>1.4911399999999999E-5</v>
      </c>
      <c r="CQ19" s="74">
        <v>1.45308E-5</v>
      </c>
      <c r="CR19" s="74">
        <v>1.416E-5</v>
      </c>
      <c r="CS19" s="74">
        <v>1.37985E-5</v>
      </c>
      <c r="CT19" s="74">
        <v>1.34463E-5</v>
      </c>
      <c r="CU19" s="74">
        <v>1.3103E-5</v>
      </c>
      <c r="CV19" s="74">
        <v>1.27685E-5</v>
      </c>
      <c r="CW19" s="74">
        <v>1.24425E-5</v>
      </c>
      <c r="CX19" s="74">
        <v>1.21248E-5</v>
      </c>
      <c r="CY19" s="74">
        <v>1.18152E-5</v>
      </c>
      <c r="CZ19" s="74">
        <v>1.1513500000000001E-5</v>
      </c>
      <c r="DA19" s="74">
        <v>1.12195E-5</v>
      </c>
      <c r="DB19" s="74">
        <v>1.0933E-5</v>
      </c>
      <c r="DC19" s="74">
        <v>1.06538E-5</v>
      </c>
      <c r="DD19" s="74">
        <v>1.0381699999999999E-5</v>
      </c>
      <c r="DE19" s="74">
        <v>1.01165E-5</v>
      </c>
      <c r="DF19" s="74">
        <v>9.8580999999999997E-6</v>
      </c>
      <c r="DG19" s="74">
        <v>9.6062999999999998E-6</v>
      </c>
      <c r="DH19" s="74">
        <v>9.3609000000000004E-6</v>
      </c>
      <c r="DI19" s="74">
        <v>9.1217999999999996E-6</v>
      </c>
      <c r="DJ19" s="74">
        <v>8.8888000000000003E-6</v>
      </c>
      <c r="DK19" s="74">
        <v>8.6617000000000004E-6</v>
      </c>
      <c r="DL19" s="74">
        <v>8.4403999999999997E-6</v>
      </c>
      <c r="DM19" s="74">
        <v>8.2247999999999996E-6</v>
      </c>
      <c r="DN19" s="74">
        <v>8.0145999999999995E-6</v>
      </c>
      <c r="DO19" s="74">
        <v>7.8098999999999995E-6</v>
      </c>
      <c r="DP19" s="74">
        <v>7.6102999999999998E-6</v>
      </c>
      <c r="DQ19" s="74">
        <v>7.4158999999999996E-6</v>
      </c>
      <c r="DR19" s="74">
        <v>7.2264E-6</v>
      </c>
      <c r="DS19" s="74">
        <v>7.0418000000000001E-6</v>
      </c>
      <c r="DT19" s="74">
        <v>6.8618000000000001E-6</v>
      </c>
      <c r="DU19" s="74">
        <v>6.6865000000000003E-6</v>
      </c>
      <c r="DV19" s="74">
        <v>6.5157000000000001E-6</v>
      </c>
      <c r="DW19" s="74">
        <v>6.3492000000000001E-6</v>
      </c>
      <c r="DX19" s="74">
        <v>6.1869E-6</v>
      </c>
      <c r="DY19" s="74">
        <v>6.0287999999999998E-6</v>
      </c>
      <c r="DZ19" s="74">
        <v>5.8748000000000001E-6</v>
      </c>
      <c r="EA19" s="74">
        <v>5.7246000000000002E-6</v>
      </c>
      <c r="EB19" s="74">
        <v>5.5783999999999998E-6</v>
      </c>
      <c r="EC19" s="74">
        <v>5.4357999999999997E-6</v>
      </c>
      <c r="ED19" s="74">
        <v>5.2969000000000001E-6</v>
      </c>
      <c r="EE19" s="74">
        <v>5.1614999999999996E-6</v>
      </c>
      <c r="EF19" s="74">
        <v>5.0296000000000001E-6</v>
      </c>
      <c r="EG19" s="74">
        <v>4.9011000000000004E-6</v>
      </c>
      <c r="EH19" s="74">
        <v>4.7758000000000001E-6</v>
      </c>
      <c r="EI19" s="74">
        <v>4.6538000000000002E-6</v>
      </c>
      <c r="EJ19" s="74">
        <v>4.5349000000000004E-6</v>
      </c>
      <c r="EK19" s="74">
        <v>4.4190000000000004E-6</v>
      </c>
      <c r="EL19" s="74">
        <v>4.3059999999999999E-6</v>
      </c>
      <c r="EM19" s="74">
        <v>4.1960000000000001E-6</v>
      </c>
      <c r="EN19" s="74">
        <v>4.0887000000000003E-6</v>
      </c>
      <c r="EO19" s="74">
        <v>3.9841999999999999E-6</v>
      </c>
      <c r="EP19" s="74">
        <v>3.8824000000000003E-6</v>
      </c>
      <c r="EQ19" s="74">
        <v>3.7832E-6</v>
      </c>
      <c r="ER19" s="74">
        <v>3.6865000000000002E-6</v>
      </c>
      <c r="ES19" s="74">
        <v>3.5922999999999999E-6</v>
      </c>
      <c r="ET19" s="74">
        <v>3.5005000000000002E-6</v>
      </c>
      <c r="EU19" s="74">
        <v>3.411E-6</v>
      </c>
      <c r="EV19" s="74">
        <v>3.3237999999999998E-6</v>
      </c>
      <c r="EW19" s="74">
        <v>3.2389E-6</v>
      </c>
      <c r="EX19" s="74">
        <v>3.1561000000000002E-6</v>
      </c>
      <c r="EY19" s="74">
        <v>3.0753999999999998E-6</v>
      </c>
      <c r="EZ19" s="74">
        <v>2.9967999999999998E-6</v>
      </c>
      <c r="FA19" s="74">
        <v>2.9202E-6</v>
      </c>
      <c r="FB19" s="74">
        <v>2.8455999999999999E-6</v>
      </c>
      <c r="FC19" s="74">
        <v>2.7729000000000002E-6</v>
      </c>
      <c r="FD19" s="74">
        <v>2.7020000000000001E-6</v>
      </c>
      <c r="FE19" s="74">
        <v>2.6328999999999998E-6</v>
      </c>
      <c r="FF19" s="74">
        <v>2.5656999999999998E-6</v>
      </c>
      <c r="FG19" s="74">
        <v>2.5001E-6</v>
      </c>
      <c r="FH19" s="74">
        <v>2.4362000000000001E-6</v>
      </c>
      <c r="FI19" s="74">
        <v>2.3738999999999998E-6</v>
      </c>
      <c r="FJ19" s="74">
        <v>2.3132000000000001E-6</v>
      </c>
      <c r="FK19" s="74">
        <v>2.2541000000000002E-6</v>
      </c>
      <c r="FL19" s="74">
        <v>2.1965000000000001E-6</v>
      </c>
      <c r="FM19" s="74">
        <v>2.1403999999999999E-6</v>
      </c>
      <c r="FN19" s="74">
        <v>2.0857000000000002E-6</v>
      </c>
      <c r="FO19" s="74">
        <v>2.0323999999999998E-6</v>
      </c>
      <c r="FP19" s="74">
        <v>1.9804000000000001E-6</v>
      </c>
      <c r="FQ19" s="74">
        <v>1.9298000000000001E-6</v>
      </c>
    </row>
    <row r="20" spans="1:173" x14ac:dyDescent="0.25">
      <c r="A20" s="76">
        <v>18</v>
      </c>
      <c r="B20" s="74">
        <v>1.4897989999999999E-4</v>
      </c>
      <c r="C20" s="74">
        <v>1.4564490000000001E-4</v>
      </c>
      <c r="D20" s="74">
        <v>1.4238369999999999E-4</v>
      </c>
      <c r="E20" s="74">
        <v>1.3919480000000001E-4</v>
      </c>
      <c r="F20" s="74">
        <v>1.3607659999999999E-4</v>
      </c>
      <c r="G20" s="74">
        <v>1.3302759999999999E-4</v>
      </c>
      <c r="H20" s="74">
        <v>1.300463E-4</v>
      </c>
      <c r="I20" s="74">
        <v>1.2713129999999999E-4</v>
      </c>
      <c r="J20" s="74">
        <v>1.2428100000000001E-4</v>
      </c>
      <c r="K20" s="74">
        <v>1.214942E-4</v>
      </c>
      <c r="L20" s="74">
        <v>1.187694E-4</v>
      </c>
      <c r="M20" s="74">
        <v>1.1610529999999999E-4</v>
      </c>
      <c r="N20" s="74">
        <v>1.135006E-4</v>
      </c>
      <c r="O20" s="74">
        <v>1.10954E-4</v>
      </c>
      <c r="P20" s="74">
        <v>1.084641E-4</v>
      </c>
      <c r="Q20" s="74">
        <v>1.060298E-4</v>
      </c>
      <c r="R20" s="74">
        <v>1.0364990000000001E-4</v>
      </c>
      <c r="S20" s="74">
        <v>1.013231E-4</v>
      </c>
      <c r="T20" s="74">
        <v>9.9048299999999998E-5</v>
      </c>
      <c r="U20" s="74">
        <v>9.6824399999999994E-5</v>
      </c>
      <c r="V20" s="74">
        <v>9.4650100000000004E-5</v>
      </c>
      <c r="W20" s="74">
        <v>9.2524500000000005E-5</v>
      </c>
      <c r="X20" s="74">
        <v>9.0446500000000002E-5</v>
      </c>
      <c r="Y20" s="74">
        <v>8.8414900000000006E-5</v>
      </c>
      <c r="Z20" s="74">
        <v>8.6428799999999995E-5</v>
      </c>
      <c r="AA20" s="74">
        <v>8.4487200000000007E-5</v>
      </c>
      <c r="AB20" s="74">
        <v>8.2589099999999998E-5</v>
      </c>
      <c r="AC20" s="74">
        <v>8.0733499999999995E-5</v>
      </c>
      <c r="AD20" s="74">
        <v>7.8919399999999995E-5</v>
      </c>
      <c r="AE20" s="74">
        <v>7.7146100000000003E-5</v>
      </c>
      <c r="AF20" s="74">
        <v>7.5412400000000003E-5</v>
      </c>
      <c r="AG20" s="74">
        <v>7.3717699999999994E-5</v>
      </c>
      <c r="AH20" s="74">
        <v>7.2060900000000007E-5</v>
      </c>
      <c r="AI20" s="74">
        <v>7.0441300000000006E-5</v>
      </c>
      <c r="AJ20" s="74">
        <v>6.8857999999999997E-5</v>
      </c>
      <c r="AK20" s="74">
        <v>6.7310200000000005E-5</v>
      </c>
      <c r="AL20" s="74">
        <v>6.5797199999999994E-5</v>
      </c>
      <c r="AM20" s="74">
        <v>6.4318099999999997E-5</v>
      </c>
      <c r="AN20" s="74">
        <v>6.2872200000000004E-5</v>
      </c>
      <c r="AO20" s="74">
        <v>6.1458799999999995E-5</v>
      </c>
      <c r="AP20" s="74">
        <v>6.0077100000000001E-5</v>
      </c>
      <c r="AQ20" s="74">
        <v>5.8726400000000001E-5</v>
      </c>
      <c r="AR20" s="74">
        <v>5.7405999999999999E-5</v>
      </c>
      <c r="AS20" s="74">
        <v>5.6115300000000001E-5</v>
      </c>
      <c r="AT20" s="74">
        <v>5.4853599999999999E-5</v>
      </c>
      <c r="AU20" s="74">
        <v>5.3620199999999999E-5</v>
      </c>
      <c r="AV20" s="74">
        <v>5.2414499999999998E-5</v>
      </c>
      <c r="AW20" s="74">
        <v>5.1235900000000002E-5</v>
      </c>
      <c r="AX20" s="74">
        <v>5.0083700000000003E-5</v>
      </c>
      <c r="AY20" s="74">
        <v>4.89575E-5</v>
      </c>
      <c r="AZ20" s="74">
        <v>4.7856599999999998E-5</v>
      </c>
      <c r="BA20" s="74">
        <v>4.6780399999999997E-5</v>
      </c>
      <c r="BB20" s="74">
        <v>4.5728300000000001E-5</v>
      </c>
      <c r="BC20" s="74">
        <v>4.4699900000000002E-5</v>
      </c>
      <c r="BD20" s="74">
        <v>4.36947E-5</v>
      </c>
      <c r="BE20" s="74">
        <v>4.2712E-5</v>
      </c>
      <c r="BF20" s="74">
        <v>4.1751400000000001E-5</v>
      </c>
      <c r="BG20" s="74">
        <v>4.0812400000000002E-5</v>
      </c>
      <c r="BH20" s="74">
        <v>3.9894500000000002E-5</v>
      </c>
      <c r="BI20" s="74">
        <v>3.89972E-5</v>
      </c>
      <c r="BJ20" s="74">
        <v>3.8120100000000001E-5</v>
      </c>
      <c r="BK20" s="74">
        <v>3.7262799999999998E-5</v>
      </c>
      <c r="BL20" s="74">
        <v>3.6424699999999997E-5</v>
      </c>
      <c r="BM20" s="74">
        <v>3.5605400000000003E-5</v>
      </c>
      <c r="BN20" s="74">
        <v>3.4804600000000002E-5</v>
      </c>
      <c r="BO20" s="74">
        <v>3.40217E-5</v>
      </c>
      <c r="BP20" s="74">
        <v>3.3256500000000003E-5</v>
      </c>
      <c r="BQ20" s="74">
        <v>3.2508500000000002E-5</v>
      </c>
      <c r="BR20" s="74">
        <v>3.1777299999999998E-5</v>
      </c>
      <c r="BS20" s="74">
        <v>3.1062500000000003E-5</v>
      </c>
      <c r="BT20" s="74">
        <v>3.0363799999999999E-5</v>
      </c>
      <c r="BU20" s="74">
        <v>2.9680799999999999E-5</v>
      </c>
      <c r="BV20" s="74">
        <v>2.9013199999999999E-5</v>
      </c>
      <c r="BW20" s="74">
        <v>2.8360600000000001E-5</v>
      </c>
      <c r="BX20" s="74">
        <v>2.7722600000000001E-5</v>
      </c>
      <c r="BY20" s="74">
        <v>2.7098999999999999E-5</v>
      </c>
      <c r="BZ20" s="74">
        <v>2.6489500000000001E-5</v>
      </c>
      <c r="CA20" s="74">
        <v>2.5893599999999999E-5</v>
      </c>
      <c r="CB20" s="74">
        <v>2.5311199999999999E-5</v>
      </c>
      <c r="CC20" s="74">
        <v>2.4741800000000001E-5</v>
      </c>
      <c r="CD20" s="74">
        <v>2.41852E-5</v>
      </c>
      <c r="CE20" s="74">
        <v>2.36412E-5</v>
      </c>
      <c r="CF20" s="74">
        <v>2.3109399999999999E-5</v>
      </c>
      <c r="CG20" s="74">
        <v>2.2589600000000001E-5</v>
      </c>
      <c r="CH20" s="74">
        <v>2.2081399999999998E-5</v>
      </c>
      <c r="CI20" s="74">
        <v>2.15847E-5</v>
      </c>
      <c r="CJ20" s="74">
        <v>2.1099099999999999E-5</v>
      </c>
      <c r="CK20" s="74">
        <v>2.0624499999999999E-5</v>
      </c>
      <c r="CL20" s="74">
        <v>2.0160600000000001E-5</v>
      </c>
      <c r="CM20" s="74">
        <v>1.97071E-5</v>
      </c>
      <c r="CN20" s="74">
        <v>1.92637E-5</v>
      </c>
      <c r="CO20" s="74">
        <v>1.8830399999999998E-5</v>
      </c>
      <c r="CP20" s="74">
        <v>1.8406800000000001E-5</v>
      </c>
      <c r="CQ20" s="74">
        <v>1.7992700000000001E-5</v>
      </c>
      <c r="CR20" s="74">
        <v>1.7588000000000002E-5</v>
      </c>
      <c r="CS20" s="74">
        <v>1.7192300000000001E-5</v>
      </c>
      <c r="CT20" s="74">
        <v>1.6805600000000001E-5</v>
      </c>
      <c r="CU20" s="74">
        <v>1.6427500000000002E-5</v>
      </c>
      <c r="CV20" s="74">
        <v>1.6058000000000001E-5</v>
      </c>
      <c r="CW20" s="74">
        <v>1.5696700000000002E-5</v>
      </c>
      <c r="CX20" s="74">
        <v>1.53436E-5</v>
      </c>
      <c r="CY20" s="74">
        <v>1.49985E-5</v>
      </c>
      <c r="CZ20" s="74">
        <v>1.4661099999999999E-5</v>
      </c>
      <c r="DA20" s="74">
        <v>1.4331299999999999E-5</v>
      </c>
      <c r="DB20" s="74">
        <v>1.4008900000000001E-5</v>
      </c>
      <c r="DC20" s="74">
        <v>1.3693700000000001E-5</v>
      </c>
      <c r="DD20" s="74">
        <v>1.33857E-5</v>
      </c>
      <c r="DE20" s="74">
        <v>1.30846E-5</v>
      </c>
      <c r="DF20" s="74">
        <v>1.27902E-5</v>
      </c>
      <c r="DG20" s="74">
        <v>1.2502499999999999E-5</v>
      </c>
      <c r="DH20" s="74">
        <v>1.2221200000000001E-5</v>
      </c>
      <c r="DI20" s="74">
        <v>1.1946299999999999E-5</v>
      </c>
      <c r="DJ20" s="74">
        <v>1.16776E-5</v>
      </c>
      <c r="DK20" s="74">
        <v>1.14149E-5</v>
      </c>
      <c r="DL20" s="74">
        <v>1.1158100000000001E-5</v>
      </c>
      <c r="DM20" s="74">
        <v>1.0907099999999999E-5</v>
      </c>
      <c r="DN20" s="74">
        <v>1.06617E-5</v>
      </c>
      <c r="DO20" s="74">
        <v>1.0421800000000001E-5</v>
      </c>
      <c r="DP20" s="74">
        <v>1.01874E-5</v>
      </c>
      <c r="DQ20" s="74">
        <v>9.9582000000000006E-6</v>
      </c>
      <c r="DR20" s="74">
        <v>9.7342000000000008E-6</v>
      </c>
      <c r="DS20" s="74">
        <v>9.5152E-6</v>
      </c>
      <c r="DT20" s="74">
        <v>9.3012E-6</v>
      </c>
      <c r="DU20" s="74">
        <v>9.0919000000000001E-6</v>
      </c>
      <c r="DV20" s="74">
        <v>8.8874000000000007E-6</v>
      </c>
      <c r="DW20" s="74">
        <v>8.6874999999999994E-6</v>
      </c>
      <c r="DX20" s="74">
        <v>8.4919999999999993E-6</v>
      </c>
      <c r="DY20" s="74">
        <v>8.3010000000000007E-6</v>
      </c>
      <c r="DZ20" s="74">
        <v>8.1141999999999993E-6</v>
      </c>
      <c r="EA20" s="74">
        <v>7.9317000000000006E-6</v>
      </c>
      <c r="EB20" s="74">
        <v>7.7533000000000008E-6</v>
      </c>
      <c r="EC20" s="74">
        <v>7.5788000000000002E-6</v>
      </c>
      <c r="ED20" s="74">
        <v>7.4084000000000001E-6</v>
      </c>
      <c r="EE20" s="74">
        <v>7.2416999999999996E-6</v>
      </c>
      <c r="EF20" s="74">
        <v>7.0787999999999999E-6</v>
      </c>
      <c r="EG20" s="74">
        <v>6.9195000000000004E-6</v>
      </c>
      <c r="EH20" s="74">
        <v>6.7638999999999997E-6</v>
      </c>
      <c r="EI20" s="74">
        <v>6.6116999999999997E-6</v>
      </c>
      <c r="EJ20" s="74">
        <v>6.4629999999999998E-6</v>
      </c>
      <c r="EK20" s="74">
        <v>6.3176000000000003E-6</v>
      </c>
      <c r="EL20" s="74">
        <v>6.1755000000000004E-6</v>
      </c>
      <c r="EM20" s="74">
        <v>6.0364999999999997E-6</v>
      </c>
      <c r="EN20" s="74">
        <v>5.9007000000000001E-6</v>
      </c>
      <c r="EO20" s="74">
        <v>5.7679999999999997E-6</v>
      </c>
      <c r="EP20" s="74">
        <v>5.6381999999999997E-6</v>
      </c>
      <c r="EQ20" s="74">
        <v>5.5114000000000003E-6</v>
      </c>
      <c r="ER20" s="74">
        <v>5.3874000000000003E-6</v>
      </c>
      <c r="ES20" s="74">
        <v>5.2661999999999997E-6</v>
      </c>
      <c r="ET20" s="74">
        <v>5.1476999999999999E-6</v>
      </c>
      <c r="EU20" s="74">
        <v>5.0319000000000001E-6</v>
      </c>
      <c r="EV20" s="74">
        <v>4.9187E-6</v>
      </c>
      <c r="EW20" s="74">
        <v>4.8080999999999998E-6</v>
      </c>
      <c r="EX20" s="74">
        <v>4.6998999999999997E-6</v>
      </c>
      <c r="EY20" s="74">
        <v>4.5942E-6</v>
      </c>
      <c r="EZ20" s="74">
        <v>4.4908000000000003E-6</v>
      </c>
      <c r="FA20" s="74">
        <v>4.3897999999999999E-6</v>
      </c>
      <c r="FB20" s="74">
        <v>4.2911000000000003E-6</v>
      </c>
      <c r="FC20" s="74">
        <v>4.1945000000000002E-6</v>
      </c>
      <c r="FD20" s="74">
        <v>4.1002000000000001E-6</v>
      </c>
      <c r="FE20" s="74">
        <v>4.0079000000000002E-6</v>
      </c>
      <c r="FF20" s="74">
        <v>3.9178E-6</v>
      </c>
      <c r="FG20" s="74">
        <v>3.8295999999999997E-6</v>
      </c>
      <c r="FH20" s="74">
        <v>3.7434999999999998E-6</v>
      </c>
      <c r="FI20" s="74">
        <v>3.6592999999999998E-6</v>
      </c>
      <c r="FJ20" s="74">
        <v>3.5769E-6</v>
      </c>
      <c r="FK20" s="74">
        <v>3.4964999999999999E-6</v>
      </c>
      <c r="FL20" s="74">
        <v>3.4178000000000001E-6</v>
      </c>
      <c r="FM20" s="74">
        <v>3.3409000000000001E-6</v>
      </c>
      <c r="FN20" s="74">
        <v>3.2658000000000001E-6</v>
      </c>
      <c r="FO20" s="74">
        <v>3.1922999999999999E-6</v>
      </c>
      <c r="FP20" s="74">
        <v>3.1205E-6</v>
      </c>
      <c r="FQ20" s="74">
        <v>3.0502999999999998E-6</v>
      </c>
    </row>
    <row r="21" spans="1:173" x14ac:dyDescent="0.25">
      <c r="A21" s="76">
        <v>19</v>
      </c>
      <c r="B21" s="74">
        <v>1.64804E-4</v>
      </c>
      <c r="C21" s="74">
        <v>1.6166659999999999E-4</v>
      </c>
      <c r="D21" s="74">
        <v>1.5856750000000001E-4</v>
      </c>
      <c r="E21" s="74">
        <v>1.55508E-4</v>
      </c>
      <c r="F21" s="74">
        <v>1.5248900000000001E-4</v>
      </c>
      <c r="G21" s="74">
        <v>1.4951149999999999E-4</v>
      </c>
      <c r="H21" s="74">
        <v>1.4657609999999999E-4</v>
      </c>
      <c r="I21" s="74">
        <v>1.436834E-4</v>
      </c>
      <c r="J21" s="74">
        <v>1.4083410000000001E-4</v>
      </c>
      <c r="K21" s="74">
        <v>1.380284E-4</v>
      </c>
      <c r="L21" s="74">
        <v>1.352666E-4</v>
      </c>
      <c r="M21" s="74">
        <v>1.3254909999999999E-4</v>
      </c>
      <c r="N21" s="74">
        <v>1.298758E-4</v>
      </c>
      <c r="O21" s="74">
        <v>1.272468E-4</v>
      </c>
      <c r="P21" s="74">
        <v>1.2466220000000001E-4</v>
      </c>
      <c r="Q21" s="74">
        <v>1.2212179999999999E-4</v>
      </c>
      <c r="R21" s="74">
        <v>1.196255E-4</v>
      </c>
      <c r="S21" s="74">
        <v>1.171731E-4</v>
      </c>
      <c r="T21" s="74">
        <v>1.147644E-4</v>
      </c>
      <c r="U21" s="74">
        <v>1.1239900000000001E-4</v>
      </c>
      <c r="V21" s="74">
        <v>1.100766E-4</v>
      </c>
      <c r="W21" s="74">
        <v>1.077969E-4</v>
      </c>
      <c r="X21" s="74">
        <v>1.055595E-4</v>
      </c>
      <c r="Y21" s="74">
        <v>1.0336399999999999E-4</v>
      </c>
      <c r="Z21" s="74">
        <v>1.0120989999999999E-4</v>
      </c>
      <c r="AA21" s="74">
        <v>9.9096699999999996E-5</v>
      </c>
      <c r="AB21" s="74">
        <v>9.7023999999999998E-5</v>
      </c>
      <c r="AC21" s="74">
        <v>9.4991199999999999E-5</v>
      </c>
      <c r="AD21" s="74">
        <v>9.2997800000000006E-5</v>
      </c>
      <c r="AE21" s="74">
        <v>9.1043400000000003E-5</v>
      </c>
      <c r="AF21" s="74">
        <v>8.9127299999999996E-5</v>
      </c>
      <c r="AG21" s="74">
        <v>8.7249000000000004E-5</v>
      </c>
      <c r="AH21" s="74">
        <v>8.5407899999999999E-5</v>
      </c>
      <c r="AI21" s="74">
        <v>8.36035E-5</v>
      </c>
      <c r="AJ21" s="74">
        <v>8.1835200000000006E-5</v>
      </c>
      <c r="AK21" s="74">
        <v>8.0102400000000001E-5</v>
      </c>
      <c r="AL21" s="74">
        <v>7.8404600000000005E-5</v>
      </c>
      <c r="AM21" s="74">
        <v>7.6741099999999996E-5</v>
      </c>
      <c r="AN21" s="74">
        <v>7.5111500000000001E-5</v>
      </c>
      <c r="AO21" s="74">
        <v>7.3515000000000003E-5</v>
      </c>
      <c r="AP21" s="74">
        <v>7.1951200000000003E-5</v>
      </c>
      <c r="AQ21" s="74">
        <v>7.0419400000000005E-5</v>
      </c>
      <c r="AR21" s="74">
        <v>6.8919199999999996E-5</v>
      </c>
      <c r="AS21" s="74">
        <v>6.7449799999999999E-5</v>
      </c>
      <c r="AT21" s="74">
        <v>6.6010800000000002E-5</v>
      </c>
      <c r="AU21" s="74">
        <v>6.4601699999999995E-5</v>
      </c>
      <c r="AV21" s="74">
        <v>6.3221799999999998E-5</v>
      </c>
      <c r="AW21" s="74">
        <v>6.1870600000000004E-5</v>
      </c>
      <c r="AX21" s="74">
        <v>6.0547500000000003E-5</v>
      </c>
      <c r="AY21" s="74">
        <v>5.9252100000000001E-5</v>
      </c>
      <c r="AZ21" s="74">
        <v>5.7983799999999999E-5</v>
      </c>
      <c r="BA21" s="74">
        <v>5.67421E-5</v>
      </c>
      <c r="BB21" s="74">
        <v>5.5526399999999997E-5</v>
      </c>
      <c r="BC21" s="74">
        <v>5.4336299999999997E-5</v>
      </c>
      <c r="BD21" s="74">
        <v>5.3171199999999997E-5</v>
      </c>
      <c r="BE21" s="74">
        <v>5.2030700000000003E-5</v>
      </c>
      <c r="BF21" s="74">
        <v>5.0914300000000001E-5</v>
      </c>
      <c r="BG21" s="74">
        <v>4.9821499999999997E-5</v>
      </c>
      <c r="BH21" s="74">
        <v>4.8751700000000003E-5</v>
      </c>
      <c r="BI21" s="74">
        <v>4.7704699999999997E-5</v>
      </c>
      <c r="BJ21" s="74">
        <v>4.66798E-5</v>
      </c>
      <c r="BK21" s="74">
        <v>4.5676700000000003E-5</v>
      </c>
      <c r="BL21" s="74">
        <v>4.4694899999999998E-5</v>
      </c>
      <c r="BM21" s="74">
        <v>4.3733899999999998E-5</v>
      </c>
      <c r="BN21" s="74">
        <v>4.2793400000000003E-5</v>
      </c>
      <c r="BO21" s="74">
        <v>4.1872999999999997E-5</v>
      </c>
      <c r="BP21" s="74">
        <v>4.09721E-5</v>
      </c>
      <c r="BQ21" s="74">
        <v>4.0090399999999998E-5</v>
      </c>
      <c r="BR21" s="74">
        <v>3.9227599999999997E-5</v>
      </c>
      <c r="BS21" s="74">
        <v>3.8383200000000002E-5</v>
      </c>
      <c r="BT21" s="74">
        <v>3.7556799999999999E-5</v>
      </c>
      <c r="BU21" s="74">
        <v>3.6748100000000001E-5</v>
      </c>
      <c r="BV21" s="74">
        <v>3.5956700000000001E-5</v>
      </c>
      <c r="BW21" s="74">
        <v>3.5182199999999997E-5</v>
      </c>
      <c r="BX21" s="74">
        <v>3.4424300000000002E-5</v>
      </c>
      <c r="BY21" s="74">
        <v>3.3682600000000002E-5</v>
      </c>
      <c r="BZ21" s="74">
        <v>3.2956800000000003E-5</v>
      </c>
      <c r="CA21" s="74">
        <v>3.2246599999999997E-5</v>
      </c>
      <c r="CB21" s="74">
        <v>3.1551599999999998E-5</v>
      </c>
      <c r="CC21" s="74">
        <v>3.0871499999999997E-5</v>
      </c>
      <c r="CD21" s="74">
        <v>3.0205999999999998E-5</v>
      </c>
      <c r="CE21" s="74">
        <v>2.95548E-5</v>
      </c>
      <c r="CF21" s="74">
        <v>2.8917599999999999E-5</v>
      </c>
      <c r="CG21" s="74">
        <v>2.8294E-5</v>
      </c>
      <c r="CH21" s="74">
        <v>2.7683900000000001E-5</v>
      </c>
      <c r="CI21" s="74">
        <v>2.70869E-5</v>
      </c>
      <c r="CJ21" s="74">
        <v>2.65027E-5</v>
      </c>
      <c r="CK21" s="74">
        <v>2.5931E-5</v>
      </c>
      <c r="CL21" s="74">
        <v>2.53717E-5</v>
      </c>
      <c r="CM21" s="74">
        <v>2.4824399999999999E-5</v>
      </c>
      <c r="CN21" s="74">
        <v>2.42888E-5</v>
      </c>
      <c r="CO21" s="74">
        <v>2.37648E-5</v>
      </c>
      <c r="CP21" s="74">
        <v>2.3252100000000001E-5</v>
      </c>
      <c r="CQ21" s="74">
        <v>2.2750400000000002E-5</v>
      </c>
      <c r="CR21" s="74">
        <v>2.2259499999999999E-5</v>
      </c>
      <c r="CS21" s="74">
        <v>2.17792E-5</v>
      </c>
      <c r="CT21" s="74">
        <v>2.1309199999999999E-5</v>
      </c>
      <c r="CU21" s="74">
        <v>2.0849400000000001E-5</v>
      </c>
      <c r="CV21" s="74">
        <v>2.03994E-5</v>
      </c>
      <c r="CW21" s="74">
        <v>1.99592E-5</v>
      </c>
      <c r="CX21" s="74">
        <v>1.9528400000000001E-5</v>
      </c>
      <c r="CY21" s="74">
        <v>1.9106900000000002E-5</v>
      </c>
      <c r="CZ21" s="74">
        <v>1.8694499999999999E-5</v>
      </c>
      <c r="DA21" s="74">
        <v>1.8291000000000002E-5</v>
      </c>
      <c r="DB21" s="74">
        <v>1.78962E-5</v>
      </c>
      <c r="DC21" s="74">
        <v>1.75099E-5</v>
      </c>
      <c r="DD21" s="74">
        <v>1.7131900000000001E-5</v>
      </c>
      <c r="DE21" s="74">
        <v>1.67621E-5</v>
      </c>
      <c r="DF21" s="74">
        <v>1.6400299999999999E-5</v>
      </c>
      <c r="DG21" s="74">
        <v>1.6046199999999999E-5</v>
      </c>
      <c r="DH21" s="74">
        <v>1.5699799999999998E-5</v>
      </c>
      <c r="DI21" s="74">
        <v>1.5360900000000001E-5</v>
      </c>
      <c r="DJ21" s="74">
        <v>1.50293E-5</v>
      </c>
      <c r="DK21" s="74">
        <v>1.47048E-5</v>
      </c>
      <c r="DL21" s="74">
        <v>1.43873E-5</v>
      </c>
      <c r="DM21" s="74">
        <v>1.40767E-5</v>
      </c>
      <c r="DN21" s="74">
        <v>1.37728E-5</v>
      </c>
      <c r="DO21" s="74">
        <v>1.34754E-5</v>
      </c>
      <c r="DP21" s="74">
        <v>1.3184500000000001E-5</v>
      </c>
      <c r="DQ21" s="74">
        <v>1.28998E-5</v>
      </c>
      <c r="DR21" s="74">
        <v>1.2621300000000001E-5</v>
      </c>
      <c r="DS21" s="74">
        <v>1.2348799999999999E-5</v>
      </c>
      <c r="DT21" s="74">
        <v>1.2082100000000001E-5</v>
      </c>
      <c r="DU21" s="74">
        <v>1.18213E-5</v>
      </c>
      <c r="DV21" s="74">
        <v>1.1566000000000001E-5</v>
      </c>
      <c r="DW21" s="74">
        <v>1.13163E-5</v>
      </c>
      <c r="DX21" s="74">
        <v>1.10719E-5</v>
      </c>
      <c r="DY21" s="74">
        <v>1.0832899999999999E-5</v>
      </c>
      <c r="DZ21" s="74">
        <v>1.0599E-5</v>
      </c>
      <c r="EA21" s="74">
        <v>1.0370099999999999E-5</v>
      </c>
      <c r="EB21" s="74">
        <v>1.01462E-5</v>
      </c>
      <c r="EC21" s="74">
        <v>9.9271000000000002E-6</v>
      </c>
      <c r="ED21" s="74">
        <v>9.7126999999999994E-6</v>
      </c>
      <c r="EE21" s="74">
        <v>9.5030000000000003E-6</v>
      </c>
      <c r="EF21" s="74">
        <v>9.2977999999999993E-6</v>
      </c>
      <c r="EG21" s="74">
        <v>9.0969999999999995E-6</v>
      </c>
      <c r="EH21" s="74">
        <v>8.9006000000000008E-6</v>
      </c>
      <c r="EI21" s="74">
        <v>8.7083999999999995E-6</v>
      </c>
      <c r="EJ21" s="74">
        <v>8.5203000000000004E-6</v>
      </c>
      <c r="EK21" s="74">
        <v>8.3363000000000001E-6</v>
      </c>
      <c r="EL21" s="74">
        <v>8.1563000000000002E-6</v>
      </c>
      <c r="EM21" s="74">
        <v>7.9802000000000003E-6</v>
      </c>
      <c r="EN21" s="74">
        <v>7.8079000000000002E-6</v>
      </c>
      <c r="EO21" s="74">
        <v>7.6391999999999996E-6</v>
      </c>
      <c r="EP21" s="74">
        <v>7.4742999999999997E-6</v>
      </c>
      <c r="EQ21" s="74">
        <v>7.3128999999999999E-6</v>
      </c>
      <c r="ER21" s="74">
        <v>7.1550000000000001E-6</v>
      </c>
      <c r="ES21" s="74">
        <v>7.0003999999999999E-6</v>
      </c>
      <c r="ET21" s="74">
        <v>6.8492999999999998E-6</v>
      </c>
      <c r="EU21" s="74">
        <v>6.7013999999999999E-6</v>
      </c>
      <c r="EV21" s="74">
        <v>6.5566E-6</v>
      </c>
      <c r="EW21" s="74">
        <v>6.4150999999999998E-6</v>
      </c>
      <c r="EX21" s="74">
        <v>6.2765E-6</v>
      </c>
      <c r="EY21" s="74">
        <v>6.1410000000000002E-6</v>
      </c>
      <c r="EZ21" s="74">
        <v>6.0083999999999999E-6</v>
      </c>
      <c r="FA21" s="74">
        <v>5.8785999999999999E-6</v>
      </c>
      <c r="FB21" s="74">
        <v>5.7517000000000003E-6</v>
      </c>
      <c r="FC21" s="74">
        <v>5.6274999999999999E-6</v>
      </c>
      <c r="FD21" s="74">
        <v>5.5059000000000001E-6</v>
      </c>
      <c r="FE21" s="74">
        <v>5.3870000000000003E-6</v>
      </c>
      <c r="FF21" s="74">
        <v>5.2707000000000002E-6</v>
      </c>
      <c r="FG21" s="74">
        <v>5.1568999999999997E-6</v>
      </c>
      <c r="FH21" s="74">
        <v>5.0455000000000002E-6</v>
      </c>
      <c r="FI21" s="74">
        <v>4.9365000000000001E-6</v>
      </c>
      <c r="FJ21" s="74">
        <v>4.8299000000000001E-6</v>
      </c>
      <c r="FK21" s="74">
        <v>4.7256000000000001E-6</v>
      </c>
      <c r="FL21" s="74">
        <v>4.6236000000000001E-6</v>
      </c>
      <c r="FM21" s="74">
        <v>4.5237000000000004E-6</v>
      </c>
      <c r="FN21" s="74">
        <v>4.4259999999999996E-6</v>
      </c>
      <c r="FO21" s="74">
        <v>4.3305000000000003E-6</v>
      </c>
      <c r="FP21" s="74">
        <v>4.2369E-6</v>
      </c>
      <c r="FQ21" s="74">
        <v>4.1454000000000002E-6</v>
      </c>
    </row>
    <row r="22" spans="1:173" x14ac:dyDescent="0.25">
      <c r="A22" s="76">
        <v>20</v>
      </c>
      <c r="B22" s="74">
        <v>1.641697E-4</v>
      </c>
      <c r="C22" s="74">
        <v>1.608801E-4</v>
      </c>
      <c r="D22" s="74">
        <v>1.576456E-4</v>
      </c>
      <c r="E22" s="74">
        <v>1.5446599999999999E-4</v>
      </c>
      <c r="F22" s="74">
        <v>1.5134130000000001E-4</v>
      </c>
      <c r="G22" s="74">
        <v>1.48271E-4</v>
      </c>
      <c r="H22" s="74">
        <v>1.4525510000000001E-4</v>
      </c>
      <c r="I22" s="74">
        <v>1.4229290000000001E-4</v>
      </c>
      <c r="J22" s="74">
        <v>1.3938420000000001E-4</v>
      </c>
      <c r="K22" s="74">
        <v>1.365285E-4</v>
      </c>
      <c r="L22" s="74">
        <v>1.3372530000000001E-4</v>
      </c>
      <c r="M22" s="74">
        <v>1.3097409999999999E-4</v>
      </c>
      <c r="N22" s="74">
        <v>1.2827429999999999E-4</v>
      </c>
      <c r="O22" s="74">
        <v>1.256253E-4</v>
      </c>
      <c r="P22" s="74">
        <v>1.230266E-4</v>
      </c>
      <c r="Q22" s="74">
        <v>1.204775E-4</v>
      </c>
      <c r="R22" s="74">
        <v>1.1797730000000001E-4</v>
      </c>
      <c r="S22" s="74">
        <v>1.155255E-4</v>
      </c>
      <c r="T22" s="74">
        <v>1.131213E-4</v>
      </c>
      <c r="U22" s="74">
        <v>1.10764E-4</v>
      </c>
      <c r="V22" s="74">
        <v>1.08453E-4</v>
      </c>
      <c r="W22" s="74">
        <v>1.061875E-4</v>
      </c>
      <c r="X22" s="74">
        <v>1.039669E-4</v>
      </c>
      <c r="Y22" s="74">
        <v>1.017904E-4</v>
      </c>
      <c r="Z22" s="74">
        <v>9.9657399999999999E-5</v>
      </c>
      <c r="AA22" s="74">
        <v>9.7567100000000003E-5</v>
      </c>
      <c r="AB22" s="74">
        <v>9.5518699999999997E-5</v>
      </c>
      <c r="AC22" s="74">
        <v>9.3511700000000001E-5</v>
      </c>
      <c r="AD22" s="74">
        <v>9.1545299999999999E-5</v>
      </c>
      <c r="AE22" s="74">
        <v>8.9618700000000003E-5</v>
      </c>
      <c r="AF22" s="74">
        <v>8.7731400000000005E-5</v>
      </c>
      <c r="AG22" s="74">
        <v>8.5882499999999996E-5</v>
      </c>
      <c r="AH22" s="74">
        <v>8.4071400000000003E-5</v>
      </c>
      <c r="AI22" s="74">
        <v>8.2297400000000003E-5</v>
      </c>
      <c r="AJ22" s="74">
        <v>8.0559800000000001E-5</v>
      </c>
      <c r="AK22" s="74">
        <v>7.8857999999999996E-5</v>
      </c>
      <c r="AL22" s="74">
        <v>7.7191200000000001E-5</v>
      </c>
      <c r="AM22" s="74">
        <v>7.5558799999999999E-5</v>
      </c>
      <c r="AN22" s="74">
        <v>7.3960299999999997E-5</v>
      </c>
      <c r="AO22" s="74">
        <v>7.23948E-5</v>
      </c>
      <c r="AP22" s="74">
        <v>7.08618E-5</v>
      </c>
      <c r="AQ22" s="74">
        <v>6.9360699999999995E-5</v>
      </c>
      <c r="AR22" s="74">
        <v>6.7890800000000004E-5</v>
      </c>
      <c r="AS22" s="74">
        <v>6.6451600000000006E-5</v>
      </c>
      <c r="AT22" s="74">
        <v>6.5042400000000006E-5</v>
      </c>
      <c r="AU22" s="74">
        <v>6.3662600000000003E-5</v>
      </c>
      <c r="AV22" s="74">
        <v>6.2311700000000002E-5</v>
      </c>
      <c r="AW22" s="74">
        <v>6.0989000000000002E-5</v>
      </c>
      <c r="AX22" s="74">
        <v>5.9694100000000002E-5</v>
      </c>
      <c r="AY22" s="74">
        <v>5.84263E-5</v>
      </c>
      <c r="AZ22" s="74">
        <v>5.7185200000000003E-5</v>
      </c>
      <c r="BA22" s="74">
        <v>5.5970100000000001E-5</v>
      </c>
      <c r="BB22" s="74">
        <v>5.4780600000000002E-5</v>
      </c>
      <c r="BC22" s="74">
        <v>5.3616100000000003E-5</v>
      </c>
      <c r="BD22" s="74">
        <v>5.2476199999999997E-5</v>
      </c>
      <c r="BE22" s="74">
        <v>5.1360200000000003E-5</v>
      </c>
      <c r="BF22" s="74">
        <v>5.02678E-5</v>
      </c>
      <c r="BG22" s="74">
        <v>4.91985E-5</v>
      </c>
      <c r="BH22" s="74">
        <v>4.8151700000000002E-5</v>
      </c>
      <c r="BI22" s="74">
        <v>4.7126999999999998E-5</v>
      </c>
      <c r="BJ22" s="74">
        <v>4.6124000000000001E-5</v>
      </c>
      <c r="BK22" s="74">
        <v>4.5142300000000003E-5</v>
      </c>
      <c r="BL22" s="74">
        <v>4.4181200000000003E-5</v>
      </c>
      <c r="BM22" s="74">
        <v>4.3240600000000001E-5</v>
      </c>
      <c r="BN22" s="74">
        <v>4.2319800000000001E-5</v>
      </c>
      <c r="BO22" s="74">
        <v>4.1418500000000003E-5</v>
      </c>
      <c r="BP22" s="74">
        <v>4.05364E-5</v>
      </c>
      <c r="BQ22" s="74">
        <v>3.9672899999999998E-5</v>
      </c>
      <c r="BR22" s="74">
        <v>3.8827800000000001E-5</v>
      </c>
      <c r="BS22" s="74">
        <v>3.8000599999999997E-5</v>
      </c>
      <c r="BT22" s="74">
        <v>3.7190900000000003E-5</v>
      </c>
      <c r="BU22" s="74">
        <v>3.6398500000000001E-5</v>
      </c>
      <c r="BV22" s="74">
        <v>3.5622800000000001E-5</v>
      </c>
      <c r="BW22" s="74">
        <v>3.4863600000000003E-5</v>
      </c>
      <c r="BX22" s="74">
        <v>3.41206E-5</v>
      </c>
      <c r="BY22" s="74">
        <v>3.3393299999999998E-5</v>
      </c>
      <c r="BZ22" s="74">
        <v>3.2681500000000002E-5</v>
      </c>
      <c r="CA22" s="74">
        <v>3.1984899999999999E-5</v>
      </c>
      <c r="CB22" s="74">
        <v>3.1303000000000002E-5</v>
      </c>
      <c r="CC22" s="74">
        <v>3.0635700000000002E-5</v>
      </c>
      <c r="CD22" s="74">
        <v>2.99825E-5</v>
      </c>
      <c r="CE22" s="74">
        <v>2.9343200000000001E-5</v>
      </c>
      <c r="CF22" s="74">
        <v>2.8717600000000001E-5</v>
      </c>
      <c r="CG22" s="74">
        <v>2.81052E-5</v>
      </c>
      <c r="CH22" s="74">
        <v>2.75059E-5</v>
      </c>
      <c r="CI22" s="74">
        <v>2.6919300000000002E-5</v>
      </c>
      <c r="CJ22" s="74">
        <v>2.63453E-5</v>
      </c>
      <c r="CK22" s="74">
        <v>2.5783400000000001E-5</v>
      </c>
      <c r="CL22" s="74">
        <v>2.5233500000000002E-5</v>
      </c>
      <c r="CM22" s="74">
        <v>2.4695300000000001E-5</v>
      </c>
      <c r="CN22" s="74">
        <v>2.4168600000000001E-5</v>
      </c>
      <c r="CO22" s="74">
        <v>2.3653099999999999E-5</v>
      </c>
      <c r="CP22" s="74">
        <v>2.3148600000000001E-5</v>
      </c>
      <c r="CQ22" s="74">
        <v>2.2654899999999999E-5</v>
      </c>
      <c r="CR22" s="74">
        <v>2.21716E-5</v>
      </c>
      <c r="CS22" s="74">
        <v>2.1698699999999999E-5</v>
      </c>
      <c r="CT22" s="74">
        <v>2.1235800000000001E-5</v>
      </c>
      <c r="CU22" s="74">
        <v>2.07828E-5</v>
      </c>
      <c r="CV22" s="74">
        <v>2.03394E-5</v>
      </c>
      <c r="CW22" s="74">
        <v>1.9905500000000001E-5</v>
      </c>
      <c r="CX22" s="74">
        <v>1.9480899999999998E-5</v>
      </c>
      <c r="CY22" s="74">
        <v>1.9065299999999999E-5</v>
      </c>
      <c r="CZ22" s="74">
        <v>1.8658600000000001E-5</v>
      </c>
      <c r="DA22" s="74">
        <v>1.8260499999999999E-5</v>
      </c>
      <c r="DB22" s="74">
        <v>1.7870899999999999E-5</v>
      </c>
      <c r="DC22" s="74">
        <v>1.7489599999999999E-5</v>
      </c>
      <c r="DD22" s="74">
        <v>1.7116500000000001E-5</v>
      </c>
      <c r="DE22" s="74">
        <v>1.67513E-5</v>
      </c>
      <c r="DF22" s="74">
        <v>1.6393899999999999E-5</v>
      </c>
      <c r="DG22" s="74">
        <v>1.6044100000000001E-5</v>
      </c>
      <c r="DH22" s="74">
        <v>1.5701799999999999E-5</v>
      </c>
      <c r="DI22" s="74">
        <v>1.53668E-5</v>
      </c>
      <c r="DJ22" s="74">
        <v>1.5038899999999999E-5</v>
      </c>
      <c r="DK22" s="74">
        <v>1.4718E-5</v>
      </c>
      <c r="DL22" s="74">
        <v>1.4404E-5</v>
      </c>
      <c r="DM22" s="74">
        <v>1.40966E-5</v>
      </c>
      <c r="DN22" s="74">
        <v>1.3795899999999999E-5</v>
      </c>
      <c r="DO22" s="74">
        <v>1.3501499999999999E-5</v>
      </c>
      <c r="DP22" s="74">
        <v>1.32134E-5</v>
      </c>
      <c r="DQ22" s="74">
        <v>1.29315E-5</v>
      </c>
      <c r="DR22" s="74">
        <v>1.2655499999999999E-5</v>
      </c>
      <c r="DS22" s="74">
        <v>1.23855E-5</v>
      </c>
      <c r="DT22" s="74">
        <v>1.21212E-5</v>
      </c>
      <c r="DU22" s="74">
        <v>1.1862600000000001E-5</v>
      </c>
      <c r="DV22" s="74">
        <v>1.1609399999999999E-5</v>
      </c>
      <c r="DW22" s="74">
        <v>1.13617E-5</v>
      </c>
      <c r="DX22" s="74">
        <v>1.11193E-5</v>
      </c>
      <c r="DY22" s="74">
        <v>1.0882E-5</v>
      </c>
      <c r="DZ22" s="74">
        <v>1.0649799999999999E-5</v>
      </c>
      <c r="EA22" s="74">
        <v>1.0422500000000001E-5</v>
      </c>
      <c r="EB22" s="74">
        <v>1.0200100000000001E-5</v>
      </c>
      <c r="EC22" s="74">
        <v>9.9824999999999997E-6</v>
      </c>
      <c r="ED22" s="74">
        <v>9.7695000000000002E-6</v>
      </c>
      <c r="EE22" s="74">
        <v>9.5610000000000004E-6</v>
      </c>
      <c r="EF22" s="74">
        <v>9.3570000000000004E-6</v>
      </c>
      <c r="EG22" s="74">
        <v>9.1572999999999996E-6</v>
      </c>
      <c r="EH22" s="74">
        <v>8.9618999999999997E-6</v>
      </c>
      <c r="EI22" s="74">
        <v>8.7706000000000004E-6</v>
      </c>
      <c r="EJ22" s="74">
        <v>8.5835000000000001E-6</v>
      </c>
      <c r="EK22" s="74">
        <v>8.4002999999999999E-6</v>
      </c>
      <c r="EL22" s="74">
        <v>8.2210999999999999E-6</v>
      </c>
      <c r="EM22" s="74">
        <v>8.0455999999999997E-6</v>
      </c>
      <c r="EN22" s="74">
        <v>7.8738999999999993E-6</v>
      </c>
      <c r="EO22" s="74">
        <v>7.7059000000000002E-6</v>
      </c>
      <c r="EP22" s="74">
        <v>7.5414999999999997E-6</v>
      </c>
      <c r="EQ22" s="74">
        <v>7.3804999999999999E-6</v>
      </c>
      <c r="ER22" s="74">
        <v>7.2230000000000001E-6</v>
      </c>
      <c r="ES22" s="74">
        <v>7.0689000000000002E-6</v>
      </c>
      <c r="ET22" s="74">
        <v>6.9179999999999997E-6</v>
      </c>
      <c r="EU22" s="74">
        <v>6.7703999999999996E-6</v>
      </c>
      <c r="EV22" s="74">
        <v>6.6259000000000004E-6</v>
      </c>
      <c r="EW22" s="74">
        <v>6.4845000000000003E-6</v>
      </c>
      <c r="EX22" s="74">
        <v>6.3462000000000003E-6</v>
      </c>
      <c r="EY22" s="74">
        <v>6.2106999999999997E-6</v>
      </c>
      <c r="EZ22" s="74">
        <v>6.0781999999999997E-6</v>
      </c>
      <c r="FA22" s="74">
        <v>5.9484999999999999E-6</v>
      </c>
      <c r="FB22" s="74">
        <v>5.8216000000000003E-6</v>
      </c>
      <c r="FC22" s="74">
        <v>5.6972999999999996E-6</v>
      </c>
      <c r="FD22" s="74">
        <v>5.5756999999999998E-6</v>
      </c>
      <c r="FE22" s="74">
        <v>5.4568E-6</v>
      </c>
      <c r="FF22" s="74">
        <v>5.3403000000000004E-6</v>
      </c>
      <c r="FG22" s="74">
        <v>5.2263000000000003E-6</v>
      </c>
      <c r="FH22" s="74">
        <v>5.1147999999999997E-6</v>
      </c>
      <c r="FI22" s="74">
        <v>5.0057000000000002E-6</v>
      </c>
      <c r="FJ22" s="74">
        <v>4.8987999999999996E-6</v>
      </c>
      <c r="FK22" s="74">
        <v>4.7943E-6</v>
      </c>
      <c r="FL22" s="74">
        <v>4.6920000000000001E-6</v>
      </c>
      <c r="FM22" s="74">
        <v>4.5919E-6</v>
      </c>
      <c r="FN22" s="74">
        <v>4.4939000000000003E-6</v>
      </c>
      <c r="FO22" s="74">
        <v>4.3980000000000001E-6</v>
      </c>
      <c r="FP22" s="74">
        <v>4.3041E-6</v>
      </c>
      <c r="FQ22" s="74">
        <v>4.2123000000000003E-6</v>
      </c>
    </row>
    <row r="23" spans="1:173" x14ac:dyDescent="0.25">
      <c r="A23" s="76">
        <v>21</v>
      </c>
      <c r="B23" s="74">
        <v>1.6907249999999999E-4</v>
      </c>
      <c r="C23" s="74">
        <v>1.657471E-4</v>
      </c>
      <c r="D23" s="74">
        <v>1.6247470000000001E-4</v>
      </c>
      <c r="E23" s="74">
        <v>1.5925539999999999E-4</v>
      </c>
      <c r="F23" s="74">
        <v>1.5608930000000001E-4</v>
      </c>
      <c r="G23" s="74">
        <v>1.5297609999999999E-4</v>
      </c>
      <c r="H23" s="74">
        <v>1.4991580000000001E-4</v>
      </c>
      <c r="I23" s="74">
        <v>1.4690809999999999E-4</v>
      </c>
      <c r="J23" s="74">
        <v>1.4395280000000001E-4</v>
      </c>
      <c r="K23" s="74">
        <v>1.4104960000000001E-4</v>
      </c>
      <c r="L23" s="74">
        <v>1.3819799999999999E-4</v>
      </c>
      <c r="M23" s="74">
        <v>1.3539770000000001E-4</v>
      </c>
      <c r="N23" s="74">
        <v>1.326481E-4</v>
      </c>
      <c r="O23" s="74">
        <v>1.2994889999999999E-4</v>
      </c>
      <c r="P23" s="74">
        <v>1.272995E-4</v>
      </c>
      <c r="Q23" s="74">
        <v>1.246993E-4</v>
      </c>
      <c r="R23" s="74">
        <v>1.221478E-4</v>
      </c>
      <c r="S23" s="74">
        <v>1.196444E-4</v>
      </c>
      <c r="T23" s="74">
        <v>1.171885E-4</v>
      </c>
      <c r="U23" s="74">
        <v>1.1477939999999999E-4</v>
      </c>
      <c r="V23" s="74">
        <v>1.124166E-4</v>
      </c>
      <c r="W23" s="74">
        <v>1.1009940000000001E-4</v>
      </c>
      <c r="X23" s="74">
        <v>1.07827E-4</v>
      </c>
      <c r="Y23" s="74">
        <v>1.05599E-4</v>
      </c>
      <c r="Z23" s="74">
        <v>1.034145E-4</v>
      </c>
      <c r="AA23" s="74">
        <v>1.012729E-4</v>
      </c>
      <c r="AB23" s="74">
        <v>9.9173599999999995E-5</v>
      </c>
      <c r="AC23" s="74">
        <v>9.7115799999999996E-5</v>
      </c>
      <c r="AD23" s="74">
        <v>9.5098899999999998E-5</v>
      </c>
      <c r="AE23" s="74">
        <v>9.3122199999999994E-5</v>
      </c>
      <c r="AF23" s="74">
        <v>9.1184899999999995E-5</v>
      </c>
      <c r="AG23" s="74">
        <v>8.92866E-5</v>
      </c>
      <c r="AH23" s="74">
        <v>8.74264E-5</v>
      </c>
      <c r="AI23" s="74">
        <v>8.5603699999999995E-5</v>
      </c>
      <c r="AJ23" s="74">
        <v>8.3817800000000002E-5</v>
      </c>
      <c r="AK23" s="74">
        <v>8.2068099999999994E-5</v>
      </c>
      <c r="AL23" s="74">
        <v>8.0353900000000003E-5</v>
      </c>
      <c r="AM23" s="74">
        <v>7.8674499999999994E-5</v>
      </c>
      <c r="AN23" s="74">
        <v>7.7029399999999998E-5</v>
      </c>
      <c r="AO23" s="74">
        <v>7.5417899999999995E-5</v>
      </c>
      <c r="AP23" s="74">
        <v>7.3839399999999996E-5</v>
      </c>
      <c r="AQ23" s="74">
        <v>7.2293199999999994E-5</v>
      </c>
      <c r="AR23" s="74">
        <v>7.07787E-5</v>
      </c>
      <c r="AS23" s="74">
        <v>6.92953E-5</v>
      </c>
      <c r="AT23" s="74">
        <v>6.78425E-5</v>
      </c>
      <c r="AU23" s="74">
        <v>6.6419699999999997E-5</v>
      </c>
      <c r="AV23" s="74">
        <v>6.5026100000000004E-5</v>
      </c>
      <c r="AW23" s="74">
        <v>6.36614E-5</v>
      </c>
      <c r="AX23" s="74">
        <v>6.2324900000000004E-5</v>
      </c>
      <c r="AY23" s="74">
        <v>6.10161E-5</v>
      </c>
      <c r="AZ23" s="74">
        <v>5.9734400000000002E-5</v>
      </c>
      <c r="BA23" s="74">
        <v>5.8479300000000001E-5</v>
      </c>
      <c r="BB23" s="74">
        <v>5.7250200000000003E-5</v>
      </c>
      <c r="BC23" s="74">
        <v>5.60467E-5</v>
      </c>
      <c r="BD23" s="74">
        <v>5.4868299999999998E-5</v>
      </c>
      <c r="BE23" s="74">
        <v>5.3714300000000002E-5</v>
      </c>
      <c r="BF23" s="74">
        <v>5.2584399999999998E-5</v>
      </c>
      <c r="BG23" s="74">
        <v>5.1478099999999998E-5</v>
      </c>
      <c r="BH23" s="74">
        <v>5.0394800000000001E-5</v>
      </c>
      <c r="BI23" s="74">
        <v>4.9334199999999999E-5</v>
      </c>
      <c r="BJ23" s="74">
        <v>4.8295699999999999E-5</v>
      </c>
      <c r="BK23" s="74">
        <v>4.7278899999999999E-5</v>
      </c>
      <c r="BL23" s="74">
        <v>4.6283399999999998E-5</v>
      </c>
      <c r="BM23" s="74">
        <v>4.5308700000000002E-5</v>
      </c>
      <c r="BN23" s="74">
        <v>4.4354399999999997E-5</v>
      </c>
      <c r="BO23" s="74">
        <v>4.3420000000000001E-5</v>
      </c>
      <c r="BP23" s="74">
        <v>4.2505300000000001E-5</v>
      </c>
      <c r="BQ23" s="74">
        <v>4.1609700000000002E-5</v>
      </c>
      <c r="BR23" s="74">
        <v>4.0732899999999998E-5</v>
      </c>
      <c r="BS23" s="74">
        <v>3.9874499999999999E-5</v>
      </c>
      <c r="BT23" s="74">
        <v>3.90341E-5</v>
      </c>
      <c r="BU23" s="74">
        <v>3.8211299999999998E-5</v>
      </c>
      <c r="BV23" s="74">
        <v>3.74058E-5</v>
      </c>
      <c r="BW23" s="74">
        <v>3.6617199999999999E-5</v>
      </c>
      <c r="BX23" s="74">
        <v>3.58452E-5</v>
      </c>
      <c r="BY23" s="74">
        <v>3.5089400000000003E-5</v>
      </c>
      <c r="BZ23" s="74">
        <v>3.43495E-5</v>
      </c>
      <c r="CA23" s="74">
        <v>3.3625099999999998E-5</v>
      </c>
      <c r="CB23" s="74">
        <v>3.2916000000000001E-5</v>
      </c>
      <c r="CC23" s="74">
        <v>3.2221799999999997E-5</v>
      </c>
      <c r="CD23" s="74">
        <v>3.1542199999999998E-5</v>
      </c>
      <c r="CE23" s="74">
        <v>3.0876900000000002E-5</v>
      </c>
      <c r="CF23" s="74">
        <v>3.0225600000000001E-5</v>
      </c>
      <c r="CG23" s="74">
        <v>2.9587999999999999E-5</v>
      </c>
      <c r="CH23" s="74">
        <v>2.8963799999999999E-5</v>
      </c>
      <c r="CI23" s="74">
        <v>2.83527E-5</v>
      </c>
      <c r="CJ23" s="74">
        <v>2.77546E-5</v>
      </c>
      <c r="CK23" s="74">
        <v>2.7169E-5</v>
      </c>
      <c r="CL23" s="74">
        <v>2.65957E-5</v>
      </c>
      <c r="CM23" s="74">
        <v>2.60346E-5</v>
      </c>
      <c r="CN23" s="74">
        <v>2.5485200000000001E-5</v>
      </c>
      <c r="CO23" s="74">
        <v>2.4947400000000001E-5</v>
      </c>
      <c r="CP23" s="74">
        <v>2.4420999999999999E-5</v>
      </c>
      <c r="CQ23" s="74">
        <v>2.39056E-5</v>
      </c>
      <c r="CR23" s="74">
        <v>2.3401199999999999E-5</v>
      </c>
      <c r="CS23" s="74">
        <v>2.29073E-5</v>
      </c>
      <c r="CT23" s="74">
        <v>2.2423900000000001E-5</v>
      </c>
      <c r="CU23" s="74">
        <v>2.19506E-5</v>
      </c>
      <c r="CV23" s="74">
        <v>2.14873E-5</v>
      </c>
      <c r="CW23" s="74">
        <v>2.1033799999999998E-5</v>
      </c>
      <c r="CX23" s="74">
        <v>2.0589900000000001E-5</v>
      </c>
      <c r="CY23" s="74">
        <v>2.01553E-5</v>
      </c>
      <c r="CZ23" s="74">
        <v>1.9729899999999999E-5</v>
      </c>
      <c r="DA23" s="74">
        <v>1.93134E-5</v>
      </c>
      <c r="DB23" s="74">
        <v>1.8905800000000001E-5</v>
      </c>
      <c r="DC23" s="74">
        <v>1.85067E-5</v>
      </c>
      <c r="DD23" s="74">
        <v>1.8116100000000001E-5</v>
      </c>
      <c r="DE23" s="74">
        <v>1.7733699999999999E-5</v>
      </c>
      <c r="DF23" s="74">
        <v>1.7359300000000002E-5</v>
      </c>
      <c r="DG23" s="74">
        <v>1.6992900000000001E-5</v>
      </c>
      <c r="DH23" s="74">
        <v>1.6634200000000001E-5</v>
      </c>
      <c r="DI23" s="74">
        <v>1.62831E-5</v>
      </c>
      <c r="DJ23" s="74">
        <v>1.5939299999999998E-5</v>
      </c>
      <c r="DK23" s="74">
        <v>1.5602799999999999E-5</v>
      </c>
      <c r="DL23" s="74">
        <v>1.5273499999999999E-5</v>
      </c>
      <c r="DM23" s="74">
        <v>1.4951E-5</v>
      </c>
      <c r="DN23" s="74">
        <v>1.4635400000000001E-5</v>
      </c>
      <c r="DO23" s="74">
        <v>1.4326500000000001E-5</v>
      </c>
      <c r="DP23" s="74">
        <v>1.4024E-5</v>
      </c>
      <c r="DQ23" s="74">
        <v>1.3728E-5</v>
      </c>
      <c r="DR23" s="74">
        <v>1.3438099999999999E-5</v>
      </c>
      <c r="DS23" s="74">
        <v>1.3154400000000001E-5</v>
      </c>
      <c r="DT23" s="74">
        <v>1.28767E-5</v>
      </c>
      <c r="DU23" s="74">
        <v>1.26049E-5</v>
      </c>
      <c r="DV23" s="74">
        <v>1.2338799999999999E-5</v>
      </c>
      <c r="DW23" s="74">
        <v>1.2078299999999999E-5</v>
      </c>
      <c r="DX23" s="74">
        <v>1.1823300000000001E-5</v>
      </c>
      <c r="DY23" s="74">
        <v>1.1573700000000001E-5</v>
      </c>
      <c r="DZ23" s="74">
        <v>1.13293E-5</v>
      </c>
      <c r="EA23" s="74">
        <v>1.1090100000000001E-5</v>
      </c>
      <c r="EB23" s="74">
        <v>1.0856000000000001E-5</v>
      </c>
      <c r="EC23" s="74">
        <v>1.06268E-5</v>
      </c>
      <c r="ED23" s="74">
        <v>1.0402500000000001E-5</v>
      </c>
      <c r="EE23" s="74">
        <v>1.01828E-5</v>
      </c>
      <c r="EF23" s="74">
        <v>9.9677999999999997E-6</v>
      </c>
      <c r="EG23" s="74">
        <v>9.7574000000000008E-6</v>
      </c>
      <c r="EH23" s="74">
        <v>9.5513999999999997E-6</v>
      </c>
      <c r="EI23" s="74">
        <v>9.3496999999999996E-6</v>
      </c>
      <c r="EJ23" s="74">
        <v>9.1523000000000004E-6</v>
      </c>
      <c r="EK23" s="74">
        <v>8.9591000000000003E-6</v>
      </c>
      <c r="EL23" s="74">
        <v>8.7700000000000007E-6</v>
      </c>
      <c r="EM23" s="74">
        <v>8.5847999999999995E-6</v>
      </c>
      <c r="EN23" s="74">
        <v>8.4035000000000001E-6</v>
      </c>
      <c r="EO23" s="74">
        <v>8.2261000000000007E-6</v>
      </c>
      <c r="EP23" s="74">
        <v>8.0523999999999993E-6</v>
      </c>
      <c r="EQ23" s="74">
        <v>7.8823999999999993E-6</v>
      </c>
      <c r="ER23" s="74">
        <v>7.7160000000000003E-6</v>
      </c>
      <c r="ES23" s="74">
        <v>7.5530999999999997E-6</v>
      </c>
      <c r="ET23" s="74">
        <v>7.3935999999999998E-6</v>
      </c>
      <c r="EU23" s="74">
        <v>7.2374999999999997E-6</v>
      </c>
      <c r="EV23" s="74">
        <v>7.0847000000000001E-6</v>
      </c>
      <c r="EW23" s="74">
        <v>6.9350999999999999E-6</v>
      </c>
      <c r="EX23" s="74">
        <v>6.7886999999999999E-6</v>
      </c>
      <c r="EY23" s="74">
        <v>6.6453999999999999E-6</v>
      </c>
      <c r="EZ23" s="74">
        <v>6.5050999999999998E-6</v>
      </c>
      <c r="FA23" s="74">
        <v>6.3677E-6</v>
      </c>
      <c r="FB23" s="74">
        <v>6.2333000000000001E-6</v>
      </c>
      <c r="FC23" s="74">
        <v>6.1017000000000004E-6</v>
      </c>
      <c r="FD23" s="74">
        <v>5.9727999999999998E-6</v>
      </c>
      <c r="FE23" s="74">
        <v>5.8467000000000003E-6</v>
      </c>
      <c r="FF23" s="74">
        <v>5.7232999999999999E-6</v>
      </c>
      <c r="FG23" s="74">
        <v>5.6025000000000001E-6</v>
      </c>
      <c r="FH23" s="74">
        <v>5.4841999999999999E-6</v>
      </c>
      <c r="FI23" s="74">
        <v>5.3684000000000001E-6</v>
      </c>
      <c r="FJ23" s="74">
        <v>5.2549999999999997E-6</v>
      </c>
      <c r="FK23" s="74">
        <v>5.1440999999999996E-6</v>
      </c>
      <c r="FL23" s="74">
        <v>5.0355000000000003E-6</v>
      </c>
      <c r="FM23" s="74">
        <v>4.9291E-6</v>
      </c>
      <c r="FN23" s="74">
        <v>4.8250999999999998E-6</v>
      </c>
      <c r="FO23" s="74">
        <v>4.7231999999999999E-6</v>
      </c>
      <c r="FP23" s="74">
        <v>4.6234999999999999E-6</v>
      </c>
      <c r="FQ23" s="74">
        <v>4.5259000000000002E-6</v>
      </c>
    </row>
    <row r="24" spans="1:173" x14ac:dyDescent="0.25">
      <c r="A24" s="76">
        <v>22</v>
      </c>
      <c r="B24" s="74">
        <v>1.7696230000000001E-4</v>
      </c>
      <c r="C24" s="74">
        <v>1.736432E-4</v>
      </c>
      <c r="D24" s="74">
        <v>1.7037070000000001E-4</v>
      </c>
      <c r="E24" s="74">
        <v>1.6714510000000001E-4</v>
      </c>
      <c r="F24" s="74">
        <v>1.6396680000000001E-4</v>
      </c>
      <c r="G24" s="74">
        <v>1.608363E-4</v>
      </c>
      <c r="H24" s="74">
        <v>1.577537E-4</v>
      </c>
      <c r="I24" s="74">
        <v>1.5471920000000001E-4</v>
      </c>
      <c r="J24" s="74">
        <v>1.5173270000000001E-4</v>
      </c>
      <c r="K24" s="74">
        <v>1.487944E-4</v>
      </c>
      <c r="L24" s="74">
        <v>1.4590419999999999E-4</v>
      </c>
      <c r="M24" s="74">
        <v>1.4306179999999999E-4</v>
      </c>
      <c r="N24" s="74">
        <v>1.402672E-4</v>
      </c>
      <c r="O24" s="74">
        <v>1.3752E-4</v>
      </c>
      <c r="P24" s="74">
        <v>1.3481999999999999E-4</v>
      </c>
      <c r="Q24" s="74">
        <v>1.321668E-4</v>
      </c>
      <c r="R24" s="74">
        <v>1.2956019999999999E-4</v>
      </c>
      <c r="S24" s="74">
        <v>1.269996E-4</v>
      </c>
      <c r="T24" s="74">
        <v>1.244847E-4</v>
      </c>
      <c r="U24" s="74">
        <v>1.220149E-4</v>
      </c>
      <c r="V24" s="74">
        <v>1.1958990000000001E-4</v>
      </c>
      <c r="W24" s="74">
        <v>1.172092E-4</v>
      </c>
      <c r="X24" s="74">
        <v>1.148721E-4</v>
      </c>
      <c r="Y24" s="74">
        <v>1.1257820000000001E-4</v>
      </c>
      <c r="Z24" s="74">
        <v>1.103269E-4</v>
      </c>
      <c r="AA24" s="74">
        <v>1.081177E-4</v>
      </c>
      <c r="AB24" s="74">
        <v>1.0594989999999999E-4</v>
      </c>
      <c r="AC24" s="74">
        <v>1.03823E-4</v>
      </c>
      <c r="AD24" s="74">
        <v>1.017365E-4</v>
      </c>
      <c r="AE24" s="74">
        <v>9.9689699999999995E-5</v>
      </c>
      <c r="AF24" s="74">
        <v>9.7682000000000004E-5</v>
      </c>
      <c r="AG24" s="74">
        <v>9.5712799999999996E-5</v>
      </c>
      <c r="AH24" s="74">
        <v>9.3781600000000003E-5</v>
      </c>
      <c r="AI24" s="74">
        <v>9.1887599999999998E-5</v>
      </c>
      <c r="AJ24" s="74">
        <v>9.0030400000000005E-5</v>
      </c>
      <c r="AK24" s="74">
        <v>8.8209300000000003E-5</v>
      </c>
      <c r="AL24" s="74">
        <v>8.6423700000000004E-5</v>
      </c>
      <c r="AM24" s="74">
        <v>8.4673100000000001E-5</v>
      </c>
      <c r="AN24" s="74">
        <v>8.2956700000000005E-5</v>
      </c>
      <c r="AO24" s="74">
        <v>8.1274100000000002E-5</v>
      </c>
      <c r="AP24" s="74">
        <v>7.9624599999999997E-5</v>
      </c>
      <c r="AQ24" s="74">
        <v>7.8007699999999995E-5</v>
      </c>
      <c r="AR24" s="74">
        <v>7.6422700000000003E-5</v>
      </c>
      <c r="AS24" s="74">
        <v>7.4869200000000005E-5</v>
      </c>
      <c r="AT24" s="74">
        <v>7.3346500000000007E-5</v>
      </c>
      <c r="AU24" s="74">
        <v>7.18541E-5</v>
      </c>
      <c r="AV24" s="74">
        <v>7.0391500000000005E-5</v>
      </c>
      <c r="AW24" s="74">
        <v>6.8957999999999999E-5</v>
      </c>
      <c r="AX24" s="74">
        <v>6.7553100000000002E-5</v>
      </c>
      <c r="AY24" s="74">
        <v>6.6176399999999999E-5</v>
      </c>
      <c r="AZ24" s="74">
        <v>6.4827300000000002E-5</v>
      </c>
      <c r="BA24" s="74">
        <v>6.3505199999999996E-5</v>
      </c>
      <c r="BB24" s="74">
        <v>6.2209699999999995E-5</v>
      </c>
      <c r="BC24" s="74">
        <v>6.0940200000000003E-5</v>
      </c>
      <c r="BD24" s="74">
        <v>5.96963E-5</v>
      </c>
      <c r="BE24" s="74">
        <v>5.8477399999999997E-5</v>
      </c>
      <c r="BF24" s="74">
        <v>5.72831E-5</v>
      </c>
      <c r="BG24" s="74">
        <v>5.6113000000000003E-5</v>
      </c>
      <c r="BH24" s="74">
        <v>5.4966400000000003E-5</v>
      </c>
      <c r="BI24" s="74">
        <v>5.38431E-5</v>
      </c>
      <c r="BJ24" s="74">
        <v>5.2742499999999999E-5</v>
      </c>
      <c r="BK24" s="74">
        <v>5.1664199999999999E-5</v>
      </c>
      <c r="BL24" s="74">
        <v>5.06077E-5</v>
      </c>
      <c r="BM24" s="74">
        <v>4.95726E-5</v>
      </c>
      <c r="BN24" s="74">
        <v>4.85586E-5</v>
      </c>
      <c r="BO24" s="74">
        <v>4.7565100000000003E-5</v>
      </c>
      <c r="BP24" s="74">
        <v>4.6591799999999997E-5</v>
      </c>
      <c r="BQ24" s="74">
        <v>4.56383E-5</v>
      </c>
      <c r="BR24" s="74">
        <v>4.4704199999999998E-5</v>
      </c>
      <c r="BS24" s="74">
        <v>4.3789099999999997E-5</v>
      </c>
      <c r="BT24" s="74">
        <v>4.2892600000000003E-5</v>
      </c>
      <c r="BU24" s="74">
        <v>4.2014400000000002E-5</v>
      </c>
      <c r="BV24" s="74">
        <v>4.1153999999999999E-5</v>
      </c>
      <c r="BW24" s="74">
        <v>4.0311200000000001E-5</v>
      </c>
      <c r="BX24" s="74">
        <v>3.94856E-5</v>
      </c>
      <c r="BY24" s="74">
        <v>3.8676800000000002E-5</v>
      </c>
      <c r="BZ24" s="74">
        <v>3.7884399999999999E-5</v>
      </c>
      <c r="CA24" s="74">
        <v>3.7108299999999998E-5</v>
      </c>
      <c r="CB24" s="74">
        <v>3.6347999999999998E-5</v>
      </c>
      <c r="CC24" s="74">
        <v>3.5603199999999998E-5</v>
      </c>
      <c r="CD24" s="74">
        <v>3.4873699999999998E-5</v>
      </c>
      <c r="CE24" s="74">
        <v>3.4159000000000003E-5</v>
      </c>
      <c r="CF24" s="74">
        <v>3.3458899999999999E-5</v>
      </c>
      <c r="CG24" s="74">
        <v>3.27732E-5</v>
      </c>
      <c r="CH24" s="74">
        <v>3.2101399999999997E-5</v>
      </c>
      <c r="CI24" s="74">
        <v>3.1443399999999998E-5</v>
      </c>
      <c r="CJ24" s="74">
        <v>3.0798800000000001E-5</v>
      </c>
      <c r="CK24" s="74">
        <v>3.0167499999999999E-5</v>
      </c>
      <c r="CL24" s="74">
        <v>2.9549000000000001E-5</v>
      </c>
      <c r="CM24" s="74">
        <v>2.8943200000000001E-5</v>
      </c>
      <c r="CN24" s="74">
        <v>2.8349800000000001E-5</v>
      </c>
      <c r="CO24" s="74">
        <v>2.77685E-5</v>
      </c>
      <c r="CP24" s="74">
        <v>2.7199099999999998E-5</v>
      </c>
      <c r="CQ24" s="74">
        <v>2.6641399999999999E-5</v>
      </c>
      <c r="CR24" s="74">
        <v>2.60951E-5</v>
      </c>
      <c r="CS24" s="74">
        <v>2.5559999999999999E-5</v>
      </c>
      <c r="CT24" s="74">
        <v>2.5035799999999998E-5</v>
      </c>
      <c r="CU24" s="74">
        <v>2.4522400000000001E-5</v>
      </c>
      <c r="CV24" s="74">
        <v>2.4019499999999999E-5</v>
      </c>
      <c r="CW24" s="74">
        <v>2.35269E-5</v>
      </c>
      <c r="CX24" s="74">
        <v>2.3044399999999999E-5</v>
      </c>
      <c r="CY24" s="74">
        <v>2.2571699999999999E-5</v>
      </c>
      <c r="CZ24" s="74">
        <v>2.2108800000000001E-5</v>
      </c>
      <c r="DA24" s="74">
        <v>2.1655299999999999E-5</v>
      </c>
      <c r="DB24" s="74">
        <v>2.1211100000000001E-5</v>
      </c>
      <c r="DC24" s="74">
        <v>2.0776099999999999E-5</v>
      </c>
      <c r="DD24" s="74">
        <v>2.03499E-5</v>
      </c>
      <c r="DE24" s="74">
        <v>1.9932499999999999E-5</v>
      </c>
      <c r="DF24" s="74">
        <v>1.9523600000000001E-5</v>
      </c>
      <c r="DG24" s="74">
        <v>1.91231E-5</v>
      </c>
      <c r="DH24" s="74">
        <v>1.8730900000000001E-5</v>
      </c>
      <c r="DI24" s="74">
        <v>1.8346600000000002E-5</v>
      </c>
      <c r="DJ24" s="74">
        <v>1.79703E-5</v>
      </c>
      <c r="DK24" s="74">
        <v>1.7601600000000001E-5</v>
      </c>
      <c r="DL24" s="74">
        <v>1.7240599999999999E-5</v>
      </c>
      <c r="DM24" s="74">
        <v>1.6886899999999999E-5</v>
      </c>
      <c r="DN24" s="74">
        <v>1.6540499999999999E-5</v>
      </c>
      <c r="DO24" s="74">
        <v>1.62011E-5</v>
      </c>
      <c r="DP24" s="74">
        <v>1.58688E-5</v>
      </c>
      <c r="DQ24" s="74">
        <v>1.5543200000000001E-5</v>
      </c>
      <c r="DR24" s="74">
        <v>1.5224299999999999E-5</v>
      </c>
      <c r="DS24" s="74">
        <v>1.4912000000000001E-5</v>
      </c>
      <c r="DT24" s="74">
        <v>1.4606100000000001E-5</v>
      </c>
      <c r="DU24" s="74">
        <v>1.4306400000000001E-5</v>
      </c>
      <c r="DV24" s="74">
        <v>1.4012899999999999E-5</v>
      </c>
      <c r="DW24" s="74">
        <v>1.3725400000000001E-5</v>
      </c>
      <c r="DX24" s="74">
        <v>1.34438E-5</v>
      </c>
      <c r="DY24" s="74">
        <v>1.3168E-5</v>
      </c>
      <c r="DZ24" s="74">
        <v>1.28978E-5</v>
      </c>
      <c r="EA24" s="74">
        <v>1.26332E-5</v>
      </c>
      <c r="EB24" s="74">
        <v>1.2374E-5</v>
      </c>
      <c r="EC24" s="74">
        <v>1.2120099999999999E-5</v>
      </c>
      <c r="ED24" s="74">
        <v>1.18715E-5</v>
      </c>
      <c r="EE24" s="74">
        <v>1.1627899999999999E-5</v>
      </c>
      <c r="EF24" s="74">
        <v>1.13893E-5</v>
      </c>
      <c r="EG24" s="74">
        <v>1.1155700000000001E-5</v>
      </c>
      <c r="EH24" s="74">
        <v>1.09268E-5</v>
      </c>
      <c r="EI24" s="74">
        <v>1.07026E-5</v>
      </c>
      <c r="EJ24" s="74">
        <v>1.0482999999999999E-5</v>
      </c>
      <c r="EK24" s="74">
        <v>1.02679E-5</v>
      </c>
      <c r="EL24" s="74">
        <v>1.0057199999999999E-5</v>
      </c>
      <c r="EM24" s="74">
        <v>9.8509000000000008E-6</v>
      </c>
      <c r="EN24" s="74">
        <v>9.6487999999999998E-6</v>
      </c>
      <c r="EO24" s="74">
        <v>9.4507999999999994E-6</v>
      </c>
      <c r="EP24" s="74">
        <v>9.2568999999999994E-6</v>
      </c>
      <c r="EQ24" s="74">
        <v>9.0669999999999998E-6</v>
      </c>
      <c r="ER24" s="74">
        <v>8.8809E-6</v>
      </c>
      <c r="ES24" s="74">
        <v>8.6987000000000002E-6</v>
      </c>
      <c r="ET24" s="74">
        <v>8.5202000000000002E-6</v>
      </c>
      <c r="EU24" s="74">
        <v>8.3453999999999998E-6</v>
      </c>
      <c r="EV24" s="74">
        <v>8.1742000000000004E-6</v>
      </c>
      <c r="EW24" s="74">
        <v>8.0065000000000003E-6</v>
      </c>
      <c r="EX24" s="74">
        <v>7.8421999999999992E-6</v>
      </c>
      <c r="EY24" s="74">
        <v>7.6813000000000005E-6</v>
      </c>
      <c r="EZ24" s="74">
        <v>7.5236999999999996E-6</v>
      </c>
      <c r="FA24" s="74">
        <v>7.3692999999999999E-6</v>
      </c>
      <c r="FB24" s="74">
        <v>7.2181000000000004E-6</v>
      </c>
      <c r="FC24" s="74">
        <v>7.0700000000000001E-6</v>
      </c>
      <c r="FD24" s="74">
        <v>6.9249000000000004E-6</v>
      </c>
      <c r="FE24" s="74">
        <v>6.7827999999999997E-6</v>
      </c>
      <c r="FF24" s="74">
        <v>6.6436999999999996E-6</v>
      </c>
      <c r="FG24" s="74">
        <v>6.5073999999999997E-6</v>
      </c>
      <c r="FH24" s="74">
        <v>6.3737999999999999E-6</v>
      </c>
      <c r="FI24" s="74">
        <v>6.2431000000000004E-6</v>
      </c>
      <c r="FJ24" s="74">
        <v>6.1149999999999999E-6</v>
      </c>
      <c r="FK24" s="74">
        <v>5.9895E-6</v>
      </c>
      <c r="FL24" s="74">
        <v>5.8665999999999999E-6</v>
      </c>
      <c r="FM24" s="74">
        <v>5.7462000000000001E-6</v>
      </c>
      <c r="FN24" s="74">
        <v>5.6283E-6</v>
      </c>
      <c r="FO24" s="74">
        <v>5.5128E-6</v>
      </c>
      <c r="FP24" s="74">
        <v>5.3997000000000002E-6</v>
      </c>
      <c r="FQ24" s="74">
        <v>5.2889000000000003E-6</v>
      </c>
    </row>
    <row r="25" spans="1:173" x14ac:dyDescent="0.25">
      <c r="A25" s="76">
        <v>23</v>
      </c>
      <c r="B25" s="74">
        <v>1.785139E-4</v>
      </c>
      <c r="C25" s="74">
        <v>1.749624E-4</v>
      </c>
      <c r="D25" s="74">
        <v>1.714819E-4</v>
      </c>
      <c r="E25" s="74">
        <v>1.6807120000000001E-4</v>
      </c>
      <c r="F25" s="74">
        <v>1.6472869999999999E-4</v>
      </c>
      <c r="G25" s="74">
        <v>1.6145299999999999E-4</v>
      </c>
      <c r="H25" s="74">
        <v>1.5824280000000001E-4</v>
      </c>
      <c r="I25" s="74">
        <v>1.550968E-4</v>
      </c>
      <c r="J25" s="74">
        <v>1.5201360000000001E-4</v>
      </c>
      <c r="K25" s="74">
        <v>1.48992E-4</v>
      </c>
      <c r="L25" s="74">
        <v>1.4603080000000001E-4</v>
      </c>
      <c r="M25" s="74">
        <v>1.431286E-4</v>
      </c>
      <c r="N25" s="74">
        <v>1.4028430000000001E-4</v>
      </c>
      <c r="O25" s="74">
        <v>1.374968E-4</v>
      </c>
      <c r="P25" s="74">
        <v>1.347648E-4</v>
      </c>
      <c r="Q25" s="74">
        <v>1.3208729999999999E-4</v>
      </c>
      <c r="R25" s="74">
        <v>1.294632E-4</v>
      </c>
      <c r="S25" s="74">
        <v>1.2689130000000001E-4</v>
      </c>
      <c r="T25" s="74">
        <v>1.243707E-4</v>
      </c>
      <c r="U25" s="74">
        <v>1.219003E-4</v>
      </c>
      <c r="V25" s="74">
        <v>1.1947910000000001E-4</v>
      </c>
      <c r="W25" s="74">
        <v>1.1710609999999999E-4</v>
      </c>
      <c r="X25" s="74">
        <v>1.147804E-4</v>
      </c>
      <c r="Y25" s="74">
        <v>1.1250090000000001E-4</v>
      </c>
      <c r="Z25" s="74">
        <v>1.1026680000000001E-4</v>
      </c>
      <c r="AA25" s="74">
        <v>1.080772E-4</v>
      </c>
      <c r="AB25" s="74">
        <v>1.0593110000000001E-4</v>
      </c>
      <c r="AC25" s="74">
        <v>1.038277E-4</v>
      </c>
      <c r="AD25" s="74">
        <v>1.0176609999999999E-4</v>
      </c>
      <c r="AE25" s="74">
        <v>9.9745499999999996E-5</v>
      </c>
      <c r="AF25" s="74">
        <v>9.7765100000000004E-5</v>
      </c>
      <c r="AG25" s="74">
        <v>9.5824100000000003E-5</v>
      </c>
      <c r="AH25" s="74">
        <v>9.3921700000000006E-5</v>
      </c>
      <c r="AI25" s="74">
        <v>9.2057099999999997E-5</v>
      </c>
      <c r="AJ25" s="74">
        <v>9.0229500000000001E-5</v>
      </c>
      <c r="AK25" s="74">
        <v>8.8438300000000003E-5</v>
      </c>
      <c r="AL25" s="74">
        <v>8.6682700000000003E-5</v>
      </c>
      <c r="AM25" s="74">
        <v>8.4961899999999997E-5</v>
      </c>
      <c r="AN25" s="74">
        <v>8.3275400000000006E-5</v>
      </c>
      <c r="AO25" s="74">
        <v>8.1622300000000006E-5</v>
      </c>
      <c r="AP25" s="74">
        <v>8.0002100000000004E-5</v>
      </c>
      <c r="AQ25" s="74">
        <v>7.8414100000000005E-5</v>
      </c>
      <c r="AR25" s="74">
        <v>7.6857699999999994E-5</v>
      </c>
      <c r="AS25" s="74">
        <v>7.5332099999999997E-5</v>
      </c>
      <c r="AT25" s="74">
        <v>7.3836899999999998E-5</v>
      </c>
      <c r="AU25" s="74">
        <v>7.2371299999999996E-5</v>
      </c>
      <c r="AV25" s="74">
        <v>7.0934900000000004E-5</v>
      </c>
      <c r="AW25" s="74">
        <v>6.9527E-5</v>
      </c>
      <c r="AX25" s="74">
        <v>6.8146999999999997E-5</v>
      </c>
      <c r="AY25" s="74">
        <v>6.6794500000000006E-5</v>
      </c>
      <c r="AZ25" s="74">
        <v>6.5468800000000006E-5</v>
      </c>
      <c r="BA25" s="74">
        <v>6.4169400000000003E-5</v>
      </c>
      <c r="BB25" s="74">
        <v>6.2895800000000002E-5</v>
      </c>
      <c r="BC25" s="74">
        <v>6.1647600000000002E-5</v>
      </c>
      <c r="BD25" s="74">
        <v>6.0424100000000003E-5</v>
      </c>
      <c r="BE25" s="74">
        <v>5.9224900000000003E-5</v>
      </c>
      <c r="BF25" s="74">
        <v>5.80495E-5</v>
      </c>
      <c r="BG25" s="74">
        <v>5.6897400000000002E-5</v>
      </c>
      <c r="BH25" s="74">
        <v>5.5768199999999999E-5</v>
      </c>
      <c r="BI25" s="74">
        <v>5.4661399999999998E-5</v>
      </c>
      <c r="BJ25" s="74">
        <v>5.3576599999999998E-5</v>
      </c>
      <c r="BK25" s="74">
        <v>5.2513399999999998E-5</v>
      </c>
      <c r="BL25" s="74">
        <v>5.1471200000000003E-5</v>
      </c>
      <c r="BM25" s="74">
        <v>5.0449699999999999E-5</v>
      </c>
      <c r="BN25" s="74">
        <v>4.9448499999999999E-5</v>
      </c>
      <c r="BO25" s="74">
        <v>4.8467200000000002E-5</v>
      </c>
      <c r="BP25" s="74">
        <v>4.7505400000000001E-5</v>
      </c>
      <c r="BQ25" s="74">
        <v>4.65626E-5</v>
      </c>
      <c r="BR25" s="74">
        <v>4.56386E-5</v>
      </c>
      <c r="BS25" s="74">
        <v>4.47329E-5</v>
      </c>
      <c r="BT25" s="74">
        <v>4.3845099999999998E-5</v>
      </c>
      <c r="BU25" s="74">
        <v>4.2975000000000001E-5</v>
      </c>
      <c r="BV25" s="74">
        <v>4.2122200000000001E-5</v>
      </c>
      <c r="BW25" s="74">
        <v>4.1286299999999998E-5</v>
      </c>
      <c r="BX25" s="74">
        <v>4.0466999999999997E-5</v>
      </c>
      <c r="BY25" s="74">
        <v>3.9663899999999998E-5</v>
      </c>
      <c r="BZ25" s="74">
        <v>3.88768E-5</v>
      </c>
      <c r="CA25" s="74">
        <v>3.8105300000000003E-5</v>
      </c>
      <c r="CB25" s="74">
        <v>3.7349099999999998E-5</v>
      </c>
      <c r="CC25" s="74">
        <v>3.6607999999999999E-5</v>
      </c>
      <c r="CD25" s="74">
        <v>3.5881499999999999E-5</v>
      </c>
      <c r="CE25" s="74">
        <v>3.5169400000000002E-5</v>
      </c>
      <c r="CF25" s="74">
        <v>3.4471499999999997E-5</v>
      </c>
      <c r="CG25" s="74">
        <v>3.3787500000000001E-5</v>
      </c>
      <c r="CH25" s="74">
        <v>3.3117000000000002E-5</v>
      </c>
      <c r="CI25" s="74">
        <v>3.2459799999999997E-5</v>
      </c>
      <c r="CJ25" s="74">
        <v>3.1815600000000001E-5</v>
      </c>
      <c r="CK25" s="74">
        <v>3.1184299999999999E-5</v>
      </c>
      <c r="CL25" s="74">
        <v>3.0565499999999997E-5</v>
      </c>
      <c r="CM25" s="74">
        <v>2.9958899999999999E-5</v>
      </c>
      <c r="CN25" s="74">
        <v>2.93644E-5</v>
      </c>
      <c r="CO25" s="74">
        <v>2.8781699999999999E-5</v>
      </c>
      <c r="CP25" s="74">
        <v>2.82105E-5</v>
      </c>
      <c r="CQ25" s="74">
        <v>2.7650699999999999E-5</v>
      </c>
      <c r="CR25" s="74">
        <v>2.7101999999999999E-5</v>
      </c>
      <c r="CS25" s="74">
        <v>2.6564199999999999E-5</v>
      </c>
      <c r="CT25" s="74">
        <v>2.6037099999999998E-5</v>
      </c>
      <c r="CU25" s="74">
        <v>2.55204E-5</v>
      </c>
      <c r="CV25" s="74">
        <v>2.5013900000000001E-5</v>
      </c>
      <c r="CW25" s="74">
        <v>2.4517600000000001E-5</v>
      </c>
      <c r="CX25" s="74">
        <v>2.4031000000000001E-5</v>
      </c>
      <c r="CY25" s="74">
        <v>2.3554199999999999E-5</v>
      </c>
      <c r="CZ25" s="74">
        <v>2.30867E-5</v>
      </c>
      <c r="DA25" s="74">
        <v>2.2628599999999999E-5</v>
      </c>
      <c r="DB25" s="74">
        <v>2.21796E-5</v>
      </c>
      <c r="DC25" s="74">
        <v>2.1739400000000001E-5</v>
      </c>
      <c r="DD25" s="74">
        <v>2.1308E-5</v>
      </c>
      <c r="DE25" s="74">
        <v>2.0885200000000001E-5</v>
      </c>
      <c r="DF25" s="74">
        <v>2.0470800000000001E-5</v>
      </c>
      <c r="DG25" s="74">
        <v>2.0064500000000001E-5</v>
      </c>
      <c r="DH25" s="74">
        <v>1.9666399999999999E-5</v>
      </c>
      <c r="DI25" s="74">
        <v>1.92761E-5</v>
      </c>
      <c r="DJ25" s="74">
        <v>1.8893600000000002E-5</v>
      </c>
      <c r="DK25" s="74">
        <v>1.8518699999999999E-5</v>
      </c>
      <c r="DL25" s="74">
        <v>1.81512E-5</v>
      </c>
      <c r="DM25" s="74">
        <v>1.7791E-5</v>
      </c>
      <c r="DN25" s="74">
        <v>1.7438000000000001E-5</v>
      </c>
      <c r="DO25" s="74">
        <v>1.7091900000000001E-5</v>
      </c>
      <c r="DP25" s="74">
        <v>1.67527E-5</v>
      </c>
      <c r="DQ25" s="74">
        <v>1.6420299999999999E-5</v>
      </c>
      <c r="DR25" s="74">
        <v>1.60945E-5</v>
      </c>
      <c r="DS25" s="74">
        <v>1.5775100000000001E-5</v>
      </c>
      <c r="DT25" s="74">
        <v>1.5461999999999999E-5</v>
      </c>
      <c r="DU25" s="74">
        <v>1.51552E-5</v>
      </c>
      <c r="DV25" s="74">
        <v>1.48545E-5</v>
      </c>
      <c r="DW25" s="74">
        <v>1.4559700000000001E-5</v>
      </c>
      <c r="DX25" s="74">
        <v>1.4270800000000001E-5</v>
      </c>
      <c r="DY25" s="74">
        <v>1.39876E-5</v>
      </c>
      <c r="DZ25" s="74">
        <v>1.3709999999999999E-5</v>
      </c>
      <c r="EA25" s="74">
        <v>1.3438000000000001E-5</v>
      </c>
      <c r="EB25" s="74">
        <v>1.31713E-5</v>
      </c>
      <c r="EC25" s="74">
        <v>1.29099E-5</v>
      </c>
      <c r="ED25" s="74">
        <v>1.26537E-5</v>
      </c>
      <c r="EE25" s="74">
        <v>1.24026E-5</v>
      </c>
      <c r="EF25" s="74">
        <v>1.21565E-5</v>
      </c>
      <c r="EG25" s="74">
        <v>1.1915299999999999E-5</v>
      </c>
      <c r="EH25" s="74">
        <v>1.1678800000000001E-5</v>
      </c>
      <c r="EI25" s="74">
        <v>1.1447099999999999E-5</v>
      </c>
      <c r="EJ25" s="74">
        <v>1.1219900000000001E-5</v>
      </c>
      <c r="EK25" s="74">
        <v>1.0997300000000001E-5</v>
      </c>
      <c r="EL25" s="74">
        <v>1.07791E-5</v>
      </c>
      <c r="EM25" s="74">
        <v>1.05652E-5</v>
      </c>
      <c r="EN25" s="74">
        <v>1.0355499999999999E-5</v>
      </c>
      <c r="EO25" s="74">
        <v>1.0149999999999999E-5</v>
      </c>
      <c r="EP25" s="74">
        <v>9.9485999999999999E-6</v>
      </c>
      <c r="EQ25" s="74">
        <v>9.7512000000000008E-6</v>
      </c>
      <c r="ER25" s="74">
        <v>9.5577E-6</v>
      </c>
      <c r="ES25" s="74">
        <v>9.3680000000000008E-6</v>
      </c>
      <c r="ET25" s="74">
        <v>9.1820999999999997E-6</v>
      </c>
      <c r="EU25" s="74">
        <v>8.9999E-6</v>
      </c>
      <c r="EV25" s="74">
        <v>8.8212999999999997E-6</v>
      </c>
      <c r="EW25" s="74">
        <v>8.6463000000000005E-6</v>
      </c>
      <c r="EX25" s="74">
        <v>8.4747000000000004E-6</v>
      </c>
      <c r="EY25" s="74">
        <v>8.3064999999999992E-6</v>
      </c>
      <c r="EZ25" s="74">
        <v>8.1417000000000003E-6</v>
      </c>
      <c r="FA25" s="74">
        <v>7.9801E-6</v>
      </c>
      <c r="FB25" s="74">
        <v>7.8217E-6</v>
      </c>
      <c r="FC25" s="74">
        <v>7.6665000000000002E-6</v>
      </c>
      <c r="FD25" s="74">
        <v>7.5143999999999996E-6</v>
      </c>
      <c r="FE25" s="74">
        <v>7.3652999999999996E-6</v>
      </c>
      <c r="FF25" s="74">
        <v>7.2191000000000001E-6</v>
      </c>
      <c r="FG25" s="74">
        <v>7.0759000000000003E-6</v>
      </c>
      <c r="FH25" s="74">
        <v>6.9354999999999999E-6</v>
      </c>
      <c r="FI25" s="74">
        <v>6.7978000000000004E-6</v>
      </c>
      <c r="FJ25" s="74">
        <v>6.6629000000000002E-6</v>
      </c>
      <c r="FK25" s="74">
        <v>6.5307E-6</v>
      </c>
      <c r="FL25" s="74">
        <v>6.4010999999999996E-6</v>
      </c>
      <c r="FM25" s="74">
        <v>6.2740999999999998E-6</v>
      </c>
      <c r="FN25" s="74">
        <v>6.1496000000000004E-6</v>
      </c>
      <c r="FO25" s="74">
        <v>6.0275999999999997E-6</v>
      </c>
      <c r="FP25" s="74">
        <v>5.9078999999999998E-6</v>
      </c>
      <c r="FQ25" s="74">
        <v>5.7907000000000003E-6</v>
      </c>
    </row>
    <row r="26" spans="1:173" x14ac:dyDescent="0.25">
      <c r="A26" s="76">
        <v>24</v>
      </c>
      <c r="B26" s="74">
        <v>1.7237829999999999E-4</v>
      </c>
      <c r="C26" s="74">
        <v>1.68968E-4</v>
      </c>
      <c r="D26" s="74">
        <v>1.6562179999999999E-4</v>
      </c>
      <c r="E26" s="74">
        <v>1.6233870000000001E-4</v>
      </c>
      <c r="F26" s="74">
        <v>1.5911770000000001E-4</v>
      </c>
      <c r="G26" s="74">
        <v>1.5595790000000001E-4</v>
      </c>
      <c r="H26" s="74">
        <v>1.5285839999999999E-4</v>
      </c>
      <c r="I26" s="74">
        <v>1.498181E-4</v>
      </c>
      <c r="J26" s="74">
        <v>1.4683599999999999E-4</v>
      </c>
      <c r="K26" s="74">
        <v>1.4391130000000001E-4</v>
      </c>
      <c r="L26" s="74">
        <v>1.4104300000000001E-4</v>
      </c>
      <c r="M26" s="74">
        <v>1.3823000000000001E-4</v>
      </c>
      <c r="N26" s="74">
        <v>1.3547160000000001E-4</v>
      </c>
      <c r="O26" s="74">
        <v>1.327666E-4</v>
      </c>
      <c r="P26" s="74">
        <v>1.3011429999999999E-4</v>
      </c>
      <c r="Q26" s="74">
        <v>1.2751360000000001E-4</v>
      </c>
      <c r="R26" s="74">
        <v>1.2496370000000001E-4</v>
      </c>
      <c r="S26" s="74">
        <v>1.224637E-4</v>
      </c>
      <c r="T26" s="74">
        <v>1.200126E-4</v>
      </c>
      <c r="U26" s="74">
        <v>1.1760960000000001E-4</v>
      </c>
      <c r="V26" s="74">
        <v>1.152538E-4</v>
      </c>
      <c r="W26" s="74">
        <v>1.129444E-4</v>
      </c>
      <c r="X26" s="74">
        <v>1.1068040000000001E-4</v>
      </c>
      <c r="Y26" s="74">
        <v>1.084611E-4</v>
      </c>
      <c r="Z26" s="74">
        <v>1.062856E-4</v>
      </c>
      <c r="AA26" s="74">
        <v>1.041531E-4</v>
      </c>
      <c r="AB26" s="74">
        <v>1.020628E-4</v>
      </c>
      <c r="AC26" s="74">
        <v>1.000139E-4</v>
      </c>
      <c r="AD26" s="74">
        <v>9.8005700000000003E-5</v>
      </c>
      <c r="AE26" s="74">
        <v>9.6037299999999996E-5</v>
      </c>
      <c r="AF26" s="74">
        <v>9.4108000000000001E-5</v>
      </c>
      <c r="AG26" s="74">
        <v>9.2217000000000002E-5</v>
      </c>
      <c r="AH26" s="74">
        <v>9.0363699999999997E-5</v>
      </c>
      <c r="AI26" s="74">
        <v>8.8547200000000005E-5</v>
      </c>
      <c r="AJ26" s="74">
        <v>8.6767000000000005E-5</v>
      </c>
      <c r="AK26" s="74">
        <v>8.5022200000000001E-5</v>
      </c>
      <c r="AL26" s="74">
        <v>8.3312299999999999E-5</v>
      </c>
      <c r="AM26" s="74">
        <v>8.1636400000000003E-5</v>
      </c>
      <c r="AN26" s="74">
        <v>7.99941E-5</v>
      </c>
      <c r="AO26" s="74">
        <v>7.8384499999999995E-5</v>
      </c>
      <c r="AP26" s="74">
        <v>7.6807100000000005E-5</v>
      </c>
      <c r="AQ26" s="74">
        <v>7.5261300000000004E-5</v>
      </c>
      <c r="AR26" s="74">
        <v>7.3746399999999996E-5</v>
      </c>
      <c r="AS26" s="74">
        <v>7.2261800000000007E-5</v>
      </c>
      <c r="AT26" s="74">
        <v>7.0806899999999995E-5</v>
      </c>
      <c r="AU26" s="74">
        <v>6.9381200000000006E-5</v>
      </c>
      <c r="AV26" s="74">
        <v>6.7984099999999998E-5</v>
      </c>
      <c r="AW26" s="74">
        <v>6.6614999999999998E-5</v>
      </c>
      <c r="AX26" s="74">
        <v>6.5273300000000004E-5</v>
      </c>
      <c r="AY26" s="74">
        <v>6.3958600000000001E-5</v>
      </c>
      <c r="AZ26" s="74">
        <v>6.2670199999999995E-5</v>
      </c>
      <c r="BA26" s="74">
        <v>6.1407699999999998E-5</v>
      </c>
      <c r="BB26" s="74">
        <v>6.0170500000000003E-5</v>
      </c>
      <c r="BC26" s="74">
        <v>5.8958200000000001E-5</v>
      </c>
      <c r="BD26" s="74">
        <v>5.7770199999999998E-5</v>
      </c>
      <c r="BE26" s="74">
        <v>5.66061E-5</v>
      </c>
      <c r="BF26" s="74">
        <v>5.5465299999999999E-5</v>
      </c>
      <c r="BG26" s="74">
        <v>5.4347600000000001E-5</v>
      </c>
      <c r="BH26" s="74">
        <v>5.3252199999999998E-5</v>
      </c>
      <c r="BI26" s="74">
        <v>5.2178900000000003E-5</v>
      </c>
      <c r="BJ26" s="74">
        <v>5.1127200000000001E-5</v>
      </c>
      <c r="BK26" s="74">
        <v>5.0096699999999998E-5</v>
      </c>
      <c r="BL26" s="74">
        <v>4.9086799999999999E-5</v>
      </c>
      <c r="BM26" s="74">
        <v>4.8097299999999998E-5</v>
      </c>
      <c r="BN26" s="74">
        <v>4.7127699999999999E-5</v>
      </c>
      <c r="BO26" s="74">
        <v>4.6177600000000003E-5</v>
      </c>
      <c r="BP26" s="74">
        <v>4.5246600000000001E-5</v>
      </c>
      <c r="BQ26" s="74">
        <v>4.43344E-5</v>
      </c>
      <c r="BR26" s="74">
        <v>4.3440499999999999E-5</v>
      </c>
      <c r="BS26" s="74">
        <v>4.2564700000000003E-5</v>
      </c>
      <c r="BT26" s="74">
        <v>4.1706399999999998E-5</v>
      </c>
      <c r="BU26" s="74">
        <v>4.0865499999999997E-5</v>
      </c>
      <c r="BV26" s="74">
        <v>4.0041499999999999E-5</v>
      </c>
      <c r="BW26" s="74">
        <v>3.9234099999999998E-5</v>
      </c>
      <c r="BX26" s="74">
        <v>3.8442899999999997E-5</v>
      </c>
      <c r="BY26" s="74">
        <v>3.7667699999999999E-5</v>
      </c>
      <c r="BZ26" s="74">
        <v>3.69081E-5</v>
      </c>
      <c r="CA26" s="74">
        <v>3.6163800000000001E-5</v>
      </c>
      <c r="CB26" s="74">
        <v>3.5434500000000001E-5</v>
      </c>
      <c r="CC26" s="74">
        <v>3.4719899999999999E-5</v>
      </c>
      <c r="CD26" s="74">
        <v>3.4019700000000002E-5</v>
      </c>
      <c r="CE26" s="74">
        <v>3.3333600000000002E-5</v>
      </c>
      <c r="CF26" s="74">
        <v>3.2661299999999998E-5</v>
      </c>
      <c r="CG26" s="74">
        <v>3.2002599999999997E-5</v>
      </c>
      <c r="CH26" s="74">
        <v>3.1357199999999999E-5</v>
      </c>
      <c r="CI26" s="74">
        <v>3.0724700000000001E-5</v>
      </c>
      <c r="CJ26" s="74">
        <v>3.0105100000000001E-5</v>
      </c>
      <c r="CK26" s="74">
        <v>2.9497900000000001E-5</v>
      </c>
      <c r="CL26" s="74">
        <v>2.8902900000000001E-5</v>
      </c>
      <c r="CM26" s="74">
        <v>2.832E-5</v>
      </c>
      <c r="CN26" s="74">
        <v>2.7748800000000001E-5</v>
      </c>
      <c r="CO26" s="74">
        <v>2.71891E-5</v>
      </c>
      <c r="CP26" s="74">
        <v>2.6640700000000001E-5</v>
      </c>
      <c r="CQ26" s="74">
        <v>2.6103300000000001E-5</v>
      </c>
      <c r="CR26" s="74">
        <v>2.5576799999999999E-5</v>
      </c>
      <c r="CS26" s="74">
        <v>2.5060899999999999E-5</v>
      </c>
      <c r="CT26" s="74">
        <v>2.4555399999999999E-5</v>
      </c>
      <c r="CU26" s="74">
        <v>2.40601E-5</v>
      </c>
      <c r="CV26" s="74">
        <v>2.35748E-5</v>
      </c>
      <c r="CW26" s="74">
        <v>2.3099300000000001E-5</v>
      </c>
      <c r="CX26" s="74">
        <v>2.2633299999999999E-5</v>
      </c>
      <c r="CY26" s="74">
        <v>2.2176800000000001E-5</v>
      </c>
      <c r="CZ26" s="74">
        <v>2.1729399999999999E-5</v>
      </c>
      <c r="DA26" s="74">
        <v>2.12911E-5</v>
      </c>
      <c r="DB26" s="74">
        <v>2.08616E-5</v>
      </c>
      <c r="DC26" s="74">
        <v>2.0440799999999999E-5</v>
      </c>
      <c r="DD26" s="74">
        <v>2.00285E-5</v>
      </c>
      <c r="DE26" s="74">
        <v>1.9624500000000002E-5</v>
      </c>
      <c r="DF26" s="74">
        <v>1.9228600000000001E-5</v>
      </c>
      <c r="DG26" s="74">
        <v>1.8840700000000001E-5</v>
      </c>
      <c r="DH26" s="74">
        <v>1.8460700000000001E-5</v>
      </c>
      <c r="DI26" s="74">
        <v>1.8088300000000001E-5</v>
      </c>
      <c r="DJ26" s="74">
        <v>1.77234E-5</v>
      </c>
      <c r="DK26" s="74">
        <v>1.7365899999999999E-5</v>
      </c>
      <c r="DL26" s="74">
        <v>1.70156E-5</v>
      </c>
      <c r="DM26" s="74">
        <v>1.66723E-5</v>
      </c>
      <c r="DN26" s="74">
        <v>1.6336000000000001E-5</v>
      </c>
      <c r="DO26" s="74">
        <v>1.60065E-5</v>
      </c>
      <c r="DP26" s="74">
        <v>1.56836E-5</v>
      </c>
      <c r="DQ26" s="74">
        <v>1.5367200000000001E-5</v>
      </c>
      <c r="DR26" s="74">
        <v>1.50572E-5</v>
      </c>
      <c r="DS26" s="74">
        <v>1.47535E-5</v>
      </c>
      <c r="DT26" s="74">
        <v>1.44559E-5</v>
      </c>
      <c r="DU26" s="74">
        <v>1.4164200000000001E-5</v>
      </c>
      <c r="DV26" s="74">
        <v>1.3878499999999999E-5</v>
      </c>
      <c r="DW26" s="74">
        <v>1.35985E-5</v>
      </c>
      <c r="DX26" s="74">
        <v>1.33242E-5</v>
      </c>
      <c r="DY26" s="74">
        <v>1.30554E-5</v>
      </c>
      <c r="DZ26" s="74">
        <v>1.2792100000000001E-5</v>
      </c>
      <c r="EA26" s="74">
        <v>1.2534000000000001E-5</v>
      </c>
      <c r="EB26" s="74">
        <v>1.22812E-5</v>
      </c>
      <c r="EC26" s="74">
        <v>1.2033400000000001E-5</v>
      </c>
      <c r="ED26" s="74">
        <v>1.17907E-5</v>
      </c>
      <c r="EE26" s="74">
        <v>1.1552800000000001E-5</v>
      </c>
      <c r="EF26" s="74">
        <v>1.13198E-5</v>
      </c>
      <c r="EG26" s="74">
        <v>1.10914E-5</v>
      </c>
      <c r="EH26" s="74">
        <v>1.0867699999999999E-5</v>
      </c>
      <c r="EI26" s="74">
        <v>1.06484E-5</v>
      </c>
      <c r="EJ26" s="74">
        <v>1.04336E-5</v>
      </c>
      <c r="EK26" s="74">
        <v>1.02231E-5</v>
      </c>
      <c r="EL26" s="74">
        <v>1.0016900000000001E-5</v>
      </c>
      <c r="EM26" s="74">
        <v>9.8147999999999996E-6</v>
      </c>
      <c r="EN26" s="74">
        <v>9.6168000000000008E-6</v>
      </c>
      <c r="EO26" s="74">
        <v>9.4228000000000007E-6</v>
      </c>
      <c r="EP26" s="74">
        <v>9.2328000000000008E-6</v>
      </c>
      <c r="EQ26" s="74">
        <v>9.0465000000000005E-6</v>
      </c>
      <c r="ER26" s="74">
        <v>8.8640000000000002E-6</v>
      </c>
      <c r="ES26" s="74">
        <v>8.6851999999999994E-6</v>
      </c>
      <c r="ET26" s="74">
        <v>8.5099999999999998E-6</v>
      </c>
      <c r="EU26" s="74">
        <v>8.3382999999999994E-6</v>
      </c>
      <c r="EV26" s="74">
        <v>8.1700999999999999E-6</v>
      </c>
      <c r="EW26" s="74">
        <v>8.0052999999999994E-6</v>
      </c>
      <c r="EX26" s="74">
        <v>7.8437999999999993E-6</v>
      </c>
      <c r="EY26" s="74">
        <v>7.6854999999999995E-6</v>
      </c>
      <c r="EZ26" s="74">
        <v>7.5305000000000002E-6</v>
      </c>
      <c r="FA26" s="74">
        <v>7.3786E-6</v>
      </c>
      <c r="FB26" s="74">
        <v>7.2297000000000004E-6</v>
      </c>
      <c r="FC26" s="74">
        <v>7.0839000000000001E-6</v>
      </c>
      <c r="FD26" s="74">
        <v>6.9410000000000001E-6</v>
      </c>
      <c r="FE26" s="74">
        <v>6.8009999999999998E-6</v>
      </c>
      <c r="FF26" s="74">
        <v>6.6637999999999996E-6</v>
      </c>
      <c r="FG26" s="74">
        <v>6.5293000000000003E-6</v>
      </c>
      <c r="FH26" s="74">
        <v>6.3976000000000004E-6</v>
      </c>
      <c r="FI26" s="74">
        <v>6.2685999999999996E-6</v>
      </c>
      <c r="FJ26" s="74">
        <v>6.1421E-6</v>
      </c>
      <c r="FK26" s="74">
        <v>6.0182000000000002E-6</v>
      </c>
      <c r="FL26" s="74">
        <v>5.8968E-6</v>
      </c>
      <c r="FM26" s="74">
        <v>5.7778E-6</v>
      </c>
      <c r="FN26" s="74">
        <v>5.6613000000000003E-6</v>
      </c>
      <c r="FO26" s="74">
        <v>5.5470999999999998E-6</v>
      </c>
      <c r="FP26" s="74">
        <v>5.4352000000000001E-6</v>
      </c>
      <c r="FQ26" s="74">
        <v>5.3255000000000001E-6</v>
      </c>
    </row>
    <row r="27" spans="1:173" x14ac:dyDescent="0.25">
      <c r="A27" s="76">
        <v>25</v>
      </c>
      <c r="B27" s="74">
        <v>1.9449699999999999E-4</v>
      </c>
      <c r="C27" s="74">
        <v>1.9075299999999999E-4</v>
      </c>
      <c r="D27" s="74">
        <v>1.870765E-4</v>
      </c>
      <c r="E27" s="74">
        <v>1.8346660000000001E-4</v>
      </c>
      <c r="F27" s="74">
        <v>1.799224E-4</v>
      </c>
      <c r="G27" s="74">
        <v>1.76443E-4</v>
      </c>
      <c r="H27" s="74">
        <v>1.730274E-4</v>
      </c>
      <c r="I27" s="74">
        <v>1.696748E-4</v>
      </c>
      <c r="J27" s="74">
        <v>1.6638420000000001E-4</v>
      </c>
      <c r="K27" s="74">
        <v>1.631546E-4</v>
      </c>
      <c r="L27" s="74">
        <v>1.5998520000000001E-4</v>
      </c>
      <c r="M27" s="74">
        <v>1.568749E-4</v>
      </c>
      <c r="N27" s="74">
        <v>1.5382300000000001E-4</v>
      </c>
      <c r="O27" s="74">
        <v>1.5082830000000001E-4</v>
      </c>
      <c r="P27" s="74">
        <v>1.4789E-4</v>
      </c>
      <c r="Q27" s="74">
        <v>1.4500710000000001E-4</v>
      </c>
      <c r="R27" s="74">
        <v>1.4217879999999999E-4</v>
      </c>
      <c r="S27" s="74">
        <v>1.394042E-4</v>
      </c>
      <c r="T27" s="74">
        <v>1.3668219999999999E-4</v>
      </c>
      <c r="U27" s="74">
        <v>1.3401210000000001E-4</v>
      </c>
      <c r="V27" s="74">
        <v>1.3139280000000001E-4</v>
      </c>
      <c r="W27" s="74">
        <v>1.2882369999999999E-4</v>
      </c>
      <c r="X27" s="74">
        <v>1.2630359999999999E-4</v>
      </c>
      <c r="Y27" s="74">
        <v>1.2383190000000001E-4</v>
      </c>
      <c r="Z27" s="74">
        <v>1.2140770000000001E-4</v>
      </c>
      <c r="AA27" s="74">
        <v>1.1903E-4</v>
      </c>
      <c r="AB27" s="74">
        <v>1.1669810000000001E-4</v>
      </c>
      <c r="AC27" s="74">
        <v>1.1441110000000001E-4</v>
      </c>
      <c r="AD27" s="74">
        <v>1.1216829999999999E-4</v>
      </c>
      <c r="AE27" s="74">
        <v>1.099687E-4</v>
      </c>
      <c r="AF27" s="74">
        <v>1.078117E-4</v>
      </c>
      <c r="AG27" s="74">
        <v>1.0569649999999999E-4</v>
      </c>
      <c r="AH27" s="74">
        <v>1.0362220000000001E-4</v>
      </c>
      <c r="AI27" s="74">
        <v>1.015882E-4</v>
      </c>
      <c r="AJ27" s="74">
        <v>9.9593700000000002E-5</v>
      </c>
      <c r="AK27" s="74">
        <v>9.7637800000000002E-5</v>
      </c>
      <c r="AL27" s="74">
        <v>9.5720100000000005E-5</v>
      </c>
      <c r="AM27" s="74">
        <v>9.3839599999999995E-5</v>
      </c>
      <c r="AN27" s="74">
        <v>9.1995699999999997E-5</v>
      </c>
      <c r="AO27" s="74">
        <v>9.0187700000000004E-5</v>
      </c>
      <c r="AP27" s="74">
        <v>8.8415E-5</v>
      </c>
      <c r="AQ27" s="74">
        <v>8.6676900000000004E-5</v>
      </c>
      <c r="AR27" s="74">
        <v>8.4972699999999994E-5</v>
      </c>
      <c r="AS27" s="74">
        <v>8.3301700000000002E-5</v>
      </c>
      <c r="AT27" s="74">
        <v>8.1663399999999995E-5</v>
      </c>
      <c r="AU27" s="74">
        <v>8.0057199999999996E-5</v>
      </c>
      <c r="AV27" s="74">
        <v>7.8482300000000006E-5</v>
      </c>
      <c r="AW27" s="74">
        <v>7.6938200000000001E-5</v>
      </c>
      <c r="AX27" s="74">
        <v>7.5424400000000002E-5</v>
      </c>
      <c r="AY27" s="74">
        <v>7.3940099999999994E-5</v>
      </c>
      <c r="AZ27" s="74">
        <v>7.2484999999999995E-5</v>
      </c>
      <c r="BA27" s="74">
        <v>7.1058399999999997E-5</v>
      </c>
      <c r="BB27" s="74">
        <v>6.96597E-5</v>
      </c>
      <c r="BC27" s="74">
        <v>6.8288399999999995E-5</v>
      </c>
      <c r="BD27" s="74">
        <v>6.6944000000000001E-5</v>
      </c>
      <c r="BE27" s="74">
        <v>6.5625999999999998E-5</v>
      </c>
      <c r="BF27" s="74">
        <v>6.4333900000000004E-5</v>
      </c>
      <c r="BG27" s="74">
        <v>6.3067100000000005E-5</v>
      </c>
      <c r="BH27" s="74">
        <v>6.1825199999999999E-5</v>
      </c>
      <c r="BI27" s="74">
        <v>6.0607599999999999E-5</v>
      </c>
      <c r="BJ27" s="74">
        <v>5.9413999999999997E-5</v>
      </c>
      <c r="BK27" s="74">
        <v>5.82438E-5</v>
      </c>
      <c r="BL27" s="74">
        <v>5.7096599999999998E-5</v>
      </c>
      <c r="BM27" s="74">
        <v>5.5971899999999999E-5</v>
      </c>
      <c r="BN27" s="74">
        <v>5.48694E-5</v>
      </c>
      <c r="BO27" s="74">
        <v>5.3788500000000002E-5</v>
      </c>
      <c r="BP27" s="74">
        <v>5.2728900000000003E-5</v>
      </c>
      <c r="BQ27" s="74">
        <v>5.1690100000000002E-5</v>
      </c>
      <c r="BR27" s="74">
        <v>5.0671699999999998E-5</v>
      </c>
      <c r="BS27" s="74">
        <v>4.9673399999999998E-5</v>
      </c>
      <c r="BT27" s="74">
        <v>4.86946E-5</v>
      </c>
      <c r="BU27" s="74">
        <v>4.7735200000000003E-5</v>
      </c>
      <c r="BV27" s="74">
        <v>4.6794600000000001E-5</v>
      </c>
      <c r="BW27" s="74">
        <v>4.5872499999999998E-5</v>
      </c>
      <c r="BX27" s="74">
        <v>4.4968600000000002E-5</v>
      </c>
      <c r="BY27" s="74">
        <v>4.4082499999999997E-5</v>
      </c>
      <c r="BZ27" s="74">
        <v>4.3213800000000003E-5</v>
      </c>
      <c r="CA27" s="74">
        <v>4.2362199999999999E-5</v>
      </c>
      <c r="CB27" s="74">
        <v>4.1527299999999998E-5</v>
      </c>
      <c r="CC27" s="74">
        <v>4.0708899999999999E-5</v>
      </c>
      <c r="CD27" s="74">
        <v>3.9906700000000002E-5</v>
      </c>
      <c r="CE27" s="74">
        <v>3.9120199999999999E-5</v>
      </c>
      <c r="CF27" s="74">
        <v>3.8349200000000002E-5</v>
      </c>
      <c r="CG27" s="74">
        <v>3.7593299999999998E-5</v>
      </c>
      <c r="CH27" s="74">
        <v>3.68524E-5</v>
      </c>
      <c r="CI27" s="74">
        <v>3.61261E-5</v>
      </c>
      <c r="CJ27" s="74">
        <v>3.5413999999999997E-5</v>
      </c>
      <c r="CK27" s="74">
        <v>3.4715999999999998E-5</v>
      </c>
      <c r="CL27" s="74">
        <v>3.4031700000000001E-5</v>
      </c>
      <c r="CM27" s="74">
        <v>3.3360900000000001E-5</v>
      </c>
      <c r="CN27" s="74">
        <v>3.2703400000000003E-5</v>
      </c>
      <c r="CO27" s="74">
        <v>3.2058799999999999E-5</v>
      </c>
      <c r="CP27" s="74">
        <v>3.1426800000000002E-5</v>
      </c>
      <c r="CQ27" s="74">
        <v>3.0807399999999999E-5</v>
      </c>
      <c r="CR27" s="74">
        <v>3.0200099999999999E-5</v>
      </c>
      <c r="CS27" s="74">
        <v>2.9604800000000002E-5</v>
      </c>
      <c r="CT27" s="74">
        <v>2.9021199999999999E-5</v>
      </c>
      <c r="CU27" s="74">
        <v>2.8449199999999999E-5</v>
      </c>
      <c r="CV27" s="74">
        <v>2.7888399999999999E-5</v>
      </c>
      <c r="CW27" s="74">
        <v>2.7338599999999999E-5</v>
      </c>
      <c r="CX27" s="74">
        <v>2.67997E-5</v>
      </c>
      <c r="CY27" s="74">
        <v>2.6271400000000001E-5</v>
      </c>
      <c r="CZ27" s="74">
        <v>2.57535E-5</v>
      </c>
      <c r="DA27" s="74">
        <v>2.5245800000000001E-5</v>
      </c>
      <c r="DB27" s="74">
        <v>2.4748200000000001E-5</v>
      </c>
      <c r="DC27" s="74">
        <v>2.4260299999999999E-5</v>
      </c>
      <c r="DD27" s="74">
        <v>2.3782E-5</v>
      </c>
      <c r="DE27" s="74">
        <v>2.3313199999999999E-5</v>
      </c>
      <c r="DF27" s="74">
        <v>2.2853600000000001E-5</v>
      </c>
      <c r="DG27" s="74">
        <v>2.2403099999999999E-5</v>
      </c>
      <c r="DH27" s="74">
        <v>2.19615E-5</v>
      </c>
      <c r="DI27" s="74">
        <v>2.1528499999999999E-5</v>
      </c>
      <c r="DJ27" s="74">
        <v>2.11041E-5</v>
      </c>
      <c r="DK27" s="74">
        <v>2.0688099999999999E-5</v>
      </c>
      <c r="DL27" s="74">
        <v>2.0280199999999999E-5</v>
      </c>
      <c r="DM27" s="74">
        <v>1.98804E-5</v>
      </c>
      <c r="DN27" s="74">
        <v>1.9488500000000002E-5</v>
      </c>
      <c r="DO27" s="74">
        <v>1.9104299999999999E-5</v>
      </c>
      <c r="DP27" s="74">
        <v>1.87277E-5</v>
      </c>
      <c r="DQ27" s="74">
        <v>1.83585E-5</v>
      </c>
      <c r="DR27" s="74">
        <v>1.79965E-5</v>
      </c>
      <c r="DS27" s="74">
        <v>1.7641800000000001E-5</v>
      </c>
      <c r="DT27" s="74">
        <v>1.7294000000000001E-5</v>
      </c>
      <c r="DU27" s="74">
        <v>1.6952999999999998E-5</v>
      </c>
      <c r="DV27" s="74">
        <v>1.6618800000000001E-5</v>
      </c>
      <c r="DW27" s="74">
        <v>1.6291200000000001E-5</v>
      </c>
      <c r="DX27" s="74">
        <v>1.5970000000000001E-5</v>
      </c>
      <c r="DY27" s="74">
        <v>1.5655099999999999E-5</v>
      </c>
      <c r="DZ27" s="74">
        <v>1.53465E-5</v>
      </c>
      <c r="EA27" s="74">
        <v>1.5044E-5</v>
      </c>
      <c r="EB27" s="74">
        <v>1.47474E-5</v>
      </c>
      <c r="EC27" s="74">
        <v>1.44566E-5</v>
      </c>
      <c r="ED27" s="74">
        <v>1.41716E-5</v>
      </c>
      <c r="EE27" s="74">
        <v>1.3892200000000001E-5</v>
      </c>
      <c r="EF27" s="74">
        <v>1.36184E-5</v>
      </c>
      <c r="EG27" s="74">
        <v>1.3349900000000001E-5</v>
      </c>
      <c r="EH27" s="74">
        <v>1.30867E-5</v>
      </c>
      <c r="EI27" s="74">
        <v>1.28287E-5</v>
      </c>
      <c r="EJ27" s="74">
        <v>1.2575800000000001E-5</v>
      </c>
      <c r="EK27" s="74">
        <v>1.2327800000000001E-5</v>
      </c>
      <c r="EL27" s="74">
        <v>1.20848E-5</v>
      </c>
      <c r="EM27" s="74">
        <v>1.1846500000000001E-5</v>
      </c>
      <c r="EN27" s="74">
        <v>1.1613E-5</v>
      </c>
      <c r="EO27" s="74">
        <v>1.1384E-5</v>
      </c>
      <c r="EP27" s="74">
        <v>1.1159600000000001E-5</v>
      </c>
      <c r="EQ27" s="74">
        <v>1.0939599999999999E-5</v>
      </c>
      <c r="ER27" s="74">
        <v>1.0723900000000001E-5</v>
      </c>
      <c r="ES27" s="74">
        <v>1.05125E-5</v>
      </c>
      <c r="ET27" s="74">
        <v>1.0305199999999999E-5</v>
      </c>
      <c r="EU27" s="74">
        <v>1.0102099999999999E-5</v>
      </c>
      <c r="EV27" s="74">
        <v>9.9028999999999997E-6</v>
      </c>
      <c r="EW27" s="74">
        <v>9.7077000000000002E-6</v>
      </c>
      <c r="EX27" s="74">
        <v>9.5163000000000007E-6</v>
      </c>
      <c r="EY27" s="74">
        <v>9.3286999999999993E-6</v>
      </c>
      <c r="EZ27" s="74">
        <v>9.1447999999999992E-6</v>
      </c>
      <c r="FA27" s="74">
        <v>8.9645000000000003E-6</v>
      </c>
      <c r="FB27" s="74">
        <v>8.7877000000000006E-6</v>
      </c>
      <c r="FC27" s="74">
        <v>8.6145000000000003E-6</v>
      </c>
      <c r="FD27" s="74">
        <v>8.4446000000000004E-6</v>
      </c>
      <c r="FE27" s="74">
        <v>8.2781999999999998E-6</v>
      </c>
      <c r="FF27" s="74">
        <v>8.1148999999999992E-6</v>
      </c>
      <c r="FG27" s="74">
        <v>7.9549999999999992E-6</v>
      </c>
      <c r="FH27" s="74">
        <v>7.7981000000000008E-6</v>
      </c>
      <c r="FI27" s="74">
        <v>7.6443999999999992E-6</v>
      </c>
      <c r="FJ27" s="74">
        <v>7.4936999999999999E-6</v>
      </c>
      <c r="FK27" s="74">
        <v>7.3459000000000003E-6</v>
      </c>
      <c r="FL27" s="74">
        <v>7.2011000000000004E-6</v>
      </c>
      <c r="FM27" s="74">
        <v>7.0590999999999999E-6</v>
      </c>
      <c r="FN27" s="74">
        <v>6.9199999999999998E-6</v>
      </c>
      <c r="FO27" s="74">
        <v>6.7835000000000004E-6</v>
      </c>
      <c r="FP27" s="74">
        <v>6.6498000000000003E-6</v>
      </c>
      <c r="FQ27" s="74">
        <v>6.5186999999999999E-6</v>
      </c>
    </row>
    <row r="28" spans="1:173" x14ac:dyDescent="0.25">
      <c r="A28" s="76">
        <v>26</v>
      </c>
      <c r="B28" s="74">
        <v>2.0143259999999999E-4</v>
      </c>
      <c r="C28" s="74">
        <v>1.977123E-4</v>
      </c>
      <c r="D28" s="74">
        <v>1.940558E-4</v>
      </c>
      <c r="E28" s="74">
        <v>1.9046239999999999E-4</v>
      </c>
      <c r="F28" s="74">
        <v>1.869312E-4</v>
      </c>
      <c r="G28" s="74">
        <v>1.8346150000000001E-4</v>
      </c>
      <c r="H28" s="74">
        <v>1.800525E-4</v>
      </c>
      <c r="I28" s="74">
        <v>1.7670350000000001E-4</v>
      </c>
      <c r="J28" s="74">
        <v>1.7341350000000001E-4</v>
      </c>
      <c r="K28" s="74">
        <v>1.7018179999999999E-4</v>
      </c>
      <c r="L28" s="74">
        <v>1.6700760000000001E-4</v>
      </c>
      <c r="M28" s="74">
        <v>1.638899E-4</v>
      </c>
      <c r="N28" s="74">
        <v>1.6082809999999999E-4</v>
      </c>
      <c r="O28" s="74">
        <v>1.5782130000000001E-4</v>
      </c>
      <c r="P28" s="74">
        <v>1.5486849999999999E-4</v>
      </c>
      <c r="Q28" s="74">
        <v>1.5196909999999999E-4</v>
      </c>
      <c r="R28" s="74">
        <v>1.491222E-4</v>
      </c>
      <c r="S28" s="74">
        <v>1.4632689999999999E-4</v>
      </c>
      <c r="T28" s="74">
        <v>1.4358249999999999E-4</v>
      </c>
      <c r="U28" s="74">
        <v>1.4088800000000001E-4</v>
      </c>
      <c r="V28" s="74">
        <v>1.3824280000000001E-4</v>
      </c>
      <c r="W28" s="74">
        <v>1.3564600000000001E-4</v>
      </c>
      <c r="X28" s="74">
        <v>1.330968E-4</v>
      </c>
      <c r="Y28" s="74">
        <v>1.3059439999999999E-4</v>
      </c>
      <c r="Z28" s="74">
        <v>1.2813810000000001E-4</v>
      </c>
      <c r="AA28" s="74">
        <v>1.2572700000000001E-4</v>
      </c>
      <c r="AB28" s="74">
        <v>1.2336040000000001E-4</v>
      </c>
      <c r="AC28" s="74">
        <v>1.2103749999999999E-4</v>
      </c>
      <c r="AD28" s="74">
        <v>1.187577E-4</v>
      </c>
      <c r="AE28" s="74">
        <v>1.1652E-4</v>
      </c>
      <c r="AF28" s="74">
        <v>1.143239E-4</v>
      </c>
      <c r="AG28" s="74">
        <v>1.121685E-4</v>
      </c>
      <c r="AH28" s="74">
        <v>1.100532E-4</v>
      </c>
      <c r="AI28" s="74">
        <v>1.079772E-4</v>
      </c>
      <c r="AJ28" s="74">
        <v>1.0594000000000001E-4</v>
      </c>
      <c r="AK28" s="74">
        <v>1.039406E-4</v>
      </c>
      <c r="AL28" s="74">
        <v>1.019787E-4</v>
      </c>
      <c r="AM28" s="74">
        <v>1.0005330000000001E-4</v>
      </c>
      <c r="AN28" s="74">
        <v>9.8163899999999997E-5</v>
      </c>
      <c r="AO28" s="74">
        <v>9.6309899999999998E-5</v>
      </c>
      <c r="AP28" s="74">
        <v>9.4490500000000006E-5</v>
      </c>
      <c r="AQ28" s="74">
        <v>9.2705200000000001E-5</v>
      </c>
      <c r="AR28" s="74">
        <v>9.0953399999999996E-5</v>
      </c>
      <c r="AS28" s="74">
        <v>8.9234399999999994E-5</v>
      </c>
      <c r="AT28" s="74">
        <v>8.7547700000000002E-5</v>
      </c>
      <c r="AU28" s="74">
        <v>8.5892599999999998E-5</v>
      </c>
      <c r="AV28" s="74">
        <v>8.4268600000000002E-5</v>
      </c>
      <c r="AW28" s="74">
        <v>8.2675099999999997E-5</v>
      </c>
      <c r="AX28" s="74">
        <v>8.1111600000000005E-5</v>
      </c>
      <c r="AY28" s="74">
        <v>7.9577499999999995E-5</v>
      </c>
      <c r="AZ28" s="74">
        <v>7.8072199999999994E-5</v>
      </c>
      <c r="BA28" s="74">
        <v>7.6595300000000002E-5</v>
      </c>
      <c r="BB28" s="74">
        <v>7.5146099999999995E-5</v>
      </c>
      <c r="BC28" s="74">
        <v>7.3724299999999995E-5</v>
      </c>
      <c r="BD28" s="74">
        <v>7.2329200000000005E-5</v>
      </c>
      <c r="BE28" s="74">
        <v>7.0960399999999999E-5</v>
      </c>
      <c r="BF28" s="74">
        <v>6.9617500000000002E-5</v>
      </c>
      <c r="BG28" s="74">
        <v>6.8299800000000006E-5</v>
      </c>
      <c r="BH28" s="74">
        <v>6.7007000000000004E-5</v>
      </c>
      <c r="BI28" s="74">
        <v>6.5738600000000001E-5</v>
      </c>
      <c r="BJ28" s="74">
        <v>6.4494100000000003E-5</v>
      </c>
      <c r="BK28" s="74">
        <v>6.3273099999999996E-5</v>
      </c>
      <c r="BL28" s="74">
        <v>6.2075200000000005E-5</v>
      </c>
      <c r="BM28" s="74">
        <v>6.0899900000000003E-5</v>
      </c>
      <c r="BN28" s="74">
        <v>5.9746800000000002E-5</v>
      </c>
      <c r="BO28" s="74">
        <v>5.8615400000000001E-5</v>
      </c>
      <c r="BP28" s="74">
        <v>5.75054E-5</v>
      </c>
      <c r="BQ28" s="74">
        <v>5.6416499999999998E-5</v>
      </c>
      <c r="BR28" s="74">
        <v>5.5347999999999999E-5</v>
      </c>
      <c r="BS28" s="74">
        <v>5.4299799999999998E-5</v>
      </c>
      <c r="BT28" s="74">
        <v>5.32714E-5</v>
      </c>
      <c r="BU28" s="74">
        <v>5.2262400000000003E-5</v>
      </c>
      <c r="BV28" s="74">
        <v>5.1272600000000001E-5</v>
      </c>
      <c r="BW28" s="74">
        <v>5.0301399999999999E-5</v>
      </c>
      <c r="BX28" s="74">
        <v>4.9348599999999997E-5</v>
      </c>
      <c r="BY28" s="74">
        <v>4.8413800000000001E-5</v>
      </c>
      <c r="BZ28" s="74">
        <v>4.7496700000000002E-5</v>
      </c>
      <c r="CA28" s="74">
        <v>4.6597000000000001E-5</v>
      </c>
      <c r="CB28" s="74">
        <v>4.5714199999999997E-5</v>
      </c>
      <c r="CC28" s="74">
        <v>4.4848200000000002E-5</v>
      </c>
      <c r="CD28" s="74">
        <v>4.3998600000000003E-5</v>
      </c>
      <c r="CE28" s="74">
        <v>4.3164999999999998E-5</v>
      </c>
      <c r="CF28" s="74">
        <v>4.23472E-5</v>
      </c>
      <c r="CG28" s="74">
        <v>4.1544900000000003E-5</v>
      </c>
      <c r="CH28" s="74">
        <v>4.0757799999999998E-5</v>
      </c>
      <c r="CI28" s="74">
        <v>3.9985599999999999E-5</v>
      </c>
      <c r="CJ28" s="74">
        <v>3.9227999999999998E-5</v>
      </c>
      <c r="CK28" s="74">
        <v>3.8484800000000001E-5</v>
      </c>
      <c r="CL28" s="74">
        <v>3.7755600000000002E-5</v>
      </c>
      <c r="CM28" s="74">
        <v>3.7040199999999998E-5</v>
      </c>
      <c r="CN28" s="74">
        <v>3.6338399999999998E-5</v>
      </c>
      <c r="CO28" s="74">
        <v>3.5649899999999999E-5</v>
      </c>
      <c r="CP28" s="74">
        <v>3.4974400000000002E-5</v>
      </c>
      <c r="CQ28" s="74">
        <v>3.4311599999999999E-5</v>
      </c>
      <c r="CR28" s="74">
        <v>3.3661500000000003E-5</v>
      </c>
      <c r="CS28" s="74">
        <v>3.30236E-5</v>
      </c>
      <c r="CT28" s="74">
        <v>3.2397899999999997E-5</v>
      </c>
      <c r="CU28" s="74">
        <v>3.1783999999999999E-5</v>
      </c>
      <c r="CV28" s="74">
        <v>3.11817E-5</v>
      </c>
      <c r="CW28" s="74">
        <v>3.0590799999999999E-5</v>
      </c>
      <c r="CX28" s="74">
        <v>3.0011100000000001E-5</v>
      </c>
      <c r="CY28" s="74">
        <v>2.9442400000000001E-5</v>
      </c>
      <c r="CZ28" s="74">
        <v>2.8884500000000001E-5</v>
      </c>
      <c r="DA28" s="74">
        <v>2.83371E-5</v>
      </c>
      <c r="DB28" s="74">
        <v>2.7800199999999999E-5</v>
      </c>
      <c r="DC28" s="74">
        <v>2.7273299999999999E-5</v>
      </c>
      <c r="DD28" s="74">
        <v>2.67565E-5</v>
      </c>
      <c r="DE28" s="74">
        <v>2.62495E-5</v>
      </c>
      <c r="DF28" s="74">
        <v>2.5752E-5</v>
      </c>
      <c r="DG28" s="74">
        <v>2.5264000000000001E-5</v>
      </c>
      <c r="DH28" s="74">
        <v>2.4785200000000001E-5</v>
      </c>
      <c r="DI28" s="74">
        <v>2.4315500000000001E-5</v>
      </c>
      <c r="DJ28" s="74">
        <v>2.38547E-5</v>
      </c>
      <c r="DK28" s="74">
        <v>2.3402699999999999E-5</v>
      </c>
      <c r="DL28" s="74">
        <v>2.2959199999999999E-5</v>
      </c>
      <c r="DM28" s="74">
        <v>2.25241E-5</v>
      </c>
      <c r="DN28" s="74">
        <v>2.2097199999999999E-5</v>
      </c>
      <c r="DO28" s="74">
        <v>2.1678399999999999E-5</v>
      </c>
      <c r="DP28" s="74">
        <v>2.1267599999999999E-5</v>
      </c>
      <c r="DQ28" s="74">
        <v>2.08646E-5</v>
      </c>
      <c r="DR28" s="74">
        <v>2.04692E-5</v>
      </c>
      <c r="DS28" s="74">
        <v>2.00812E-5</v>
      </c>
      <c r="DT28" s="74">
        <v>1.9700699999999999E-5</v>
      </c>
      <c r="DU28" s="74">
        <v>1.93273E-5</v>
      </c>
      <c r="DV28" s="74">
        <v>1.8961E-5</v>
      </c>
      <c r="DW28" s="74">
        <v>1.8601699999999998E-5</v>
      </c>
      <c r="DX28" s="74">
        <v>1.8249200000000001E-5</v>
      </c>
      <c r="DY28" s="74">
        <v>1.7903299999999998E-5</v>
      </c>
      <c r="DZ28" s="74">
        <v>1.7564E-5</v>
      </c>
      <c r="EA28" s="74">
        <v>1.7231099999999998E-5</v>
      </c>
      <c r="EB28" s="74">
        <v>1.6904600000000001E-5</v>
      </c>
      <c r="EC28" s="74">
        <v>1.65842E-5</v>
      </c>
      <c r="ED28" s="74">
        <v>1.6269900000000002E-5</v>
      </c>
      <c r="EE28" s="74">
        <v>1.59616E-5</v>
      </c>
      <c r="EF28" s="74">
        <v>1.5659100000000001E-5</v>
      </c>
      <c r="EG28" s="74">
        <v>1.53623E-5</v>
      </c>
      <c r="EH28" s="74">
        <v>1.5071200000000001E-5</v>
      </c>
      <c r="EI28" s="74">
        <v>1.4785499999999999E-5</v>
      </c>
      <c r="EJ28" s="74">
        <v>1.45053E-5</v>
      </c>
      <c r="EK28" s="74">
        <v>1.42304E-5</v>
      </c>
      <c r="EL28" s="74">
        <v>1.39607E-5</v>
      </c>
      <c r="EM28" s="74">
        <v>1.3696099999999999E-5</v>
      </c>
      <c r="EN28" s="74">
        <v>1.3436599999999999E-5</v>
      </c>
      <c r="EO28" s="74">
        <v>1.31819E-5</v>
      </c>
      <c r="EP28" s="74">
        <v>1.2932099999999999E-5</v>
      </c>
      <c r="EQ28" s="74">
        <v>1.2687000000000001E-5</v>
      </c>
      <c r="ER28" s="74">
        <v>1.24466E-5</v>
      </c>
      <c r="ES28" s="74">
        <v>1.22107E-5</v>
      </c>
      <c r="ET28" s="74">
        <v>1.1979300000000001E-5</v>
      </c>
      <c r="EU28" s="74">
        <v>1.1752200000000001E-5</v>
      </c>
      <c r="EV28" s="74">
        <v>1.15295E-5</v>
      </c>
      <c r="EW28" s="74">
        <v>1.1311000000000001E-5</v>
      </c>
      <c r="EX28" s="74">
        <v>1.10966E-5</v>
      </c>
      <c r="EY28" s="74">
        <v>1.0886299999999999E-5</v>
      </c>
      <c r="EZ28" s="74">
        <v>1.0679999999999999E-5</v>
      </c>
      <c r="FA28" s="74">
        <v>1.0477599999999999E-5</v>
      </c>
      <c r="FB28" s="74">
        <v>1.0278999999999999E-5</v>
      </c>
      <c r="FC28" s="74">
        <v>1.0084200000000001E-5</v>
      </c>
      <c r="FD28" s="74">
        <v>9.8931000000000002E-6</v>
      </c>
      <c r="FE28" s="74">
        <v>9.7056000000000007E-6</v>
      </c>
      <c r="FF28" s="74">
        <v>9.5217000000000007E-6</v>
      </c>
      <c r="FG28" s="74">
        <v>9.3411999999999996E-6</v>
      </c>
      <c r="FH28" s="74">
        <v>9.1641999999999994E-6</v>
      </c>
      <c r="FI28" s="74">
        <v>8.9904999999999997E-6</v>
      </c>
      <c r="FJ28" s="74">
        <v>8.8201000000000005E-6</v>
      </c>
      <c r="FK28" s="74">
        <v>8.6528999999999998E-6</v>
      </c>
      <c r="FL28" s="74">
        <v>8.4888999999999993E-6</v>
      </c>
      <c r="FM28" s="74">
        <v>8.3281000000000008E-6</v>
      </c>
      <c r="FN28" s="74">
        <v>8.1702000000000001E-6</v>
      </c>
      <c r="FO28" s="74">
        <v>8.0153999999999995E-6</v>
      </c>
      <c r="FP28" s="74">
        <v>7.8635000000000002E-6</v>
      </c>
      <c r="FQ28" s="74">
        <v>7.7144000000000002E-6</v>
      </c>
    </row>
    <row r="29" spans="1:173" x14ac:dyDescent="0.25">
      <c r="A29" s="76">
        <v>27</v>
      </c>
      <c r="B29" s="74">
        <v>2.2054520000000001E-4</v>
      </c>
      <c r="C29" s="74">
        <v>2.1664469999999999E-4</v>
      </c>
      <c r="D29" s="74">
        <v>2.1279980000000001E-4</v>
      </c>
      <c r="E29" s="74">
        <v>2.090107E-4</v>
      </c>
      <c r="F29" s="74">
        <v>2.052775E-4</v>
      </c>
      <c r="G29" s="74">
        <v>2.0160020000000001E-4</v>
      </c>
      <c r="H29" s="74">
        <v>1.979788E-4</v>
      </c>
      <c r="I29" s="74">
        <v>1.94413E-4</v>
      </c>
      <c r="J29" s="74">
        <v>1.9090280000000001E-4</v>
      </c>
      <c r="K29" s="74">
        <v>1.8744780000000001E-4</v>
      </c>
      <c r="L29" s="74">
        <v>1.8404789999999999E-4</v>
      </c>
      <c r="M29" s="74">
        <v>1.8070250000000001E-4</v>
      </c>
      <c r="N29" s="74">
        <v>1.7741139999999999E-4</v>
      </c>
      <c r="O29" s="74">
        <v>1.7417419999999999E-4</v>
      </c>
      <c r="P29" s="74">
        <v>1.7099039999999999E-4</v>
      </c>
      <c r="Q29" s="74">
        <v>1.6785939999999999E-4</v>
      </c>
      <c r="R29" s="74">
        <v>1.6478090000000001E-4</v>
      </c>
      <c r="S29" s="74">
        <v>1.617543E-4</v>
      </c>
      <c r="T29" s="74">
        <v>1.5877900000000001E-4</v>
      </c>
      <c r="U29" s="74">
        <v>1.558544E-4</v>
      </c>
      <c r="V29" s="74">
        <v>1.529801E-4</v>
      </c>
      <c r="W29" s="74">
        <v>1.5015530000000001E-4</v>
      </c>
      <c r="X29" s="74">
        <v>1.473794E-4</v>
      </c>
      <c r="Y29" s="74">
        <v>1.4465189999999999E-4</v>
      </c>
      <c r="Z29" s="74">
        <v>1.4197210000000001E-4</v>
      </c>
      <c r="AA29" s="74">
        <v>1.3933939999999999E-4</v>
      </c>
      <c r="AB29" s="74">
        <v>1.3675309999999999E-4</v>
      </c>
      <c r="AC29" s="74">
        <v>1.3421249999999999E-4</v>
      </c>
      <c r="AD29" s="74">
        <v>1.3171710000000001E-4</v>
      </c>
      <c r="AE29" s="74">
        <v>1.2926610000000001E-4</v>
      </c>
      <c r="AF29" s="74">
        <v>1.2685889999999999E-4</v>
      </c>
      <c r="AG29" s="74">
        <v>1.2449490000000001E-4</v>
      </c>
      <c r="AH29" s="74">
        <v>1.221734E-4</v>
      </c>
      <c r="AI29" s="74">
        <v>1.1989369999999999E-4</v>
      </c>
      <c r="AJ29" s="74">
        <v>1.176551E-4</v>
      </c>
      <c r="AK29" s="74">
        <v>1.154572E-4</v>
      </c>
      <c r="AL29" s="74">
        <v>1.1329909999999999E-4</v>
      </c>
      <c r="AM29" s="74">
        <v>1.111802E-4</v>
      </c>
      <c r="AN29" s="74">
        <v>1.091E-4</v>
      </c>
      <c r="AO29" s="74">
        <v>1.070578E-4</v>
      </c>
      <c r="AP29" s="74">
        <v>1.050528E-4</v>
      </c>
      <c r="AQ29" s="74">
        <v>1.030847E-4</v>
      </c>
      <c r="AR29" s="74">
        <v>1.011526E-4</v>
      </c>
      <c r="AS29" s="74">
        <v>9.9256E-5</v>
      </c>
      <c r="AT29" s="74">
        <v>9.7394399999999997E-5</v>
      </c>
      <c r="AU29" s="74">
        <v>9.5567000000000002E-5</v>
      </c>
      <c r="AV29" s="74">
        <v>9.3773399999999999E-5</v>
      </c>
      <c r="AW29" s="74">
        <v>9.2012899999999994E-5</v>
      </c>
      <c r="AX29" s="74">
        <v>9.02849E-5</v>
      </c>
      <c r="AY29" s="74">
        <v>8.8588899999999995E-5</v>
      </c>
      <c r="AZ29" s="74">
        <v>8.6924399999999997E-5</v>
      </c>
      <c r="BA29" s="74">
        <v>8.52907E-5</v>
      </c>
      <c r="BB29" s="74">
        <v>8.3687400000000001E-5</v>
      </c>
      <c r="BC29" s="74">
        <v>8.21139E-5</v>
      </c>
      <c r="BD29" s="74">
        <v>8.0569599999999995E-5</v>
      </c>
      <c r="BE29" s="74">
        <v>7.9054099999999999E-5</v>
      </c>
      <c r="BF29" s="74">
        <v>7.7566799999999997E-5</v>
      </c>
      <c r="BG29" s="74">
        <v>7.6107199999999995E-5</v>
      </c>
      <c r="BH29" s="74">
        <v>7.4674900000000006E-5</v>
      </c>
      <c r="BI29" s="74">
        <v>7.3269200000000007E-5</v>
      </c>
      <c r="BJ29" s="74">
        <v>7.1889899999999998E-5</v>
      </c>
      <c r="BK29" s="74">
        <v>7.0536299999999998E-5</v>
      </c>
      <c r="BL29" s="74">
        <v>6.9208000000000006E-5</v>
      </c>
      <c r="BM29" s="74">
        <v>6.79045E-5</v>
      </c>
      <c r="BN29" s="74">
        <v>6.6625500000000001E-5</v>
      </c>
      <c r="BO29" s="74">
        <v>6.5370399999999993E-5</v>
      </c>
      <c r="BP29" s="74">
        <v>6.4138800000000003E-5</v>
      </c>
      <c r="BQ29" s="74">
        <v>6.2930300000000003E-5</v>
      </c>
      <c r="BR29" s="74">
        <v>6.1744399999999998E-5</v>
      </c>
      <c r="BS29" s="74">
        <v>6.0580800000000001E-5</v>
      </c>
      <c r="BT29" s="74">
        <v>5.9438899999999998E-5</v>
      </c>
      <c r="BU29" s="74">
        <v>5.8318600000000001E-5</v>
      </c>
      <c r="BV29" s="74">
        <v>5.7219200000000003E-5</v>
      </c>
      <c r="BW29" s="74">
        <v>5.6140500000000002E-5</v>
      </c>
      <c r="BX29" s="74">
        <v>5.5082099999999999E-5</v>
      </c>
      <c r="BY29" s="74">
        <v>5.4043499999999998E-5</v>
      </c>
      <c r="BZ29" s="74">
        <v>5.30245E-5</v>
      </c>
      <c r="CA29" s="74">
        <v>5.2024600000000003E-5</v>
      </c>
      <c r="CB29" s="74">
        <v>5.10435E-5</v>
      </c>
      <c r="CC29" s="74">
        <v>5.0080800000000003E-5</v>
      </c>
      <c r="CD29" s="74">
        <v>4.9136299999999999E-5</v>
      </c>
      <c r="CE29" s="74">
        <v>4.82095E-5</v>
      </c>
      <c r="CF29" s="74">
        <v>4.7300199999999998E-5</v>
      </c>
      <c r="CG29" s="74">
        <v>4.6408E-5</v>
      </c>
      <c r="CH29" s="74">
        <v>4.5532499999999998E-5</v>
      </c>
      <c r="CI29" s="74">
        <v>4.4673599999999999E-5</v>
      </c>
      <c r="CJ29" s="74">
        <v>4.3830800000000001E-5</v>
      </c>
      <c r="CK29" s="74">
        <v>4.3003899999999997E-5</v>
      </c>
      <c r="CL29" s="74">
        <v>4.21925E-5</v>
      </c>
      <c r="CM29" s="74">
        <v>4.1396500000000003E-5</v>
      </c>
      <c r="CN29" s="74">
        <v>4.0615399999999997E-5</v>
      </c>
      <c r="CO29" s="74">
        <v>3.9849099999999998E-5</v>
      </c>
      <c r="CP29" s="74">
        <v>3.9097200000000002E-5</v>
      </c>
      <c r="CQ29" s="74">
        <v>3.8359399999999997E-5</v>
      </c>
      <c r="CR29" s="74">
        <v>3.7635600000000003E-5</v>
      </c>
      <c r="CS29" s="74">
        <v>3.6925399999999997E-5</v>
      </c>
      <c r="CT29" s="74">
        <v>3.6228600000000001E-5</v>
      </c>
      <c r="CU29" s="74">
        <v>3.5544899999999999E-5</v>
      </c>
      <c r="CV29" s="74">
        <v>3.4874099999999999E-5</v>
      </c>
      <c r="CW29" s="74">
        <v>3.4215999999999999E-5</v>
      </c>
      <c r="CX29" s="74">
        <v>3.3570199999999999E-5</v>
      </c>
      <c r="CY29" s="74">
        <v>3.2936699999999999E-5</v>
      </c>
      <c r="CZ29" s="74">
        <v>3.2315099999999998E-5</v>
      </c>
      <c r="DA29" s="74">
        <v>3.1705200000000003E-5</v>
      </c>
      <c r="DB29" s="74">
        <v>3.1106799999999998E-5</v>
      </c>
      <c r="DC29" s="74">
        <v>3.0519699999999999E-5</v>
      </c>
      <c r="DD29" s="74">
        <v>2.9943699999999999E-5</v>
      </c>
      <c r="DE29" s="74">
        <v>2.93785E-5</v>
      </c>
      <c r="DF29" s="74">
        <v>2.8824E-5</v>
      </c>
      <c r="DG29" s="74">
        <v>2.82799E-5</v>
      </c>
      <c r="DH29" s="74">
        <v>2.7746199999999999E-5</v>
      </c>
      <c r="DI29" s="74">
        <v>2.7222399999999999E-5</v>
      </c>
      <c r="DJ29" s="74">
        <v>2.67086E-5</v>
      </c>
      <c r="DK29" s="74">
        <v>2.62045E-5</v>
      </c>
      <c r="DL29" s="74">
        <v>2.5709799999999999E-5</v>
      </c>
      <c r="DM29" s="74">
        <v>2.5224599999999999E-5</v>
      </c>
      <c r="DN29" s="74">
        <v>2.4748399999999998E-5</v>
      </c>
      <c r="DO29" s="74">
        <v>2.4281300000000001E-5</v>
      </c>
      <c r="DP29" s="74">
        <v>2.3822899999999999E-5</v>
      </c>
      <c r="DQ29" s="74">
        <v>2.3373199999999998E-5</v>
      </c>
      <c r="DR29" s="74">
        <v>2.2932E-5</v>
      </c>
      <c r="DS29" s="74">
        <v>2.24992E-5</v>
      </c>
      <c r="DT29" s="74">
        <v>2.20744E-5</v>
      </c>
      <c r="DU29" s="74">
        <v>2.1657700000000001E-5</v>
      </c>
      <c r="DV29" s="74">
        <v>2.1248899999999999E-5</v>
      </c>
      <c r="DW29" s="74">
        <v>2.0847800000000001E-5</v>
      </c>
      <c r="DX29" s="74">
        <v>2.0454300000000002E-5</v>
      </c>
      <c r="DY29" s="74">
        <v>2.0068099999999998E-5</v>
      </c>
      <c r="DZ29" s="74">
        <v>1.9689300000000001E-5</v>
      </c>
      <c r="EA29" s="74">
        <v>1.9317599999999999E-5</v>
      </c>
      <c r="EB29" s="74">
        <v>1.8953E-5</v>
      </c>
      <c r="EC29" s="74">
        <v>1.8595200000000001E-5</v>
      </c>
      <c r="ED29" s="74">
        <v>1.82441E-5</v>
      </c>
      <c r="EE29" s="74">
        <v>1.7899700000000001E-5</v>
      </c>
      <c r="EF29" s="74">
        <v>1.7561799999999998E-5</v>
      </c>
      <c r="EG29" s="74">
        <v>1.72303E-5</v>
      </c>
      <c r="EH29" s="74">
        <v>1.6905000000000002E-5</v>
      </c>
      <c r="EI29" s="74">
        <v>1.65859E-5</v>
      </c>
      <c r="EJ29" s="74">
        <v>1.6272800000000001E-5</v>
      </c>
      <c r="EK29" s="74">
        <v>1.5965599999999998E-5</v>
      </c>
      <c r="EL29" s="74">
        <v>1.5664200000000002E-5</v>
      </c>
      <c r="EM29" s="74">
        <v>1.53685E-5</v>
      </c>
      <c r="EN29" s="74">
        <v>1.5078399999999999E-5</v>
      </c>
      <c r="EO29" s="74">
        <v>1.47937E-5</v>
      </c>
      <c r="EP29" s="74">
        <v>1.4514399999999999E-5</v>
      </c>
      <c r="EQ29" s="74">
        <v>1.42404E-5</v>
      </c>
      <c r="ER29" s="74">
        <v>1.39716E-5</v>
      </c>
      <c r="ES29" s="74">
        <v>1.3707799999999999E-5</v>
      </c>
      <c r="ET29" s="74">
        <v>1.34491E-5</v>
      </c>
      <c r="EU29" s="74">
        <v>1.31952E-5</v>
      </c>
      <c r="EV29" s="74">
        <v>1.29461E-5</v>
      </c>
      <c r="EW29" s="74">
        <v>1.2701700000000001E-5</v>
      </c>
      <c r="EX29" s="74">
        <v>1.24619E-5</v>
      </c>
      <c r="EY29" s="74">
        <v>1.2226600000000001E-5</v>
      </c>
      <c r="EZ29" s="74">
        <v>1.19958E-5</v>
      </c>
      <c r="FA29" s="74">
        <v>1.1769299999999999E-5</v>
      </c>
      <c r="FB29" s="74">
        <v>1.15471E-5</v>
      </c>
      <c r="FC29" s="74">
        <v>1.13292E-5</v>
      </c>
      <c r="FD29" s="74">
        <v>1.11153E-5</v>
      </c>
      <c r="FE29" s="74">
        <v>1.0905400000000001E-5</v>
      </c>
      <c r="FF29" s="74">
        <v>1.06996E-5</v>
      </c>
      <c r="FG29" s="74">
        <v>1.0497599999999999E-5</v>
      </c>
      <c r="FH29" s="74">
        <v>1.02994E-5</v>
      </c>
      <c r="FI29" s="74">
        <v>1.0105000000000001E-5</v>
      </c>
      <c r="FJ29" s="74">
        <v>9.9142000000000007E-6</v>
      </c>
      <c r="FK29" s="74">
        <v>9.7270000000000002E-6</v>
      </c>
      <c r="FL29" s="74">
        <v>9.5434000000000008E-6</v>
      </c>
      <c r="FM29" s="74">
        <v>9.3632000000000004E-6</v>
      </c>
      <c r="FN29" s="74">
        <v>9.1864999999999992E-6</v>
      </c>
      <c r="FO29" s="74">
        <v>9.0129999999999999E-6</v>
      </c>
      <c r="FP29" s="74">
        <v>8.8428999999999996E-6</v>
      </c>
      <c r="FQ29" s="74">
        <v>8.6758999999999994E-6</v>
      </c>
    </row>
    <row r="30" spans="1:173" x14ac:dyDescent="0.25">
      <c r="A30" s="76">
        <v>28</v>
      </c>
      <c r="B30" s="74">
        <v>2.448684E-4</v>
      </c>
      <c r="C30" s="74">
        <v>2.407981E-4</v>
      </c>
      <c r="D30" s="74">
        <v>2.3677489999999999E-4</v>
      </c>
      <c r="E30" s="74">
        <v>2.3279980000000001E-4</v>
      </c>
      <c r="F30" s="74">
        <v>2.288736E-4</v>
      </c>
      <c r="G30" s="74">
        <v>2.2499689999999999E-4</v>
      </c>
      <c r="H30" s="74">
        <v>2.2117050000000001E-4</v>
      </c>
      <c r="I30" s="74">
        <v>2.173946E-4</v>
      </c>
      <c r="J30" s="74">
        <v>2.1366970000000001E-4</v>
      </c>
      <c r="K30" s="74">
        <v>2.0999610000000001E-4</v>
      </c>
      <c r="L30" s="74">
        <v>2.06374E-4</v>
      </c>
      <c r="M30" s="74">
        <v>2.0280339999999999E-4</v>
      </c>
      <c r="N30" s="74">
        <v>1.9928440000000001E-4</v>
      </c>
      <c r="O30" s="74">
        <v>1.9581709999999999E-4</v>
      </c>
      <c r="P30" s="74">
        <v>1.9240119999999999E-4</v>
      </c>
      <c r="Q30" s="74">
        <v>1.8903670000000001E-4</v>
      </c>
      <c r="R30" s="74">
        <v>1.8572329999999999E-4</v>
      </c>
      <c r="S30" s="74">
        <v>1.8246089999999999E-4</v>
      </c>
      <c r="T30" s="74">
        <v>1.7924910000000001E-4</v>
      </c>
      <c r="U30" s="74">
        <v>1.760877E-4</v>
      </c>
      <c r="V30" s="74">
        <v>1.7297619999999999E-4</v>
      </c>
      <c r="W30" s="74">
        <v>1.6991439999999999E-4</v>
      </c>
      <c r="X30" s="74">
        <v>1.669017E-4</v>
      </c>
      <c r="Y30" s="74">
        <v>1.6393779999999999E-4</v>
      </c>
      <c r="Z30" s="74">
        <v>1.6102219999999999E-4</v>
      </c>
      <c r="AA30" s="74">
        <v>1.581544E-4</v>
      </c>
      <c r="AB30" s="74">
        <v>1.5533379999999999E-4</v>
      </c>
      <c r="AC30" s="74">
        <v>1.525601E-4</v>
      </c>
      <c r="AD30" s="74">
        <v>1.4983260000000001E-4</v>
      </c>
      <c r="AE30" s="74">
        <v>1.471508E-4</v>
      </c>
      <c r="AF30" s="74">
        <v>1.4451420000000001E-4</v>
      </c>
      <c r="AG30" s="74">
        <v>1.4192219999999999E-4</v>
      </c>
      <c r="AH30" s="74">
        <v>1.3937420000000001E-4</v>
      </c>
      <c r="AI30" s="74">
        <v>1.3686969999999999E-4</v>
      </c>
      <c r="AJ30" s="74">
        <v>1.34408E-4</v>
      </c>
      <c r="AK30" s="74">
        <v>1.319886E-4</v>
      </c>
      <c r="AL30" s="74">
        <v>1.2961090000000001E-4</v>
      </c>
      <c r="AM30" s="74">
        <v>1.272743E-4</v>
      </c>
      <c r="AN30" s="74">
        <v>1.249783E-4</v>
      </c>
      <c r="AO30" s="74">
        <v>1.227221E-4</v>
      </c>
      <c r="AP30" s="74">
        <v>1.2050530000000001E-4</v>
      </c>
      <c r="AQ30" s="74">
        <v>1.1832719999999999E-4</v>
      </c>
      <c r="AR30" s="74">
        <v>1.161873E-4</v>
      </c>
      <c r="AS30" s="74">
        <v>1.14085E-4</v>
      </c>
      <c r="AT30" s="74">
        <v>1.1201969999999999E-4</v>
      </c>
      <c r="AU30" s="74">
        <v>1.099907E-4</v>
      </c>
      <c r="AV30" s="74">
        <v>1.079976E-4</v>
      </c>
      <c r="AW30" s="74">
        <v>1.0603979999999999E-4</v>
      </c>
      <c r="AX30" s="74">
        <v>1.041167E-4</v>
      </c>
      <c r="AY30" s="74">
        <v>1.022277E-4</v>
      </c>
      <c r="AZ30" s="74">
        <v>1.003723E-4</v>
      </c>
      <c r="BA30" s="74">
        <v>9.8549999999999997E-5</v>
      </c>
      <c r="BB30" s="74">
        <v>9.6760099999999995E-5</v>
      </c>
      <c r="BC30" s="74">
        <v>9.5002199999999997E-5</v>
      </c>
      <c r="BD30" s="74">
        <v>9.3275699999999999E-5</v>
      </c>
      <c r="BE30" s="74">
        <v>9.1580099999999994E-5</v>
      </c>
      <c r="BF30" s="74">
        <v>8.9914900000000002E-5</v>
      </c>
      <c r="BG30" s="74">
        <v>8.8279600000000001E-5</v>
      </c>
      <c r="BH30" s="74">
        <v>8.6673600000000003E-5</v>
      </c>
      <c r="BI30" s="74">
        <v>8.5096400000000001E-5</v>
      </c>
      <c r="BJ30" s="74">
        <v>8.35477E-5</v>
      </c>
      <c r="BK30" s="74">
        <v>8.2026800000000006E-5</v>
      </c>
      <c r="BL30" s="74">
        <v>8.0533300000000004E-5</v>
      </c>
      <c r="BM30" s="74">
        <v>7.90667E-5</v>
      </c>
      <c r="BN30" s="74">
        <v>7.7626600000000007E-5</v>
      </c>
      <c r="BO30" s="74">
        <v>7.6212399999999996E-5</v>
      </c>
      <c r="BP30" s="74">
        <v>7.48238E-5</v>
      </c>
      <c r="BQ30" s="74">
        <v>7.3460299999999999E-5</v>
      </c>
      <c r="BR30" s="74">
        <v>7.2121500000000004E-5</v>
      </c>
      <c r="BS30" s="74">
        <v>7.0806899999999995E-5</v>
      </c>
      <c r="BT30" s="74">
        <v>6.9516099999999997E-5</v>
      </c>
      <c r="BU30" s="74">
        <v>6.8248699999999996E-5</v>
      </c>
      <c r="BV30" s="74">
        <v>6.7004199999999998E-5</v>
      </c>
      <c r="BW30" s="74">
        <v>6.5782299999999995E-5</v>
      </c>
      <c r="BX30" s="74">
        <v>6.4582499999999994E-5</v>
      </c>
      <c r="BY30" s="74">
        <v>6.3404499999999999E-5</v>
      </c>
      <c r="BZ30" s="74">
        <v>6.2247899999999997E-5</v>
      </c>
      <c r="CA30" s="74">
        <v>6.1112300000000001E-5</v>
      </c>
      <c r="CB30" s="74">
        <v>5.9997400000000003E-5</v>
      </c>
      <c r="CC30" s="74">
        <v>5.8902600000000001E-5</v>
      </c>
      <c r="CD30" s="74">
        <v>5.7827800000000002E-5</v>
      </c>
      <c r="CE30" s="74">
        <v>5.6772499999999999E-5</v>
      </c>
      <c r="CF30" s="74">
        <v>5.5736399999999997E-5</v>
      </c>
      <c r="CG30" s="74">
        <v>5.4719100000000003E-5</v>
      </c>
      <c r="CH30" s="74">
        <v>5.3720400000000002E-5</v>
      </c>
      <c r="CI30" s="74">
        <v>5.2739799999999999E-5</v>
      </c>
      <c r="CJ30" s="74">
        <v>5.1777100000000003E-5</v>
      </c>
      <c r="CK30" s="74">
        <v>5.0831799999999997E-5</v>
      </c>
      <c r="CL30" s="74">
        <v>4.9903800000000002E-5</v>
      </c>
      <c r="CM30" s="74">
        <v>4.8992700000000003E-5</v>
      </c>
      <c r="CN30" s="74">
        <v>4.80982E-5</v>
      </c>
      <c r="CO30" s="74">
        <v>4.7219999999999999E-5</v>
      </c>
      <c r="CP30" s="74">
        <v>4.6357799999999999E-5</v>
      </c>
      <c r="CQ30" s="74">
        <v>4.5511299999999999E-5</v>
      </c>
      <c r="CR30" s="74">
        <v>4.46802E-5</v>
      </c>
      <c r="CS30" s="74">
        <v>4.3864299999999999E-5</v>
      </c>
      <c r="CT30" s="74">
        <v>4.3063299999999998E-5</v>
      </c>
      <c r="CU30" s="74">
        <v>4.2276800000000002E-5</v>
      </c>
      <c r="CV30" s="74">
        <v>4.1504700000000003E-5</v>
      </c>
      <c r="CW30" s="74">
        <v>4.0746700000000001E-5</v>
      </c>
      <c r="CX30" s="74">
        <v>4.0002500000000002E-5</v>
      </c>
      <c r="CY30" s="74">
        <v>3.9271799999999999E-5</v>
      </c>
      <c r="CZ30" s="74">
        <v>3.8554499999999998E-5</v>
      </c>
      <c r="DA30" s="74">
        <v>3.7850299999999999E-5</v>
      </c>
      <c r="DB30" s="74">
        <v>3.7159000000000001E-5</v>
      </c>
      <c r="DC30" s="74">
        <v>3.6480199999999997E-5</v>
      </c>
      <c r="DD30" s="74">
        <v>3.5813899999999999E-5</v>
      </c>
      <c r="DE30" s="74">
        <v>3.5159600000000001E-5</v>
      </c>
      <c r="DF30" s="74">
        <v>3.4517400000000003E-5</v>
      </c>
      <c r="DG30" s="74">
        <v>3.3886800000000002E-5</v>
      </c>
      <c r="DH30" s="74">
        <v>3.32678E-5</v>
      </c>
      <c r="DI30" s="74">
        <v>3.2660100000000003E-5</v>
      </c>
      <c r="DJ30" s="74">
        <v>3.2063400000000002E-5</v>
      </c>
      <c r="DK30" s="74">
        <v>3.1477699999999998E-5</v>
      </c>
      <c r="DL30" s="74">
        <v>3.0902599999999998E-5</v>
      </c>
      <c r="DM30" s="74">
        <v>3.03381E-5</v>
      </c>
      <c r="DN30" s="74">
        <v>2.9783800000000001E-5</v>
      </c>
      <c r="DO30" s="74">
        <v>2.9239700000000001E-5</v>
      </c>
      <c r="DP30" s="74">
        <v>2.8705500000000002E-5</v>
      </c>
      <c r="DQ30" s="74">
        <v>2.8181E-5</v>
      </c>
      <c r="DR30" s="74">
        <v>2.7666199999999999E-5</v>
      </c>
      <c r="DS30" s="74">
        <v>2.7160699999999999E-5</v>
      </c>
      <c r="DT30" s="74">
        <v>2.6664499999999999E-5</v>
      </c>
      <c r="DU30" s="74">
        <v>2.6177300000000001E-5</v>
      </c>
      <c r="DV30" s="74">
        <v>2.5698999999999999E-5</v>
      </c>
      <c r="DW30" s="74">
        <v>2.52295E-5</v>
      </c>
      <c r="DX30" s="74">
        <v>2.4768499999999998E-5</v>
      </c>
      <c r="DY30" s="74">
        <v>2.4315999999999999E-5</v>
      </c>
      <c r="DZ30" s="74">
        <v>2.38717E-5</v>
      </c>
      <c r="EA30" s="74">
        <v>2.34356E-5</v>
      </c>
      <c r="EB30" s="74">
        <v>2.3007399999999999E-5</v>
      </c>
      <c r="EC30" s="74">
        <v>2.2586999999999999E-5</v>
      </c>
      <c r="ED30" s="74">
        <v>2.2174299999999999E-5</v>
      </c>
      <c r="EE30" s="74">
        <v>2.1769100000000001E-5</v>
      </c>
      <c r="EF30" s="74">
        <v>2.13714E-5</v>
      </c>
      <c r="EG30" s="74">
        <v>2.0980900000000001E-5</v>
      </c>
      <c r="EH30" s="74">
        <v>2.0597500000000001E-5</v>
      </c>
      <c r="EI30" s="74">
        <v>2.0221199999999999E-5</v>
      </c>
      <c r="EJ30" s="74">
        <v>1.9851699999999998E-5</v>
      </c>
      <c r="EK30" s="74">
        <v>1.9488999999999999E-5</v>
      </c>
      <c r="EL30" s="74">
        <v>1.9132900000000001E-5</v>
      </c>
      <c r="EM30" s="74">
        <v>1.87833E-5</v>
      </c>
      <c r="EN30" s="74">
        <v>1.84401E-5</v>
      </c>
      <c r="EO30" s="74">
        <v>1.81031E-5</v>
      </c>
      <c r="EP30" s="74">
        <v>1.7772399999999999E-5</v>
      </c>
      <c r="EQ30" s="74">
        <v>1.7447599999999999E-5</v>
      </c>
      <c r="ER30" s="74">
        <v>1.7128800000000001E-5</v>
      </c>
      <c r="ES30" s="74">
        <v>1.6815799999999999E-5</v>
      </c>
      <c r="ET30" s="74">
        <v>1.65086E-5</v>
      </c>
      <c r="EU30" s="74">
        <v>1.6206899999999999E-5</v>
      </c>
      <c r="EV30" s="74">
        <v>1.59108E-5</v>
      </c>
      <c r="EW30" s="74">
        <v>1.56201E-5</v>
      </c>
      <c r="EX30" s="74">
        <v>1.5334600000000001E-5</v>
      </c>
      <c r="EY30" s="74">
        <v>1.5054399999999999E-5</v>
      </c>
      <c r="EZ30" s="74">
        <v>1.4779399999999999E-5</v>
      </c>
      <c r="FA30" s="74">
        <v>1.45093E-5</v>
      </c>
      <c r="FB30" s="74">
        <v>1.42442E-5</v>
      </c>
      <c r="FC30" s="74">
        <v>1.39839E-5</v>
      </c>
      <c r="FD30" s="74">
        <v>1.3728400000000001E-5</v>
      </c>
      <c r="FE30" s="74">
        <v>1.3477499999999999E-5</v>
      </c>
      <c r="FF30" s="74">
        <v>1.32313E-5</v>
      </c>
      <c r="FG30" s="74">
        <v>1.29895E-5</v>
      </c>
      <c r="FH30" s="74">
        <v>1.2752099999999999E-5</v>
      </c>
      <c r="FI30" s="74">
        <v>1.25191E-5</v>
      </c>
      <c r="FJ30" s="74">
        <v>1.22904E-5</v>
      </c>
      <c r="FK30" s="74">
        <v>1.2065800000000001E-5</v>
      </c>
      <c r="FL30" s="74">
        <v>1.18453E-5</v>
      </c>
      <c r="FM30" s="74">
        <v>1.16289E-5</v>
      </c>
      <c r="FN30" s="74">
        <v>1.14164E-5</v>
      </c>
      <c r="FO30" s="74">
        <v>1.12078E-5</v>
      </c>
      <c r="FP30" s="74">
        <v>1.1003E-5</v>
      </c>
      <c r="FQ30" s="74">
        <v>1.0801900000000001E-5</v>
      </c>
    </row>
    <row r="31" spans="1:173" x14ac:dyDescent="0.25">
      <c r="A31" s="76">
        <v>29</v>
      </c>
      <c r="B31" s="74">
        <v>2.6634100000000002E-4</v>
      </c>
      <c r="C31" s="74">
        <v>2.6193800000000003E-4</v>
      </c>
      <c r="D31" s="74">
        <v>2.5758820000000001E-4</v>
      </c>
      <c r="E31" s="74">
        <v>2.532926E-4</v>
      </c>
      <c r="F31" s="74">
        <v>2.4905160000000001E-4</v>
      </c>
      <c r="G31" s="74">
        <v>2.4486579999999998E-4</v>
      </c>
      <c r="H31" s="74">
        <v>2.4073559999999999E-4</v>
      </c>
      <c r="I31" s="74">
        <v>2.3666139999999999E-4</v>
      </c>
      <c r="J31" s="74">
        <v>2.3264330000000001E-4</v>
      </c>
      <c r="K31" s="74">
        <v>2.2868150000000001E-4</v>
      </c>
      <c r="L31" s="74">
        <v>2.2477599999999999E-4</v>
      </c>
      <c r="M31" s="74">
        <v>2.2092680000000001E-4</v>
      </c>
      <c r="N31" s="74">
        <v>2.171339E-4</v>
      </c>
      <c r="O31" s="74">
        <v>2.133971E-4</v>
      </c>
      <c r="P31" s="74">
        <v>2.097162E-4</v>
      </c>
      <c r="Q31" s="74">
        <v>2.0609090000000001E-4</v>
      </c>
      <c r="R31" s="74">
        <v>2.0252099999999999E-4</v>
      </c>
      <c r="S31" s="74">
        <v>1.9900620000000001E-4</v>
      </c>
      <c r="T31" s="74">
        <v>1.95546E-4</v>
      </c>
      <c r="U31" s="74">
        <v>1.9214009999999999E-4</v>
      </c>
      <c r="V31" s="74">
        <v>1.8878800000000001E-4</v>
      </c>
      <c r="W31" s="74">
        <v>1.8548920000000001E-4</v>
      </c>
      <c r="X31" s="74">
        <v>1.822433E-4</v>
      </c>
      <c r="Y31" s="74">
        <v>1.790498E-4</v>
      </c>
      <c r="Z31" s="74">
        <v>1.7590800000000001E-4</v>
      </c>
      <c r="AA31" s="74">
        <v>1.728175E-4</v>
      </c>
      <c r="AB31" s="74">
        <v>1.697778E-4</v>
      </c>
      <c r="AC31" s="74">
        <v>1.667881E-4</v>
      </c>
      <c r="AD31" s="74">
        <v>1.6384789999999999E-4</v>
      </c>
      <c r="AE31" s="74">
        <v>1.6095669999999999E-4</v>
      </c>
      <c r="AF31" s="74">
        <v>1.5811380000000001E-4</v>
      </c>
      <c r="AG31" s="74">
        <v>1.553185E-4</v>
      </c>
      <c r="AH31" s="74">
        <v>1.5257030000000001E-4</v>
      </c>
      <c r="AI31" s="74">
        <v>1.4986860000000001E-4</v>
      </c>
      <c r="AJ31" s="74">
        <v>1.4721259999999999E-4</v>
      </c>
      <c r="AK31" s="74">
        <v>1.4460180000000001E-4</v>
      </c>
      <c r="AL31" s="74">
        <v>1.4203560000000001E-4</v>
      </c>
      <c r="AM31" s="74">
        <v>1.395132E-4</v>
      </c>
      <c r="AN31" s="74">
        <v>1.370341E-4</v>
      </c>
      <c r="AO31" s="74">
        <v>1.3459759999999999E-4</v>
      </c>
      <c r="AP31" s="74">
        <v>1.3220309999999999E-4</v>
      </c>
      <c r="AQ31" s="74">
        <v>1.2984990000000001E-4</v>
      </c>
      <c r="AR31" s="74">
        <v>1.275375E-4</v>
      </c>
      <c r="AS31" s="74">
        <v>1.2526510000000001E-4</v>
      </c>
      <c r="AT31" s="74">
        <v>1.2303229999999999E-4</v>
      </c>
      <c r="AU31" s="74">
        <v>1.208383E-4</v>
      </c>
      <c r="AV31" s="74">
        <v>1.186826E-4</v>
      </c>
      <c r="AW31" s="74">
        <v>1.165645E-4</v>
      </c>
      <c r="AX31" s="74">
        <v>1.144834E-4</v>
      </c>
      <c r="AY31" s="74">
        <v>1.124388E-4</v>
      </c>
      <c r="AZ31" s="74">
        <v>1.1043010000000001E-4</v>
      </c>
      <c r="BA31" s="74">
        <v>1.0845659999999999E-4</v>
      </c>
      <c r="BB31" s="74">
        <v>1.065178E-4</v>
      </c>
      <c r="BC31" s="74">
        <v>1.046132E-4</v>
      </c>
      <c r="BD31" s="74">
        <v>1.0274209999999999E-4</v>
      </c>
      <c r="BE31" s="74">
        <v>1.0090399999999999E-4</v>
      </c>
      <c r="BF31" s="74">
        <v>9.9098400000000007E-5</v>
      </c>
      <c r="BG31" s="74">
        <v>9.7324600000000007E-5</v>
      </c>
      <c r="BH31" s="74">
        <v>9.5582300000000001E-5</v>
      </c>
      <c r="BI31" s="74">
        <v>9.3870799999999996E-5</v>
      </c>
      <c r="BJ31" s="74">
        <v>9.2189599999999996E-5</v>
      </c>
      <c r="BK31" s="74">
        <v>9.05383E-5</v>
      </c>
      <c r="BL31" s="74">
        <v>8.8916200000000001E-5</v>
      </c>
      <c r="BM31" s="74">
        <v>8.7322899999999997E-5</v>
      </c>
      <c r="BN31" s="74">
        <v>8.5758000000000001E-5</v>
      </c>
      <c r="BO31" s="74">
        <v>8.4220800000000005E-5</v>
      </c>
      <c r="BP31" s="74">
        <v>8.2711000000000001E-5</v>
      </c>
      <c r="BQ31" s="74">
        <v>8.1228099999999996E-5</v>
      </c>
      <c r="BR31" s="74">
        <v>7.97715E-5</v>
      </c>
      <c r="BS31" s="74">
        <v>7.8341000000000001E-5</v>
      </c>
      <c r="BT31" s="74">
        <v>7.6935900000000003E-5</v>
      </c>
      <c r="BU31" s="74">
        <v>7.5555800000000006E-5</v>
      </c>
      <c r="BV31" s="74">
        <v>7.4200400000000002E-5</v>
      </c>
      <c r="BW31" s="74">
        <v>7.2869199999999997E-5</v>
      </c>
      <c r="BX31" s="74">
        <v>7.1561699999999996E-5</v>
      </c>
      <c r="BY31" s="74">
        <v>7.0277600000000006E-5</v>
      </c>
      <c r="BZ31" s="74">
        <v>6.9016400000000006E-5</v>
      </c>
      <c r="CA31" s="74">
        <v>6.77778E-5</v>
      </c>
      <c r="CB31" s="74">
        <v>6.6561299999999996E-5</v>
      </c>
      <c r="CC31" s="74">
        <v>6.5366500000000005E-5</v>
      </c>
      <c r="CD31" s="74">
        <v>6.4193099999999994E-5</v>
      </c>
      <c r="CE31" s="74">
        <v>6.3040700000000001E-5</v>
      </c>
      <c r="CF31" s="74">
        <v>6.1908899999999999E-5</v>
      </c>
      <c r="CG31" s="74">
        <v>6.0797400000000002E-5</v>
      </c>
      <c r="CH31" s="74">
        <v>5.97058E-5</v>
      </c>
      <c r="CI31" s="74">
        <v>5.8633700000000001E-5</v>
      </c>
      <c r="CJ31" s="74">
        <v>5.7580800000000003E-5</v>
      </c>
      <c r="CK31" s="74">
        <v>5.6546799999999999E-5</v>
      </c>
      <c r="CL31" s="74">
        <v>5.5531300000000001E-5</v>
      </c>
      <c r="CM31" s="74">
        <v>5.4534000000000003E-5</v>
      </c>
      <c r="CN31" s="74">
        <v>5.3554599999999997E-5</v>
      </c>
      <c r="CO31" s="74">
        <v>5.2592700000000002E-5</v>
      </c>
      <c r="CP31" s="74">
        <v>5.1648099999999998E-5</v>
      </c>
      <c r="CQ31" s="74">
        <v>5.0720400000000003E-5</v>
      </c>
      <c r="CR31" s="74">
        <v>4.9809299999999998E-5</v>
      </c>
      <c r="CS31" s="74">
        <v>4.8914600000000001E-5</v>
      </c>
      <c r="CT31" s="74">
        <v>4.8035899999999999E-5</v>
      </c>
      <c r="CU31" s="74">
        <v>4.7172999999999997E-5</v>
      </c>
      <c r="CV31" s="74">
        <v>4.6325500000000002E-5</v>
      </c>
      <c r="CW31" s="74">
        <v>4.54933E-5</v>
      </c>
      <c r="CX31" s="74">
        <v>4.4675999999999997E-5</v>
      </c>
      <c r="CY31" s="74">
        <v>4.3873399999999999E-5</v>
      </c>
      <c r="CZ31" s="74">
        <v>4.3085099999999999E-5</v>
      </c>
      <c r="DA31" s="74">
        <v>4.2311000000000002E-5</v>
      </c>
      <c r="DB31" s="74">
        <v>4.1550900000000002E-5</v>
      </c>
      <c r="DC31" s="74">
        <v>4.0804299999999998E-5</v>
      </c>
      <c r="DD31" s="74">
        <v>4.0071199999999997E-5</v>
      </c>
      <c r="DE31" s="74">
        <v>3.9351199999999997E-5</v>
      </c>
      <c r="DF31" s="74">
        <v>3.8644099999999998E-5</v>
      </c>
      <c r="DG31" s="74">
        <v>3.79497E-5</v>
      </c>
      <c r="DH31" s="74">
        <v>3.7267800000000003E-5</v>
      </c>
      <c r="DI31" s="74">
        <v>3.6598199999999998E-5</v>
      </c>
      <c r="DJ31" s="74">
        <v>3.5940499999999999E-5</v>
      </c>
      <c r="DK31" s="74">
        <v>3.5294699999999999E-5</v>
      </c>
      <c r="DL31" s="74">
        <v>3.4660499999999998E-5</v>
      </c>
      <c r="DM31" s="74">
        <v>3.4037700000000001E-5</v>
      </c>
      <c r="DN31" s="74">
        <v>3.3426000000000002E-5</v>
      </c>
      <c r="DO31" s="74">
        <v>3.2825299999999999E-5</v>
      </c>
      <c r="DP31" s="74">
        <v>3.22355E-5</v>
      </c>
      <c r="DQ31" s="74">
        <v>3.1656199999999997E-5</v>
      </c>
      <c r="DR31" s="74">
        <v>3.1087300000000003E-5</v>
      </c>
      <c r="DS31" s="74">
        <v>3.0528699999999998E-5</v>
      </c>
      <c r="DT31" s="74">
        <v>2.9980000000000001E-5</v>
      </c>
      <c r="DU31" s="74">
        <v>2.9441299999999999E-5</v>
      </c>
      <c r="DV31" s="74">
        <v>2.8912200000000001E-5</v>
      </c>
      <c r="DW31" s="74">
        <v>2.83926E-5</v>
      </c>
      <c r="DX31" s="74">
        <v>2.7882399999999999E-5</v>
      </c>
      <c r="DY31" s="74">
        <v>2.7381300000000002E-5</v>
      </c>
      <c r="DZ31" s="74">
        <v>2.68892E-5</v>
      </c>
      <c r="EA31" s="74">
        <v>2.6406000000000001E-5</v>
      </c>
      <c r="EB31" s="74">
        <v>2.59314E-5</v>
      </c>
      <c r="EC31" s="74">
        <v>2.5465399999999998E-5</v>
      </c>
      <c r="ED31" s="74">
        <v>2.5007700000000001E-5</v>
      </c>
      <c r="EE31" s="74">
        <v>2.4558300000000002E-5</v>
      </c>
      <c r="EF31" s="74">
        <v>2.4116899999999999E-5</v>
      </c>
      <c r="EG31" s="74">
        <v>2.3683500000000001E-5</v>
      </c>
      <c r="EH31" s="74">
        <v>2.32579E-5</v>
      </c>
      <c r="EI31" s="74">
        <v>2.2839900000000001E-5</v>
      </c>
      <c r="EJ31" s="74">
        <v>2.2429399999999999E-5</v>
      </c>
      <c r="EK31" s="74">
        <v>2.2026299999999999E-5</v>
      </c>
      <c r="EL31" s="74">
        <v>2.1630399999999999E-5</v>
      </c>
      <c r="EM31" s="74">
        <v>2.12417E-5</v>
      </c>
      <c r="EN31" s="74">
        <v>2.08599E-5</v>
      </c>
      <c r="EO31" s="74">
        <v>2.0485000000000001E-5</v>
      </c>
      <c r="EP31" s="74">
        <v>2.01168E-5</v>
      </c>
      <c r="EQ31" s="74">
        <v>1.97553E-5</v>
      </c>
      <c r="ER31" s="74">
        <v>1.9400200000000001E-5</v>
      </c>
      <c r="ES31" s="74">
        <v>1.9051599999999999E-5</v>
      </c>
      <c r="ET31" s="74">
        <v>1.87092E-5</v>
      </c>
      <c r="EU31" s="74">
        <v>1.8372900000000002E-5</v>
      </c>
      <c r="EV31" s="74">
        <v>1.8042699999999999E-5</v>
      </c>
      <c r="EW31" s="74">
        <v>1.77184E-5</v>
      </c>
      <c r="EX31" s="74">
        <v>1.7399999999999999E-5</v>
      </c>
      <c r="EY31" s="74">
        <v>1.7087300000000002E-5</v>
      </c>
      <c r="EZ31" s="74">
        <v>1.6780199999999999E-5</v>
      </c>
      <c r="FA31" s="74">
        <v>1.6478599999999998E-5</v>
      </c>
      <c r="FB31" s="74">
        <v>1.6182399999999999E-5</v>
      </c>
      <c r="FC31" s="74">
        <v>1.5891599999999999E-5</v>
      </c>
      <c r="FD31" s="74">
        <v>1.5605899999999999E-5</v>
      </c>
      <c r="FE31" s="74">
        <v>1.5325500000000001E-5</v>
      </c>
      <c r="FF31" s="74">
        <v>1.505E-5</v>
      </c>
      <c r="FG31" s="74">
        <v>1.47795E-5</v>
      </c>
      <c r="FH31" s="74">
        <v>1.45139E-5</v>
      </c>
      <c r="FI31" s="74">
        <v>1.4253000000000001E-5</v>
      </c>
      <c r="FJ31" s="74">
        <v>1.39969E-5</v>
      </c>
      <c r="FK31" s="74">
        <v>1.37453E-5</v>
      </c>
      <c r="FL31" s="74">
        <v>1.3498299999999999E-5</v>
      </c>
      <c r="FM31" s="74">
        <v>1.3255700000000001E-5</v>
      </c>
      <c r="FN31" s="74">
        <v>1.30174E-5</v>
      </c>
      <c r="FO31" s="74">
        <v>1.27834E-5</v>
      </c>
      <c r="FP31" s="74">
        <v>1.25537E-5</v>
      </c>
      <c r="FQ31" s="74">
        <v>1.23281E-5</v>
      </c>
    </row>
    <row r="32" spans="1:173" x14ac:dyDescent="0.25">
      <c r="A32" s="76">
        <v>30</v>
      </c>
      <c r="B32" s="74">
        <v>2.7857419999999998E-4</v>
      </c>
      <c r="C32" s="74">
        <v>2.7394399999999998E-4</v>
      </c>
      <c r="D32" s="74">
        <v>2.693641E-4</v>
      </c>
      <c r="E32" s="74">
        <v>2.6483589999999998E-4</v>
      </c>
      <c r="F32" s="74">
        <v>2.603606E-4</v>
      </c>
      <c r="G32" s="74">
        <v>2.5593939999999998E-4</v>
      </c>
      <c r="H32" s="74">
        <v>2.5157309999999998E-4</v>
      </c>
      <c r="I32" s="74">
        <v>2.472625E-4</v>
      </c>
      <c r="J32" s="74">
        <v>2.430082E-4</v>
      </c>
      <c r="K32" s="74">
        <v>2.3881090000000001E-4</v>
      </c>
      <c r="L32" s="74">
        <v>2.346708E-4</v>
      </c>
      <c r="M32" s="74">
        <v>2.305884E-4</v>
      </c>
      <c r="N32" s="74">
        <v>2.2656379999999999E-4</v>
      </c>
      <c r="O32" s="74">
        <v>2.225971E-4</v>
      </c>
      <c r="P32" s="74">
        <v>2.1868840000000001E-4</v>
      </c>
      <c r="Q32" s="74">
        <v>2.1483759999999999E-4</v>
      </c>
      <c r="R32" s="74">
        <v>2.110448E-4</v>
      </c>
      <c r="S32" s="74">
        <v>2.0730959999999999E-4</v>
      </c>
      <c r="T32" s="74">
        <v>2.036319E-4</v>
      </c>
      <c r="U32" s="74">
        <v>2.0001139999999999E-4</v>
      </c>
      <c r="V32" s="74">
        <v>1.9644770000000001E-4</v>
      </c>
      <c r="W32" s="74">
        <v>1.9294059999999999E-4</v>
      </c>
      <c r="X32" s="74">
        <v>1.894896E-4</v>
      </c>
      <c r="Y32" s="74">
        <v>1.860943E-4</v>
      </c>
      <c r="Z32" s="74">
        <v>1.8275419999999999E-4</v>
      </c>
      <c r="AA32" s="74">
        <v>1.7946880000000001E-4</v>
      </c>
      <c r="AB32" s="74">
        <v>1.7623749999999999E-4</v>
      </c>
      <c r="AC32" s="74">
        <v>1.7305989999999999E-4</v>
      </c>
      <c r="AD32" s="74">
        <v>1.6993530000000001E-4</v>
      </c>
      <c r="AE32" s="74">
        <v>1.6686319999999999E-4</v>
      </c>
      <c r="AF32" s="74">
        <v>1.63843E-4</v>
      </c>
      <c r="AG32" s="74">
        <v>1.608739E-4</v>
      </c>
      <c r="AH32" s="74">
        <v>1.579555E-4</v>
      </c>
      <c r="AI32" s="74">
        <v>1.5508709999999999E-4</v>
      </c>
      <c r="AJ32" s="74">
        <v>1.52268E-4</v>
      </c>
      <c r="AK32" s="74">
        <v>1.494976E-4</v>
      </c>
      <c r="AL32" s="74">
        <v>1.4677519999999999E-4</v>
      </c>
      <c r="AM32" s="74">
        <v>1.4410010000000001E-4</v>
      </c>
      <c r="AN32" s="74">
        <v>1.414717E-4</v>
      </c>
      <c r="AO32" s="74">
        <v>1.388893E-4</v>
      </c>
      <c r="AP32" s="74">
        <v>1.363522E-4</v>
      </c>
      <c r="AQ32" s="74">
        <v>1.3385980000000001E-4</v>
      </c>
      <c r="AR32" s="74">
        <v>1.3141140000000001E-4</v>
      </c>
      <c r="AS32" s="74">
        <v>1.2900640000000001E-4</v>
      </c>
      <c r="AT32" s="74">
        <v>1.26644E-4</v>
      </c>
      <c r="AU32" s="74">
        <v>1.2432360000000001E-4</v>
      </c>
      <c r="AV32" s="74">
        <v>1.2204449999999999E-4</v>
      </c>
      <c r="AW32" s="74">
        <v>1.198061E-4</v>
      </c>
      <c r="AX32" s="74">
        <v>1.176078E-4</v>
      </c>
      <c r="AY32" s="74">
        <v>1.154488E-4</v>
      </c>
      <c r="AZ32" s="74">
        <v>1.133286E-4</v>
      </c>
      <c r="BA32" s="74">
        <v>1.1124650000000001E-4</v>
      </c>
      <c r="BB32" s="74">
        <v>1.092019E-4</v>
      </c>
      <c r="BC32" s="74">
        <v>1.071942E-4</v>
      </c>
      <c r="BD32" s="74">
        <v>1.052227E-4</v>
      </c>
      <c r="BE32" s="74">
        <v>1.032869E-4</v>
      </c>
      <c r="BF32" s="74">
        <v>1.013861E-4</v>
      </c>
      <c r="BG32" s="74">
        <v>9.9519700000000002E-5</v>
      </c>
      <c r="BH32" s="74">
        <v>9.7687200000000002E-5</v>
      </c>
      <c r="BI32" s="74">
        <v>9.5888000000000001E-5</v>
      </c>
      <c r="BJ32" s="74">
        <v>9.4121499999999997E-5</v>
      </c>
      <c r="BK32" s="74">
        <v>9.2387100000000002E-5</v>
      </c>
      <c r="BL32" s="74">
        <v>9.0684299999999995E-5</v>
      </c>
      <c r="BM32" s="74">
        <v>8.9012599999999995E-5</v>
      </c>
      <c r="BN32" s="74">
        <v>8.7371299999999995E-5</v>
      </c>
      <c r="BO32" s="74">
        <v>8.5760000000000006E-5</v>
      </c>
      <c r="BP32" s="74">
        <v>8.4178200000000007E-5</v>
      </c>
      <c r="BQ32" s="74">
        <v>8.2625200000000003E-5</v>
      </c>
      <c r="BR32" s="74">
        <v>8.1100700000000001E-5</v>
      </c>
      <c r="BS32" s="74">
        <v>7.9604000000000006E-5</v>
      </c>
      <c r="BT32" s="74">
        <v>7.8134799999999996E-5</v>
      </c>
      <c r="BU32" s="74">
        <v>7.6692499999999998E-5</v>
      </c>
      <c r="BV32" s="74">
        <v>7.5276600000000004E-5</v>
      </c>
      <c r="BW32" s="74">
        <v>7.3886699999999999E-5</v>
      </c>
      <c r="BX32" s="74">
        <v>7.2522300000000002E-5</v>
      </c>
      <c r="BY32" s="74">
        <v>7.1182999999999999E-5</v>
      </c>
      <c r="BZ32" s="74">
        <v>6.9868200000000003E-5</v>
      </c>
      <c r="CA32" s="74">
        <v>6.8577600000000006E-5</v>
      </c>
      <c r="CB32" s="74">
        <v>6.7310800000000006E-5</v>
      </c>
      <c r="CC32" s="74">
        <v>6.6067200000000003E-5</v>
      </c>
      <c r="CD32" s="74">
        <v>6.4846500000000003E-5</v>
      </c>
      <c r="CE32" s="74">
        <v>6.3648199999999998E-5</v>
      </c>
      <c r="CF32" s="74">
        <v>6.2471999999999994E-5</v>
      </c>
      <c r="CG32" s="74">
        <v>6.1317500000000004E-5</v>
      </c>
      <c r="CH32" s="74">
        <v>6.0184199999999999E-5</v>
      </c>
      <c r="CI32" s="74">
        <v>5.9071799999999999E-5</v>
      </c>
      <c r="CJ32" s="74">
        <v>5.7979899999999997E-5</v>
      </c>
      <c r="CK32" s="74">
        <v>5.6908099999999998E-5</v>
      </c>
      <c r="CL32" s="74">
        <v>5.5856000000000002E-5</v>
      </c>
      <c r="CM32" s="74">
        <v>5.4823400000000001E-5</v>
      </c>
      <c r="CN32" s="74">
        <v>5.3809800000000001E-5</v>
      </c>
      <c r="CO32" s="74">
        <v>5.2814800000000001E-5</v>
      </c>
      <c r="CP32" s="74">
        <v>5.1838300000000001E-5</v>
      </c>
      <c r="CQ32" s="74">
        <v>5.08797E-5</v>
      </c>
      <c r="CR32" s="74">
        <v>4.9938899999999997E-5</v>
      </c>
      <c r="CS32" s="74">
        <v>4.9015399999999998E-5</v>
      </c>
      <c r="CT32" s="74">
        <v>4.8108900000000003E-5</v>
      </c>
      <c r="CU32" s="74">
        <v>4.7219199999999997E-5</v>
      </c>
      <c r="CV32" s="74">
        <v>4.63459E-5</v>
      </c>
      <c r="CW32" s="74">
        <v>4.5488699999999997E-5</v>
      </c>
      <c r="CX32" s="74">
        <v>4.4647400000000002E-5</v>
      </c>
      <c r="CY32" s="74">
        <v>4.3821600000000001E-5</v>
      </c>
      <c r="CZ32" s="74">
        <v>4.3010999999999999E-5</v>
      </c>
      <c r="DA32" s="74">
        <v>4.2215500000000003E-5</v>
      </c>
      <c r="DB32" s="74">
        <v>4.1434599999999998E-5</v>
      </c>
      <c r="DC32" s="74">
        <v>4.0668099999999998E-5</v>
      </c>
      <c r="DD32" s="74">
        <v>3.9915800000000002E-5</v>
      </c>
      <c r="DE32" s="74">
        <v>3.9177400000000002E-5</v>
      </c>
      <c r="DF32" s="74">
        <v>3.8452699999999999E-5</v>
      </c>
      <c r="DG32" s="74">
        <v>3.7741299999999997E-5</v>
      </c>
      <c r="DH32" s="74">
        <v>3.7043099999999998E-5</v>
      </c>
      <c r="DI32" s="74">
        <v>3.6357799999999999E-5</v>
      </c>
      <c r="DJ32" s="74">
        <v>3.5685200000000002E-5</v>
      </c>
      <c r="DK32" s="74">
        <v>3.5024999999999998E-5</v>
      </c>
      <c r="DL32" s="74">
        <v>3.4377E-5</v>
      </c>
      <c r="DM32" s="74">
        <v>3.3741000000000001E-5</v>
      </c>
      <c r="DN32" s="74">
        <v>3.3116700000000001E-5</v>
      </c>
      <c r="DO32" s="74">
        <v>3.2503999999999999E-5</v>
      </c>
      <c r="DP32" s="74">
        <v>3.1902600000000002E-5</v>
      </c>
      <c r="DQ32" s="74">
        <v>3.1312400000000002E-5</v>
      </c>
      <c r="DR32" s="74">
        <v>3.0732999999999999E-5</v>
      </c>
      <c r="DS32" s="74">
        <v>3.0164399999999999E-5</v>
      </c>
      <c r="DT32" s="74">
        <v>2.9606300000000001E-5</v>
      </c>
      <c r="DU32" s="74">
        <v>2.90585E-5</v>
      </c>
      <c r="DV32" s="74">
        <v>2.85208E-5</v>
      </c>
      <c r="DW32" s="74">
        <v>2.7993100000000001E-5</v>
      </c>
      <c r="DX32" s="74">
        <v>2.7475100000000001E-5</v>
      </c>
      <c r="DY32" s="74">
        <v>2.6966800000000001E-5</v>
      </c>
      <c r="DZ32" s="74">
        <v>2.6467800000000001E-5</v>
      </c>
      <c r="EA32" s="74">
        <v>2.5978000000000001E-5</v>
      </c>
      <c r="EB32" s="74">
        <v>2.5497300000000001E-5</v>
      </c>
      <c r="EC32" s="74">
        <v>2.50255E-5</v>
      </c>
      <c r="ED32" s="74">
        <v>2.4562500000000001E-5</v>
      </c>
      <c r="EE32" s="74">
        <v>2.4108E-5</v>
      </c>
      <c r="EF32" s="74">
        <v>2.3661900000000001E-5</v>
      </c>
      <c r="EG32" s="74">
        <v>2.3224E-5</v>
      </c>
      <c r="EH32" s="74">
        <v>2.27943E-5</v>
      </c>
      <c r="EI32" s="74">
        <v>2.23725E-5</v>
      </c>
      <c r="EJ32" s="74">
        <v>2.19585E-5</v>
      </c>
      <c r="EK32" s="74">
        <v>2.15522E-5</v>
      </c>
      <c r="EL32" s="74">
        <v>2.11534E-5</v>
      </c>
      <c r="EM32" s="74">
        <v>2.0761899999999999E-5</v>
      </c>
      <c r="EN32" s="74">
        <v>2.03777E-5</v>
      </c>
      <c r="EO32" s="74">
        <v>2.00006E-5</v>
      </c>
      <c r="EP32" s="74">
        <v>1.9630500000000001E-5</v>
      </c>
      <c r="EQ32" s="74">
        <v>1.9267300000000001E-5</v>
      </c>
      <c r="ER32" s="74">
        <v>1.8910699999999998E-5</v>
      </c>
      <c r="ES32" s="74">
        <v>1.85608E-5</v>
      </c>
      <c r="ET32" s="74">
        <v>1.8217299999999999E-5</v>
      </c>
      <c r="EU32" s="74">
        <v>1.7880199999999999E-5</v>
      </c>
      <c r="EV32" s="74">
        <v>1.7549300000000002E-5</v>
      </c>
      <c r="EW32" s="74">
        <v>1.7224600000000001E-5</v>
      </c>
      <c r="EX32" s="74">
        <v>1.69059E-5</v>
      </c>
      <c r="EY32" s="74">
        <v>1.6592999999999999E-5</v>
      </c>
      <c r="EZ32" s="74">
        <v>1.6285899999999999E-5</v>
      </c>
      <c r="FA32" s="74">
        <v>1.5984599999999999E-5</v>
      </c>
      <c r="FB32" s="74">
        <v>1.5688800000000001E-5</v>
      </c>
      <c r="FC32" s="74">
        <v>1.5398499999999998E-5</v>
      </c>
      <c r="FD32" s="74">
        <v>1.51135E-5</v>
      </c>
      <c r="FE32" s="74">
        <v>1.48338E-5</v>
      </c>
      <c r="FF32" s="74">
        <v>1.45593E-5</v>
      </c>
      <c r="FG32" s="74">
        <v>1.42899E-5</v>
      </c>
      <c r="FH32" s="74">
        <v>1.40254E-5</v>
      </c>
      <c r="FI32" s="74">
        <v>1.37659E-5</v>
      </c>
      <c r="FJ32" s="74">
        <v>1.35112E-5</v>
      </c>
      <c r="FK32" s="74">
        <v>1.3261100000000001E-5</v>
      </c>
      <c r="FL32" s="74">
        <v>1.30157E-5</v>
      </c>
      <c r="FM32" s="74">
        <v>1.27749E-5</v>
      </c>
      <c r="FN32" s="74">
        <v>1.25385E-5</v>
      </c>
      <c r="FO32" s="74">
        <v>1.23064E-5</v>
      </c>
      <c r="FP32" s="74">
        <v>1.20787E-5</v>
      </c>
      <c r="FQ32" s="74">
        <v>1.18552E-5</v>
      </c>
    </row>
    <row r="33" spans="1:173" x14ac:dyDescent="0.25">
      <c r="A33" s="76">
        <v>31</v>
      </c>
      <c r="B33" s="74">
        <v>2.9637210000000002E-4</v>
      </c>
      <c r="C33" s="74">
        <v>2.9103469999999999E-4</v>
      </c>
      <c r="D33" s="74">
        <v>2.8579240000000002E-4</v>
      </c>
      <c r="E33" s="74">
        <v>2.8064380000000002E-4</v>
      </c>
      <c r="F33" s="74">
        <v>2.755872E-4</v>
      </c>
      <c r="G33" s="74">
        <v>2.7062089999999999E-4</v>
      </c>
      <c r="H33" s="74">
        <v>2.6574349999999999E-4</v>
      </c>
      <c r="I33" s="74">
        <v>2.6095330000000001E-4</v>
      </c>
      <c r="J33" s="74">
        <v>2.5624890000000003E-4</v>
      </c>
      <c r="K33" s="74">
        <v>2.516288E-4</v>
      </c>
      <c r="L33" s="74">
        <v>2.4709139999999998E-4</v>
      </c>
      <c r="M33" s="74">
        <v>2.426354E-4</v>
      </c>
      <c r="N33" s="74">
        <v>2.3825929999999999E-4</v>
      </c>
      <c r="O33" s="74">
        <v>2.339617E-4</v>
      </c>
      <c r="P33" s="74">
        <v>2.2974129999999999E-4</v>
      </c>
      <c r="Q33" s="74">
        <v>2.2559659999999999E-4</v>
      </c>
      <c r="R33" s="74">
        <v>2.2152639999999999E-4</v>
      </c>
      <c r="S33" s="74">
        <v>2.1752929999999999E-4</v>
      </c>
      <c r="T33" s="74">
        <v>2.13604E-4</v>
      </c>
      <c r="U33" s="74">
        <v>2.0974930000000001E-4</v>
      </c>
      <c r="V33" s="74">
        <v>2.0596389999999999E-4</v>
      </c>
      <c r="W33" s="74">
        <v>2.0224659999999999E-4</v>
      </c>
      <c r="X33" s="74">
        <v>1.985961E-4</v>
      </c>
      <c r="Y33" s="74">
        <v>1.950113E-4</v>
      </c>
      <c r="Z33" s="74">
        <v>1.9149109999999999E-4</v>
      </c>
      <c r="AA33" s="74">
        <v>1.880342E-4</v>
      </c>
      <c r="AB33" s="74">
        <v>1.8463959999999999E-4</v>
      </c>
      <c r="AC33" s="74">
        <v>1.8130610000000001E-4</v>
      </c>
      <c r="AD33" s="74">
        <v>1.7803259999999999E-4</v>
      </c>
      <c r="AE33" s="74">
        <v>1.7481810000000001E-4</v>
      </c>
      <c r="AF33" s="74">
        <v>1.7166149999999999E-4</v>
      </c>
      <c r="AG33" s="74">
        <v>1.6856179999999999E-4</v>
      </c>
      <c r="AH33" s="74">
        <v>1.65518E-4</v>
      </c>
      <c r="AI33" s="74">
        <v>1.6252899999999999E-4</v>
      </c>
      <c r="AJ33" s="74">
        <v>1.5959390000000001E-4</v>
      </c>
      <c r="AK33" s="74">
        <v>1.5671169999999999E-4</v>
      </c>
      <c r="AL33" s="74">
        <v>1.5388150000000001E-4</v>
      </c>
      <c r="AM33" s="74">
        <v>1.5110230000000001E-4</v>
      </c>
      <c r="AN33" s="74">
        <v>1.483733E-4</v>
      </c>
      <c r="AO33" s="74">
        <v>1.4569339999999999E-4</v>
      </c>
      <c r="AP33" s="74">
        <v>1.430619E-4</v>
      </c>
      <c r="AQ33" s="74">
        <v>1.404779E-4</v>
      </c>
      <c r="AR33" s="74">
        <v>1.3794050000000001E-4</v>
      </c>
      <c r="AS33" s="74">
        <v>1.3544889999999999E-4</v>
      </c>
      <c r="AT33" s="74">
        <v>1.330022E-4</v>
      </c>
      <c r="AU33" s="74">
        <v>1.3059970000000001E-4</v>
      </c>
      <c r="AV33" s="74">
        <v>1.2824059999999999E-4</v>
      </c>
      <c r="AW33" s="74">
        <v>1.25924E-4</v>
      </c>
      <c r="AX33" s="74">
        <v>1.236492E-4</v>
      </c>
      <c r="AY33" s="74">
        <v>1.214155E-4</v>
      </c>
      <c r="AZ33" s="74">
        <v>1.192221E-4</v>
      </c>
      <c r="BA33" s="74">
        <v>1.1706830000000001E-4</v>
      </c>
      <c r="BB33" s="74">
        <v>1.149534E-4</v>
      </c>
      <c r="BC33" s="74">
        <v>1.128767E-4</v>
      </c>
      <c r="BD33" s="74">
        <v>1.108375E-4</v>
      </c>
      <c r="BE33" s="74">
        <v>1.08835E-4</v>
      </c>
      <c r="BF33" s="74">
        <v>1.068688E-4</v>
      </c>
      <c r="BG33" s="74">
        <v>1.04938E-4</v>
      </c>
      <c r="BH33" s="74">
        <v>1.030421E-4</v>
      </c>
      <c r="BI33" s="74">
        <v>1.011805E-4</v>
      </c>
      <c r="BJ33" s="74">
        <v>9.9352399999999994E-5</v>
      </c>
      <c r="BK33" s="74">
        <v>9.7557400000000002E-5</v>
      </c>
      <c r="BL33" s="74">
        <v>9.57948E-5</v>
      </c>
      <c r="BM33" s="74">
        <v>9.4063999999999999E-5</v>
      </c>
      <c r="BN33" s="74">
        <v>9.2364500000000006E-5</v>
      </c>
      <c r="BO33" s="74">
        <v>9.0695700000000006E-5</v>
      </c>
      <c r="BP33" s="74">
        <v>8.9056999999999998E-5</v>
      </c>
      <c r="BQ33" s="74">
        <v>8.74479E-5</v>
      </c>
      <c r="BR33" s="74">
        <v>8.5867900000000005E-5</v>
      </c>
      <c r="BS33" s="74">
        <v>8.4316399999999998E-5</v>
      </c>
      <c r="BT33" s="74">
        <v>8.2793000000000005E-5</v>
      </c>
      <c r="BU33" s="74">
        <v>8.1297000000000004E-5</v>
      </c>
      <c r="BV33" s="74">
        <v>7.9828100000000002E-5</v>
      </c>
      <c r="BW33" s="74">
        <v>7.8385699999999997E-5</v>
      </c>
      <c r="BX33" s="74">
        <v>7.6969400000000002E-5</v>
      </c>
      <c r="BY33" s="74">
        <v>7.5578699999999995E-5</v>
      </c>
      <c r="BZ33" s="74">
        <v>7.4213099999999996E-5</v>
      </c>
      <c r="CA33" s="74">
        <v>7.2872099999999996E-5</v>
      </c>
      <c r="CB33" s="74">
        <v>7.1555400000000003E-5</v>
      </c>
      <c r="CC33" s="74">
        <v>7.0262499999999993E-5</v>
      </c>
      <c r="CD33" s="74">
        <v>6.8992900000000001E-5</v>
      </c>
      <c r="CE33" s="74">
        <v>6.7746199999999999E-5</v>
      </c>
      <c r="CF33" s="74">
        <v>6.6522100000000005E-5</v>
      </c>
      <c r="CG33" s="74">
        <v>6.5320099999999998E-5</v>
      </c>
      <c r="CH33" s="74">
        <v>6.4139800000000005E-5</v>
      </c>
      <c r="CI33" s="74">
        <v>6.2980900000000005E-5</v>
      </c>
      <c r="CJ33" s="74">
        <v>6.1842799999999997E-5</v>
      </c>
      <c r="CK33" s="74">
        <v>6.07254E-5</v>
      </c>
      <c r="CL33" s="74">
        <v>5.9628099999999999E-5</v>
      </c>
      <c r="CM33" s="74">
        <v>5.8550700000000002E-5</v>
      </c>
      <c r="CN33" s="74">
        <v>5.7492699999999999E-5</v>
      </c>
      <c r="CO33" s="74">
        <v>5.6453799999999998E-5</v>
      </c>
      <c r="CP33" s="74">
        <v>5.5433699999999997E-5</v>
      </c>
      <c r="CQ33" s="74">
        <v>5.4432000000000003E-5</v>
      </c>
      <c r="CR33" s="74">
        <v>5.3448500000000002E-5</v>
      </c>
      <c r="CS33" s="74">
        <v>5.2482699999999998E-5</v>
      </c>
      <c r="CT33" s="74">
        <v>5.1534299999999999E-5</v>
      </c>
      <c r="CU33" s="74">
        <v>5.0603099999999997E-5</v>
      </c>
      <c r="CV33" s="74">
        <v>4.9688699999999997E-5</v>
      </c>
      <c r="CW33" s="74">
        <v>4.8790900000000001E-5</v>
      </c>
      <c r="CX33" s="74">
        <v>4.7909199999999999E-5</v>
      </c>
      <c r="CY33" s="74">
        <v>4.7043499999999998E-5</v>
      </c>
      <c r="CZ33" s="74">
        <v>4.6193399999999997E-5</v>
      </c>
      <c r="DA33" s="74">
        <v>4.5358700000000003E-5</v>
      </c>
      <c r="DB33" s="74">
        <v>4.4539100000000002E-5</v>
      </c>
      <c r="DC33" s="74">
        <v>4.3734299999999999E-5</v>
      </c>
      <c r="DD33" s="74">
        <v>4.2944000000000001E-5</v>
      </c>
      <c r="DE33" s="74">
        <v>4.2168E-5</v>
      </c>
      <c r="DF33" s="74">
        <v>4.1406000000000003E-5</v>
      </c>
      <c r="DG33" s="74">
        <v>4.0657800000000002E-5</v>
      </c>
      <c r="DH33" s="74">
        <v>3.9923099999999997E-5</v>
      </c>
      <c r="DI33" s="74">
        <v>3.9201700000000001E-5</v>
      </c>
      <c r="DJ33" s="74">
        <v>3.84933E-5</v>
      </c>
      <c r="DK33" s="74">
        <v>3.7797799999999999E-5</v>
      </c>
      <c r="DL33" s="74">
        <v>3.7114799999999999E-5</v>
      </c>
      <c r="DM33" s="74">
        <v>3.6444099999999999E-5</v>
      </c>
      <c r="DN33" s="74">
        <v>3.5785499999999998E-5</v>
      </c>
      <c r="DO33" s="74">
        <v>3.5138900000000003E-5</v>
      </c>
      <c r="DP33" s="74">
        <v>3.45039E-5</v>
      </c>
      <c r="DQ33" s="74">
        <v>3.3880400000000002E-5</v>
      </c>
      <c r="DR33" s="74">
        <v>3.3268200000000001E-5</v>
      </c>
      <c r="DS33" s="74">
        <v>3.2667099999999998E-5</v>
      </c>
      <c r="DT33" s="74">
        <v>3.2076799999999998E-5</v>
      </c>
      <c r="DU33" s="74">
        <v>3.14971E-5</v>
      </c>
      <c r="DV33" s="74">
        <v>3.0927999999999999E-5</v>
      </c>
      <c r="DW33" s="74">
        <v>3.03691E-5</v>
      </c>
      <c r="DX33" s="74">
        <v>2.98203E-5</v>
      </c>
      <c r="DY33" s="74">
        <v>2.9281400000000001E-5</v>
      </c>
      <c r="DZ33" s="74">
        <v>2.8752299999999999E-5</v>
      </c>
      <c r="EA33" s="74">
        <v>2.8232799999999998E-5</v>
      </c>
      <c r="EB33" s="74">
        <v>2.7722600000000001E-5</v>
      </c>
      <c r="EC33" s="74">
        <v>2.72216E-5</v>
      </c>
      <c r="ED33" s="74">
        <v>2.6729699999999999E-5</v>
      </c>
      <c r="EE33" s="74">
        <v>2.6246700000000001E-5</v>
      </c>
      <c r="EF33" s="74">
        <v>2.5772400000000001E-5</v>
      </c>
      <c r="EG33" s="74">
        <v>2.5306699999999999E-5</v>
      </c>
      <c r="EH33" s="74">
        <v>2.48494E-5</v>
      </c>
      <c r="EI33" s="74">
        <v>2.4400400000000001E-5</v>
      </c>
      <c r="EJ33" s="74">
        <v>2.39595E-5</v>
      </c>
      <c r="EK33" s="74">
        <v>2.3526499999999999E-5</v>
      </c>
      <c r="EL33" s="74">
        <v>2.3101399999999999E-5</v>
      </c>
      <c r="EM33" s="74">
        <v>2.2683900000000001E-5</v>
      </c>
      <c r="EN33" s="74">
        <v>2.2274000000000001E-5</v>
      </c>
      <c r="EO33" s="74">
        <v>2.1871499999999999E-5</v>
      </c>
      <c r="EP33" s="74">
        <v>2.14763E-5</v>
      </c>
      <c r="EQ33" s="74">
        <v>2.1088199999999999E-5</v>
      </c>
      <c r="ER33" s="74">
        <v>2.07071E-5</v>
      </c>
      <c r="ES33" s="74">
        <v>2.0333E-5</v>
      </c>
      <c r="ET33" s="74">
        <v>1.9965500000000001E-5</v>
      </c>
      <c r="EU33" s="74">
        <v>1.9604699999999999E-5</v>
      </c>
      <c r="EV33" s="74">
        <v>1.9250500000000001E-5</v>
      </c>
      <c r="EW33" s="74">
        <v>1.8902600000000001E-5</v>
      </c>
      <c r="EX33" s="74">
        <v>1.8561000000000001E-5</v>
      </c>
      <c r="EY33" s="74">
        <v>1.82256E-5</v>
      </c>
      <c r="EZ33" s="74">
        <v>1.78963E-5</v>
      </c>
      <c r="FA33" s="74">
        <v>1.7572899999999999E-5</v>
      </c>
      <c r="FB33" s="74">
        <v>1.7255300000000001E-5</v>
      </c>
      <c r="FC33" s="74">
        <v>1.6943500000000001E-5</v>
      </c>
      <c r="FD33" s="74">
        <v>1.6637400000000001E-5</v>
      </c>
      <c r="FE33" s="74">
        <v>1.6336699999999999E-5</v>
      </c>
      <c r="FF33" s="74">
        <v>1.6041499999999999E-5</v>
      </c>
      <c r="FG33" s="74">
        <v>1.57516E-5</v>
      </c>
      <c r="FH33" s="74">
        <v>1.5466999999999999E-5</v>
      </c>
      <c r="FI33" s="74">
        <v>1.51875E-5</v>
      </c>
      <c r="FJ33" s="74">
        <v>1.4912999999999999E-5</v>
      </c>
      <c r="FK33" s="74">
        <v>1.46436E-5</v>
      </c>
      <c r="FL33" s="74">
        <v>1.4378900000000001E-5</v>
      </c>
      <c r="FM33" s="74">
        <v>1.41191E-5</v>
      </c>
      <c r="FN33" s="74">
        <v>1.3864E-5</v>
      </c>
      <c r="FO33" s="74">
        <v>1.3613400000000001E-5</v>
      </c>
      <c r="FP33" s="74">
        <v>1.33674E-5</v>
      </c>
      <c r="FQ33" s="74">
        <v>1.3125900000000001E-5</v>
      </c>
    </row>
    <row r="34" spans="1:173" x14ac:dyDescent="0.25">
      <c r="A34" s="76">
        <v>32</v>
      </c>
      <c r="B34" s="74">
        <v>3.0842709999999999E-4</v>
      </c>
      <c r="C34" s="74">
        <v>3.0275929999999999E-4</v>
      </c>
      <c r="D34" s="74">
        <v>2.9719920000000001E-4</v>
      </c>
      <c r="E34" s="74">
        <v>2.9174449999999998E-4</v>
      </c>
      <c r="F34" s="74">
        <v>2.863931E-4</v>
      </c>
      <c r="G34" s="74">
        <v>2.811426E-4</v>
      </c>
      <c r="H34" s="74">
        <v>2.7599120000000002E-4</v>
      </c>
      <c r="I34" s="74">
        <v>2.7093659999999998E-4</v>
      </c>
      <c r="J34" s="74">
        <v>2.659769E-4</v>
      </c>
      <c r="K34" s="74">
        <v>2.6111009999999998E-4</v>
      </c>
      <c r="L34" s="74">
        <v>2.5633440000000002E-4</v>
      </c>
      <c r="M34" s="74">
        <v>2.5164799999999999E-4</v>
      </c>
      <c r="N34" s="74">
        <v>2.4704890000000002E-4</v>
      </c>
      <c r="O34" s="74">
        <v>2.425355E-4</v>
      </c>
      <c r="P34" s="74">
        <v>2.3810610000000001E-4</v>
      </c>
      <c r="Q34" s="74">
        <v>2.33759E-4</v>
      </c>
      <c r="R34" s="74">
        <v>2.2949259999999999E-4</v>
      </c>
      <c r="S34" s="74">
        <v>2.2530520000000001E-4</v>
      </c>
      <c r="T34" s="74">
        <v>2.2119540000000001E-4</v>
      </c>
      <c r="U34" s="74">
        <v>2.1716159999999999E-4</v>
      </c>
      <c r="V34" s="74">
        <v>2.1320240000000001E-4</v>
      </c>
      <c r="W34" s="74">
        <v>2.0931619999999999E-4</v>
      </c>
      <c r="X34" s="74">
        <v>2.055018E-4</v>
      </c>
      <c r="Y34" s="74">
        <v>2.0175759999999999E-4</v>
      </c>
      <c r="Z34" s="74">
        <v>1.9808240000000001E-4</v>
      </c>
      <c r="AA34" s="74">
        <v>1.9447480000000001E-4</v>
      </c>
      <c r="AB34" s="74">
        <v>1.909336E-4</v>
      </c>
      <c r="AC34" s="74">
        <v>1.8745750000000001E-4</v>
      </c>
      <c r="AD34" s="74">
        <v>1.8404519999999999E-4</v>
      </c>
      <c r="AE34" s="74">
        <v>1.8069550000000001E-4</v>
      </c>
      <c r="AF34" s="74">
        <v>1.7740719999999999E-4</v>
      </c>
      <c r="AG34" s="74">
        <v>1.7417929999999999E-4</v>
      </c>
      <c r="AH34" s="74">
        <v>1.7101050000000001E-4</v>
      </c>
      <c r="AI34" s="74">
        <v>1.6789969999999999E-4</v>
      </c>
      <c r="AJ34" s="74">
        <v>1.6484590000000001E-4</v>
      </c>
      <c r="AK34" s="74">
        <v>1.6184789999999999E-4</v>
      </c>
      <c r="AL34" s="74">
        <v>1.589048E-4</v>
      </c>
      <c r="AM34" s="74">
        <v>1.560155E-4</v>
      </c>
      <c r="AN34" s="74">
        <v>1.5317900000000001E-4</v>
      </c>
      <c r="AO34" s="74">
        <v>1.5039440000000001E-4</v>
      </c>
      <c r="AP34" s="74">
        <v>1.4766059999999999E-4</v>
      </c>
      <c r="AQ34" s="74">
        <v>1.4497659999999999E-4</v>
      </c>
      <c r="AR34" s="74">
        <v>1.4234170000000001E-4</v>
      </c>
      <c r="AS34" s="74">
        <v>1.397549E-4</v>
      </c>
      <c r="AT34" s="74">
        <v>1.3721520000000001E-4</v>
      </c>
      <c r="AU34" s="74">
        <v>1.3472190000000001E-4</v>
      </c>
      <c r="AV34" s="74">
        <v>1.3227399999999999E-4</v>
      </c>
      <c r="AW34" s="74">
        <v>1.298707E-4</v>
      </c>
      <c r="AX34" s="74">
        <v>1.2751129999999999E-4</v>
      </c>
      <c r="AY34" s="74">
        <v>1.251948E-4</v>
      </c>
      <c r="AZ34" s="74">
        <v>1.229205E-4</v>
      </c>
      <c r="BA34" s="74">
        <v>1.2068760000000001E-4</v>
      </c>
      <c r="BB34" s="74">
        <v>1.184954E-4</v>
      </c>
      <c r="BC34" s="74">
        <v>1.1634319999999999E-4</v>
      </c>
      <c r="BD34" s="74">
        <v>1.1423E-4</v>
      </c>
      <c r="BE34" s="74">
        <v>1.121554E-4</v>
      </c>
      <c r="BF34" s="74">
        <v>1.101185E-4</v>
      </c>
      <c r="BG34" s="74">
        <v>1.081186E-4</v>
      </c>
      <c r="BH34" s="74">
        <v>1.061552E-4</v>
      </c>
      <c r="BI34" s="74">
        <v>1.042274E-4</v>
      </c>
      <c r="BJ34" s="74">
        <v>1.023348E-4</v>
      </c>
      <c r="BK34" s="74">
        <v>1.004765E-4</v>
      </c>
      <c r="BL34" s="74">
        <v>9.8652000000000003E-5</v>
      </c>
      <c r="BM34" s="74">
        <v>9.6860800000000006E-5</v>
      </c>
      <c r="BN34" s="74">
        <v>9.5101999999999998E-5</v>
      </c>
      <c r="BO34" s="74">
        <v>9.33753E-5</v>
      </c>
      <c r="BP34" s="74">
        <v>9.1679899999999996E-5</v>
      </c>
      <c r="BQ34" s="74">
        <v>9.0015399999999999E-5</v>
      </c>
      <c r="BR34" s="74">
        <v>8.83811E-5</v>
      </c>
      <c r="BS34" s="74">
        <v>8.6776500000000005E-5</v>
      </c>
      <c r="BT34" s="74">
        <v>8.5201E-5</v>
      </c>
      <c r="BU34" s="74">
        <v>8.3654199999999996E-5</v>
      </c>
      <c r="BV34" s="74">
        <v>8.2135500000000007E-5</v>
      </c>
      <c r="BW34" s="74">
        <v>8.0644399999999997E-5</v>
      </c>
      <c r="BX34" s="74">
        <v>7.9180399999999998E-5</v>
      </c>
      <c r="BY34" s="74">
        <v>7.7742899999999997E-5</v>
      </c>
      <c r="BZ34" s="74">
        <v>7.6331599999999999E-5</v>
      </c>
      <c r="CA34" s="74">
        <v>7.4945999999999997E-5</v>
      </c>
      <c r="CB34" s="74">
        <v>7.3585399999999995E-5</v>
      </c>
      <c r="CC34" s="74">
        <v>7.2249599999999993E-5</v>
      </c>
      <c r="CD34" s="74">
        <v>7.0938099999999998E-5</v>
      </c>
      <c r="CE34" s="74">
        <v>6.96504E-5</v>
      </c>
      <c r="CF34" s="74">
        <v>6.8386099999999999E-5</v>
      </c>
      <c r="CG34" s="74">
        <v>6.7144700000000001E-5</v>
      </c>
      <c r="CH34" s="74">
        <v>6.5925899999999998E-5</v>
      </c>
      <c r="CI34" s="74">
        <v>6.4729199999999997E-5</v>
      </c>
      <c r="CJ34" s="74">
        <v>6.3554199999999995E-5</v>
      </c>
      <c r="CK34" s="74">
        <v>6.24006E-5</v>
      </c>
      <c r="CL34" s="74">
        <v>6.1267900000000003E-5</v>
      </c>
      <c r="CM34" s="74">
        <v>6.0155799999999998E-5</v>
      </c>
      <c r="CN34" s="74">
        <v>5.9063900000000002E-5</v>
      </c>
      <c r="CO34" s="74">
        <v>5.7991800000000003E-5</v>
      </c>
      <c r="CP34" s="74">
        <v>5.6939199999999999E-5</v>
      </c>
      <c r="CQ34" s="74">
        <v>5.5905600000000002E-5</v>
      </c>
      <c r="CR34" s="74">
        <v>5.48909E-5</v>
      </c>
      <c r="CS34" s="74">
        <v>5.3894599999999997E-5</v>
      </c>
      <c r="CT34" s="74">
        <v>5.29163E-5</v>
      </c>
      <c r="CU34" s="74">
        <v>5.1955800000000002E-5</v>
      </c>
      <c r="CV34" s="74">
        <v>5.1012800000000001E-5</v>
      </c>
      <c r="CW34" s="74">
        <v>5.0086900000000003E-5</v>
      </c>
      <c r="CX34" s="74">
        <v>4.9177800000000002E-5</v>
      </c>
      <c r="CY34" s="74">
        <v>4.8285200000000003E-5</v>
      </c>
      <c r="CZ34" s="74">
        <v>4.7408699999999999E-5</v>
      </c>
      <c r="DA34" s="74">
        <v>4.6548200000000003E-5</v>
      </c>
      <c r="DB34" s="74">
        <v>4.57034E-5</v>
      </c>
      <c r="DC34" s="74">
        <v>4.4873799999999997E-5</v>
      </c>
      <c r="DD34" s="74">
        <v>4.40593E-5</v>
      </c>
      <c r="DE34" s="74">
        <v>4.3259700000000002E-5</v>
      </c>
      <c r="DF34" s="74">
        <v>4.2474500000000001E-5</v>
      </c>
      <c r="DG34" s="74">
        <v>4.1703499999999998E-5</v>
      </c>
      <c r="DH34" s="74">
        <v>4.0946599999999999E-5</v>
      </c>
      <c r="DI34" s="74">
        <v>4.0203400000000002E-5</v>
      </c>
      <c r="DJ34" s="74">
        <v>3.9473700000000001E-5</v>
      </c>
      <c r="DK34" s="74">
        <v>3.8757300000000002E-5</v>
      </c>
      <c r="DL34" s="74">
        <v>3.8053799999999998E-5</v>
      </c>
      <c r="DM34" s="74">
        <v>3.7363100000000001E-5</v>
      </c>
      <c r="DN34" s="74">
        <v>3.6684999999999999E-5</v>
      </c>
      <c r="DO34" s="74">
        <v>3.6019100000000002E-5</v>
      </c>
      <c r="DP34" s="74">
        <v>3.5365399999999999E-5</v>
      </c>
      <c r="DQ34" s="74">
        <v>3.4723500000000001E-5</v>
      </c>
      <c r="DR34" s="74">
        <v>3.4093300000000001E-5</v>
      </c>
      <c r="DS34" s="74">
        <v>3.3474499999999999E-5</v>
      </c>
      <c r="DT34" s="74">
        <v>3.2866900000000002E-5</v>
      </c>
      <c r="DU34" s="74">
        <v>3.2270400000000002E-5</v>
      </c>
      <c r="DV34" s="74">
        <v>3.1684699999999998E-5</v>
      </c>
      <c r="DW34" s="74">
        <v>3.1109599999999998E-5</v>
      </c>
      <c r="DX34" s="74">
        <v>3.05449E-5</v>
      </c>
      <c r="DY34" s="74">
        <v>2.99905E-5</v>
      </c>
      <c r="DZ34" s="74">
        <v>2.9446199999999999E-5</v>
      </c>
      <c r="EA34" s="74">
        <v>2.89118E-5</v>
      </c>
      <c r="EB34" s="74">
        <v>2.8387000000000001E-5</v>
      </c>
      <c r="EC34" s="74">
        <v>2.78718E-5</v>
      </c>
      <c r="ED34" s="74">
        <v>2.7365899999999998E-5</v>
      </c>
      <c r="EE34" s="74">
        <v>2.68692E-5</v>
      </c>
      <c r="EF34" s="74">
        <v>2.6381600000000002E-5</v>
      </c>
      <c r="EG34" s="74">
        <v>2.5902699999999999E-5</v>
      </c>
      <c r="EH34" s="74">
        <v>2.5432600000000001E-5</v>
      </c>
      <c r="EI34" s="74">
        <v>2.4970999999999999E-5</v>
      </c>
      <c r="EJ34" s="74">
        <v>2.4517800000000001E-5</v>
      </c>
      <c r="EK34" s="74">
        <v>2.4072800000000001E-5</v>
      </c>
      <c r="EL34" s="74">
        <v>2.3635899999999998E-5</v>
      </c>
      <c r="EM34" s="74">
        <v>2.32069E-5</v>
      </c>
      <c r="EN34" s="74">
        <v>2.2785700000000001E-5</v>
      </c>
      <c r="EO34" s="74">
        <v>2.2372099999999999E-5</v>
      </c>
      <c r="EP34" s="74">
        <v>2.19661E-5</v>
      </c>
      <c r="EQ34" s="74">
        <v>2.15674E-5</v>
      </c>
      <c r="ER34" s="74">
        <v>2.1175900000000002E-5</v>
      </c>
      <c r="ES34" s="74">
        <v>2.0791599999999999E-5</v>
      </c>
      <c r="ET34" s="74">
        <v>2.0414199999999998E-5</v>
      </c>
      <c r="EU34" s="74">
        <v>2.0043699999999999E-5</v>
      </c>
      <c r="EV34" s="74">
        <v>1.9679900000000001E-5</v>
      </c>
      <c r="EW34" s="74">
        <v>1.9322700000000001E-5</v>
      </c>
      <c r="EX34" s="74">
        <v>1.8972000000000001E-5</v>
      </c>
      <c r="EY34" s="74">
        <v>1.8627700000000001E-5</v>
      </c>
      <c r="EZ34" s="74">
        <v>1.8289599999999998E-5</v>
      </c>
      <c r="FA34" s="74">
        <v>1.7957599999999999E-5</v>
      </c>
      <c r="FB34" s="74">
        <v>1.7631699999999999E-5</v>
      </c>
      <c r="FC34" s="74">
        <v>1.7311699999999999E-5</v>
      </c>
      <c r="FD34" s="74">
        <v>1.6997500000000001E-5</v>
      </c>
      <c r="FE34" s="74">
        <v>1.6688999999999999E-5</v>
      </c>
      <c r="FF34" s="74">
        <v>1.6386099999999999E-5</v>
      </c>
      <c r="FG34" s="74">
        <v>1.6088700000000001E-5</v>
      </c>
      <c r="FH34" s="74">
        <v>1.5796700000000001E-5</v>
      </c>
      <c r="FI34" s="74">
        <v>1.5509999999999999E-5</v>
      </c>
      <c r="FJ34" s="74">
        <v>1.52285E-5</v>
      </c>
      <c r="FK34" s="74">
        <v>1.49521E-5</v>
      </c>
      <c r="FL34" s="74">
        <v>1.46807E-5</v>
      </c>
      <c r="FM34" s="74">
        <v>1.44142E-5</v>
      </c>
      <c r="FN34" s="74">
        <v>1.4152600000000001E-5</v>
      </c>
      <c r="FO34" s="74">
        <v>1.38957E-5</v>
      </c>
      <c r="FP34" s="74">
        <v>1.3643500000000001E-5</v>
      </c>
      <c r="FQ34" s="74">
        <v>1.33959E-5</v>
      </c>
    </row>
    <row r="35" spans="1:173" x14ac:dyDescent="0.25">
      <c r="A35" s="76">
        <v>33</v>
      </c>
      <c r="B35" s="74">
        <v>3.5352849999999999E-4</v>
      </c>
      <c r="C35" s="74">
        <v>3.4696119999999997E-4</v>
      </c>
      <c r="D35" s="74">
        <v>3.405277E-4</v>
      </c>
      <c r="E35" s="74">
        <v>3.342245E-4</v>
      </c>
      <c r="F35" s="74">
        <v>3.2804820000000001E-4</v>
      </c>
      <c r="G35" s="74">
        <v>3.219955E-4</v>
      </c>
      <c r="H35" s="74">
        <v>3.1606329999999999E-4</v>
      </c>
      <c r="I35" s="74">
        <v>3.1024870000000002E-4</v>
      </c>
      <c r="J35" s="74">
        <v>3.0454869999999999E-4</v>
      </c>
      <c r="K35" s="74">
        <v>2.9896060000000001E-4</v>
      </c>
      <c r="L35" s="74">
        <v>2.9348159999999999E-4</v>
      </c>
      <c r="M35" s="74">
        <v>2.8810929999999998E-4</v>
      </c>
      <c r="N35" s="74">
        <v>2.8284099999999998E-4</v>
      </c>
      <c r="O35" s="74">
        <v>2.7767450000000001E-4</v>
      </c>
      <c r="P35" s="74">
        <v>2.7260730000000001E-4</v>
      </c>
      <c r="Q35" s="74">
        <v>2.676372E-4</v>
      </c>
      <c r="R35" s="74">
        <v>2.6276210000000002E-4</v>
      </c>
      <c r="S35" s="74">
        <v>2.5797979999999998E-4</v>
      </c>
      <c r="T35" s="74">
        <v>2.532883E-4</v>
      </c>
      <c r="U35" s="74">
        <v>2.486856E-4</v>
      </c>
      <c r="V35" s="74">
        <v>2.4416979999999997E-4</v>
      </c>
      <c r="W35" s="74">
        <v>2.397391E-4</v>
      </c>
      <c r="X35" s="74">
        <v>2.353915E-4</v>
      </c>
      <c r="Y35" s="74">
        <v>2.3112539999999999E-4</v>
      </c>
      <c r="Z35" s="74">
        <v>2.2693910000000001E-4</v>
      </c>
      <c r="AA35" s="74">
        <v>2.2283089999999999E-4</v>
      </c>
      <c r="AB35" s="74">
        <v>2.187991E-4</v>
      </c>
      <c r="AC35" s="74">
        <v>2.1484229999999999E-4</v>
      </c>
      <c r="AD35" s="74">
        <v>2.109589E-4</v>
      </c>
      <c r="AE35" s="74">
        <v>2.071474E-4</v>
      </c>
      <c r="AF35" s="74">
        <v>2.0340629999999999E-4</v>
      </c>
      <c r="AG35" s="74">
        <v>1.9973429999999999E-4</v>
      </c>
      <c r="AH35" s="74">
        <v>1.9613000000000001E-4</v>
      </c>
      <c r="AI35" s="74">
        <v>1.92592E-4</v>
      </c>
      <c r="AJ35" s="74">
        <v>1.8911899999999999E-4</v>
      </c>
      <c r="AK35" s="74">
        <v>1.8570969999999999E-4</v>
      </c>
      <c r="AL35" s="74">
        <v>1.823629E-4</v>
      </c>
      <c r="AM35" s="74">
        <v>1.7907749999999999E-4</v>
      </c>
      <c r="AN35" s="74">
        <v>1.758521E-4</v>
      </c>
      <c r="AO35" s="74">
        <v>1.7268559999999999E-4</v>
      </c>
      <c r="AP35" s="74">
        <v>1.6957699999999999E-4</v>
      </c>
      <c r="AQ35" s="74">
        <v>1.66525E-4</v>
      </c>
      <c r="AR35" s="74">
        <v>1.6352860000000001E-4</v>
      </c>
      <c r="AS35" s="74">
        <v>1.605868E-4</v>
      </c>
      <c r="AT35" s="74">
        <v>1.5769849999999999E-4</v>
      </c>
      <c r="AU35" s="74">
        <v>1.5486269999999999E-4</v>
      </c>
      <c r="AV35" s="74">
        <v>1.5207830000000001E-4</v>
      </c>
      <c r="AW35" s="74">
        <v>1.493446E-4</v>
      </c>
      <c r="AX35" s="74">
        <v>1.4666040000000001E-4</v>
      </c>
      <c r="AY35" s="74">
        <v>1.440248E-4</v>
      </c>
      <c r="AZ35" s="74">
        <v>1.4143700000000001E-4</v>
      </c>
      <c r="BA35" s="74">
        <v>1.3889610000000001E-4</v>
      </c>
      <c r="BB35" s="74">
        <v>1.364011E-4</v>
      </c>
      <c r="BC35" s="74">
        <v>1.3395120000000001E-4</v>
      </c>
      <c r="BD35" s="74">
        <v>1.315457E-4</v>
      </c>
      <c r="BE35" s="74">
        <v>1.2918359999999999E-4</v>
      </c>
      <c r="BF35" s="74">
        <v>1.2686420000000001E-4</v>
      </c>
      <c r="BG35" s="74">
        <v>1.245866E-4</v>
      </c>
      <c r="BH35" s="74">
        <v>1.2235020000000001E-4</v>
      </c>
      <c r="BI35" s="74">
        <v>1.201541E-4</v>
      </c>
      <c r="BJ35" s="74">
        <v>1.179976E-4</v>
      </c>
      <c r="BK35" s="74">
        <v>1.158799E-4</v>
      </c>
      <c r="BL35" s="74">
        <v>1.138005E-4</v>
      </c>
      <c r="BM35" s="74">
        <v>1.117585E-4</v>
      </c>
      <c r="BN35" s="74">
        <v>1.097533E-4</v>
      </c>
      <c r="BO35" s="74">
        <v>1.077842E-4</v>
      </c>
      <c r="BP35" s="74">
        <v>1.058506E-4</v>
      </c>
      <c r="BQ35" s="74">
        <v>1.039517E-4</v>
      </c>
      <c r="BR35" s="74">
        <v>1.02087E-4</v>
      </c>
      <c r="BS35" s="74">
        <v>1.002559E-4</v>
      </c>
      <c r="BT35" s="74">
        <v>9.8457700000000004E-5</v>
      </c>
      <c r="BU35" s="74">
        <v>9.6691899999999995E-5</v>
      </c>
      <c r="BV35" s="74">
        <v>9.4957700000000001E-5</v>
      </c>
      <c r="BW35" s="74">
        <v>9.32548E-5</v>
      </c>
      <c r="BX35" s="74">
        <v>9.1582499999999999E-5</v>
      </c>
      <c r="BY35" s="74">
        <v>8.9940199999999997E-5</v>
      </c>
      <c r="BZ35" s="74">
        <v>8.8327500000000004E-5</v>
      </c>
      <c r="CA35" s="74">
        <v>8.6743700000000001E-5</v>
      </c>
      <c r="CB35" s="74">
        <v>8.5188300000000006E-5</v>
      </c>
      <c r="CC35" s="74">
        <v>8.3660900000000004E-5</v>
      </c>
      <c r="CD35" s="74">
        <v>8.2161000000000002E-5</v>
      </c>
      <c r="CE35" s="74">
        <v>8.0687900000000004E-5</v>
      </c>
      <c r="CF35" s="74">
        <v>7.9241300000000003E-5</v>
      </c>
      <c r="CG35" s="74">
        <v>7.7820700000000005E-5</v>
      </c>
      <c r="CH35" s="74">
        <v>7.6425600000000002E-5</v>
      </c>
      <c r="CI35" s="74">
        <v>7.50555E-5</v>
      </c>
      <c r="CJ35" s="74">
        <v>7.3709999999999997E-5</v>
      </c>
      <c r="CK35" s="74">
        <v>7.2388699999999994E-5</v>
      </c>
      <c r="CL35" s="74">
        <v>7.1091099999999994E-5</v>
      </c>
      <c r="CM35" s="74">
        <v>6.9816700000000005E-5</v>
      </c>
      <c r="CN35" s="74">
        <v>6.8565200000000006E-5</v>
      </c>
      <c r="CO35" s="74">
        <v>6.7336199999999994E-5</v>
      </c>
      <c r="CP35" s="74">
        <v>6.6129200000000004E-5</v>
      </c>
      <c r="CQ35" s="74">
        <v>6.49439E-5</v>
      </c>
      <c r="CR35" s="74">
        <v>6.3779899999999996E-5</v>
      </c>
      <c r="CS35" s="74">
        <v>6.2636699999999996E-5</v>
      </c>
      <c r="CT35" s="74">
        <v>6.1513999999999994E-5</v>
      </c>
      <c r="CU35" s="74">
        <v>6.0411500000000003E-5</v>
      </c>
      <c r="CV35" s="74">
        <v>5.93287E-5</v>
      </c>
      <c r="CW35" s="74">
        <v>5.8265299999999999E-5</v>
      </c>
      <c r="CX35" s="74">
        <v>5.72211E-5</v>
      </c>
      <c r="CY35" s="74">
        <v>5.6195500000000001E-5</v>
      </c>
      <c r="CZ35" s="74">
        <v>5.5188300000000001E-5</v>
      </c>
      <c r="DA35" s="74">
        <v>5.4199200000000001E-5</v>
      </c>
      <c r="DB35" s="74">
        <v>5.3227899999999999E-5</v>
      </c>
      <c r="DC35" s="74">
        <v>5.2273900000000001E-5</v>
      </c>
      <c r="DD35" s="74">
        <v>5.1337E-5</v>
      </c>
      <c r="DE35" s="74">
        <v>5.0417000000000002E-5</v>
      </c>
      <c r="DF35" s="74">
        <v>4.9513399999999999E-5</v>
      </c>
      <c r="DG35" s="74">
        <v>4.8626099999999998E-5</v>
      </c>
      <c r="DH35" s="74">
        <v>4.7754599999999998E-5</v>
      </c>
      <c r="DI35" s="74">
        <v>4.6898799999999999E-5</v>
      </c>
      <c r="DJ35" s="74">
        <v>4.6058299999999999E-5</v>
      </c>
      <c r="DK35" s="74">
        <v>4.5232899999999999E-5</v>
      </c>
      <c r="DL35" s="74">
        <v>4.4422200000000003E-5</v>
      </c>
      <c r="DM35" s="74">
        <v>4.3626199999999999E-5</v>
      </c>
      <c r="DN35" s="74">
        <v>4.2844299999999999E-5</v>
      </c>
      <c r="DO35" s="74">
        <v>4.2076500000000003E-5</v>
      </c>
      <c r="DP35" s="74">
        <v>4.1322500000000003E-5</v>
      </c>
      <c r="DQ35" s="74">
        <v>4.0581899999999998E-5</v>
      </c>
      <c r="DR35" s="74">
        <v>3.9854700000000003E-5</v>
      </c>
      <c r="DS35" s="74">
        <v>3.9140500000000002E-5</v>
      </c>
      <c r="DT35" s="74">
        <v>3.8439000000000002E-5</v>
      </c>
      <c r="DU35" s="74">
        <v>3.7750200000000003E-5</v>
      </c>
      <c r="DV35" s="74">
        <v>3.7073699999999997E-5</v>
      </c>
      <c r="DW35" s="74">
        <v>3.6409299999999997E-5</v>
      </c>
      <c r="DX35" s="74">
        <v>3.5756800000000003E-5</v>
      </c>
      <c r="DY35" s="74">
        <v>3.5116100000000001E-5</v>
      </c>
      <c r="DZ35" s="74">
        <v>3.4486800000000003E-5</v>
      </c>
      <c r="EA35" s="74">
        <v>3.3868700000000003E-5</v>
      </c>
      <c r="EB35" s="74">
        <v>3.3261800000000001E-5</v>
      </c>
      <c r="EC35" s="74">
        <v>3.2665700000000001E-5</v>
      </c>
      <c r="ED35" s="74">
        <v>3.2080399999999999E-5</v>
      </c>
      <c r="EE35" s="74">
        <v>3.1505499999999998E-5</v>
      </c>
      <c r="EF35" s="74">
        <v>3.0940900000000001E-5</v>
      </c>
      <c r="EG35" s="74">
        <v>3.0386400000000001E-5</v>
      </c>
      <c r="EH35" s="74">
        <v>2.98419E-5</v>
      </c>
      <c r="EI35" s="74">
        <v>2.9307099999999999E-5</v>
      </c>
      <c r="EJ35" s="74">
        <v>2.87819E-5</v>
      </c>
      <c r="EK35" s="74">
        <v>2.8266200000000001E-5</v>
      </c>
      <c r="EL35" s="74">
        <v>2.7759600000000001E-5</v>
      </c>
      <c r="EM35" s="74">
        <v>2.7262200000000001E-5</v>
      </c>
      <c r="EN35" s="74">
        <v>2.6773600000000001E-5</v>
      </c>
      <c r="EO35" s="74">
        <v>2.6293899999999999E-5</v>
      </c>
      <c r="EP35" s="74">
        <v>2.5822699999999999E-5</v>
      </c>
      <c r="EQ35" s="74">
        <v>2.5359900000000001E-5</v>
      </c>
      <c r="ER35" s="74">
        <v>2.4905500000000001E-5</v>
      </c>
      <c r="ES35" s="74">
        <v>2.4459200000000001E-5</v>
      </c>
      <c r="ET35" s="74">
        <v>2.4020899999999999E-5</v>
      </c>
      <c r="EU35" s="74">
        <v>2.35904E-5</v>
      </c>
      <c r="EV35" s="74">
        <v>2.3167699999999998E-5</v>
      </c>
      <c r="EW35" s="74">
        <v>2.2752499999999999E-5</v>
      </c>
      <c r="EX35" s="74">
        <v>2.23448E-5</v>
      </c>
      <c r="EY35" s="74">
        <v>2.1944399999999999E-5</v>
      </c>
      <c r="EZ35" s="74">
        <v>2.1551100000000001E-5</v>
      </c>
      <c r="FA35" s="74">
        <v>2.1164900000000001E-5</v>
      </c>
      <c r="FB35" s="74">
        <v>2.07857E-5</v>
      </c>
      <c r="FC35" s="74">
        <v>2.04132E-5</v>
      </c>
      <c r="FD35" s="74">
        <v>2.0047400000000001E-5</v>
      </c>
      <c r="FE35" s="74">
        <v>1.9688099999999999E-5</v>
      </c>
      <c r="FF35" s="74">
        <v>1.9335300000000001E-5</v>
      </c>
      <c r="FG35" s="74">
        <v>1.89888E-5</v>
      </c>
      <c r="FH35" s="74">
        <v>1.86486E-5</v>
      </c>
      <c r="FI35" s="74">
        <v>1.8314399999999999E-5</v>
      </c>
      <c r="FJ35" s="74">
        <v>1.7986200000000001E-5</v>
      </c>
      <c r="FK35" s="74">
        <v>1.7663899999999999E-5</v>
      </c>
      <c r="FL35" s="74">
        <v>1.7347299999999999E-5</v>
      </c>
      <c r="FM35" s="74">
        <v>1.7036499999999999E-5</v>
      </c>
      <c r="FN35" s="74">
        <v>1.67312E-5</v>
      </c>
      <c r="FO35" s="74">
        <v>1.64314E-5</v>
      </c>
      <c r="FP35" s="74">
        <v>1.6136900000000001E-5</v>
      </c>
      <c r="FQ35" s="74">
        <v>1.5847700000000001E-5</v>
      </c>
    </row>
    <row r="36" spans="1:173" x14ac:dyDescent="0.25">
      <c r="A36" s="76">
        <v>34</v>
      </c>
      <c r="B36" s="74">
        <v>3.9665499999999999E-4</v>
      </c>
      <c r="C36" s="74">
        <v>3.9016730000000001E-4</v>
      </c>
      <c r="D36" s="74">
        <v>3.8375939999999998E-4</v>
      </c>
      <c r="E36" s="74">
        <v>3.7743219999999999E-4</v>
      </c>
      <c r="F36" s="74">
        <v>3.7118630000000001E-4</v>
      </c>
      <c r="G36" s="74">
        <v>3.6502250000000001E-4</v>
      </c>
      <c r="H36" s="74">
        <v>3.5894099999999999E-4</v>
      </c>
      <c r="I36" s="74">
        <v>3.5294230000000002E-4</v>
      </c>
      <c r="J36" s="74">
        <v>3.4702650000000002E-4</v>
      </c>
      <c r="K36" s="74">
        <v>3.4119370000000002E-4</v>
      </c>
      <c r="L36" s="74">
        <v>3.354438E-4</v>
      </c>
      <c r="M36" s="74">
        <v>3.297768E-4</v>
      </c>
      <c r="N36" s="74">
        <v>3.2419250000000001E-4</v>
      </c>
      <c r="O36" s="74">
        <v>3.1869050000000001E-4</v>
      </c>
      <c r="P36" s="74">
        <v>3.1327040000000002E-4</v>
      </c>
      <c r="Q36" s="74">
        <v>3.0793200000000002E-4</v>
      </c>
      <c r="R36" s="74">
        <v>3.026746E-4</v>
      </c>
      <c r="S36" s="74">
        <v>2.974977E-4</v>
      </c>
      <c r="T36" s="74">
        <v>2.9240080000000001E-4</v>
      </c>
      <c r="U36" s="74">
        <v>2.8738320000000001E-4</v>
      </c>
      <c r="V36" s="74">
        <v>2.8244419999999998E-4</v>
      </c>
      <c r="W36" s="74">
        <v>2.7758310000000001E-4</v>
      </c>
      <c r="X36" s="74">
        <v>2.7279920000000002E-4</v>
      </c>
      <c r="Y36" s="74">
        <v>2.680917E-4</v>
      </c>
      <c r="Z36" s="74">
        <v>2.6345980000000001E-4</v>
      </c>
      <c r="AA36" s="74">
        <v>2.589027E-4</v>
      </c>
      <c r="AB36" s="74">
        <v>2.5441949999999999E-4</v>
      </c>
      <c r="AC36" s="74">
        <v>2.5000929999999998E-4</v>
      </c>
      <c r="AD36" s="74">
        <v>2.4567140000000001E-4</v>
      </c>
      <c r="AE36" s="74">
        <v>2.4140469999999999E-4</v>
      </c>
      <c r="AF36" s="74">
        <v>2.3720849999999999E-4</v>
      </c>
      <c r="AG36" s="74">
        <v>2.3308169999999999E-4</v>
      </c>
      <c r="AH36" s="74">
        <v>2.2902360000000001E-4</v>
      </c>
      <c r="AI36" s="74">
        <v>2.2503310000000001E-4</v>
      </c>
      <c r="AJ36" s="74">
        <v>2.2110930000000001E-4</v>
      </c>
      <c r="AK36" s="74">
        <v>2.1725140000000001E-4</v>
      </c>
      <c r="AL36" s="74">
        <v>2.134583E-4</v>
      </c>
      <c r="AM36" s="74">
        <v>2.0972920000000001E-4</v>
      </c>
      <c r="AN36" s="74">
        <v>2.060632E-4</v>
      </c>
      <c r="AO36" s="74">
        <v>2.0245929999999999E-4</v>
      </c>
      <c r="AP36" s="74">
        <v>1.9891660000000001E-4</v>
      </c>
      <c r="AQ36" s="74">
        <v>1.9543420000000001E-4</v>
      </c>
      <c r="AR36" s="74">
        <v>1.920111E-4</v>
      </c>
      <c r="AS36" s="74">
        <v>1.886465E-4</v>
      </c>
      <c r="AT36" s="74">
        <v>1.8533960000000001E-4</v>
      </c>
      <c r="AU36" s="74">
        <v>1.8208929999999999E-4</v>
      </c>
      <c r="AV36" s="74">
        <v>1.788948E-4</v>
      </c>
      <c r="AW36" s="74">
        <v>1.757552E-4</v>
      </c>
      <c r="AX36" s="74">
        <v>1.7266969999999999E-4</v>
      </c>
      <c r="AY36" s="74">
        <v>1.6963739999999999E-4</v>
      </c>
      <c r="AZ36" s="74">
        <v>1.6665739999999999E-4</v>
      </c>
      <c r="BA36" s="74">
        <v>1.6372899999999999E-4</v>
      </c>
      <c r="BB36" s="74">
        <v>1.6085120000000001E-4</v>
      </c>
      <c r="BC36" s="74">
        <v>1.580233E-4</v>
      </c>
      <c r="BD36" s="74">
        <v>1.5524439999999999E-4</v>
      </c>
      <c r="BE36" s="74">
        <v>1.5251380000000001E-4</v>
      </c>
      <c r="BF36" s="74">
        <v>1.4983060000000001E-4</v>
      </c>
      <c r="BG36" s="74">
        <v>1.4719399999999999E-4</v>
      </c>
      <c r="BH36" s="74">
        <v>1.4460330000000001E-4</v>
      </c>
      <c r="BI36" s="74">
        <v>1.4205779999999999E-4</v>
      </c>
      <c r="BJ36" s="74">
        <v>1.395566E-4</v>
      </c>
      <c r="BK36" s="74">
        <v>1.3709900000000001E-4</v>
      </c>
      <c r="BL36" s="74">
        <v>1.3468439999999999E-4</v>
      </c>
      <c r="BM36" s="74">
        <v>1.3231190000000001E-4</v>
      </c>
      <c r="BN36" s="74">
        <v>1.299808E-4</v>
      </c>
      <c r="BO36" s="74">
        <v>1.276905E-4</v>
      </c>
      <c r="BP36" s="74">
        <v>1.2544030000000001E-4</v>
      </c>
      <c r="BQ36" s="74">
        <v>1.2322940000000001E-4</v>
      </c>
      <c r="BR36" s="74">
        <v>1.210573E-4</v>
      </c>
      <c r="BS36" s="74">
        <v>1.189232E-4</v>
      </c>
      <c r="BT36" s="74">
        <v>1.168265E-4</v>
      </c>
      <c r="BU36" s="74">
        <v>1.1476660000000001E-4</v>
      </c>
      <c r="BV36" s="74">
        <v>1.127428E-4</v>
      </c>
      <c r="BW36" s="74">
        <v>1.1075460000000001E-4</v>
      </c>
      <c r="BX36" s="74">
        <v>1.088012E-4</v>
      </c>
      <c r="BY36" s="74">
        <v>1.068821E-4</v>
      </c>
      <c r="BZ36" s="74">
        <v>1.049967E-4</v>
      </c>
      <c r="CA36" s="74">
        <v>1.031444E-4</v>
      </c>
      <c r="CB36" s="74">
        <v>1.013247E-4</v>
      </c>
      <c r="CC36" s="74">
        <v>9.9537000000000006E-5</v>
      </c>
      <c r="CD36" s="74">
        <v>9.7780699999999997E-5</v>
      </c>
      <c r="CE36" s="74">
        <v>9.6055299999999995E-5</v>
      </c>
      <c r="CF36" s="74">
        <v>9.4360300000000005E-5</v>
      </c>
      <c r="CG36" s="74">
        <v>9.26951E-5</v>
      </c>
      <c r="CH36" s="74">
        <v>9.1059100000000004E-5</v>
      </c>
      <c r="CI36" s="74">
        <v>8.9451999999999997E-5</v>
      </c>
      <c r="CJ36" s="74">
        <v>8.7873200000000004E-5</v>
      </c>
      <c r="CK36" s="74">
        <v>8.6322200000000005E-5</v>
      </c>
      <c r="CL36" s="74">
        <v>8.4798399999999998E-5</v>
      </c>
      <c r="CM36" s="74">
        <v>8.3301599999999995E-5</v>
      </c>
      <c r="CN36" s="74">
        <v>8.1830999999999996E-5</v>
      </c>
      <c r="CO36" s="74">
        <v>8.03864E-5</v>
      </c>
      <c r="CP36" s="74">
        <v>7.8967299999999999E-5</v>
      </c>
      <c r="CQ36" s="74">
        <v>7.7573199999999998E-5</v>
      </c>
      <c r="CR36" s="74">
        <v>7.6203600000000003E-5</v>
      </c>
      <c r="CS36" s="74">
        <v>7.4858199999999994E-5</v>
      </c>
      <c r="CT36" s="74">
        <v>7.3536500000000003E-5</v>
      </c>
      <c r="CU36" s="74">
        <v>7.2238100000000002E-5</v>
      </c>
      <c r="CV36" s="74">
        <v>7.0962600000000004E-5</v>
      </c>
      <c r="CW36" s="74">
        <v>6.9709599999999994E-5</v>
      </c>
      <c r="CX36" s="74">
        <v>6.8478600000000005E-5</v>
      </c>
      <c r="CY36" s="74">
        <v>6.7269399999999997E-5</v>
      </c>
      <c r="CZ36" s="74">
        <v>6.6081599999999994E-5</v>
      </c>
      <c r="DA36" s="74">
        <v>6.4914599999999997E-5</v>
      </c>
      <c r="DB36" s="74">
        <v>6.3768299999999997E-5</v>
      </c>
      <c r="DC36" s="74">
        <v>6.2642200000000001E-5</v>
      </c>
      <c r="DD36" s="74">
        <v>6.1536000000000002E-5</v>
      </c>
      <c r="DE36" s="74">
        <v>6.0449199999999997E-5</v>
      </c>
      <c r="DF36" s="74">
        <v>5.9381700000000001E-5</v>
      </c>
      <c r="DG36" s="74">
        <v>5.8332999999999999E-5</v>
      </c>
      <c r="DH36" s="74">
        <v>5.7302800000000003E-5</v>
      </c>
      <c r="DI36" s="74">
        <v>5.62908E-5</v>
      </c>
      <c r="DJ36" s="74">
        <v>5.5296600000000002E-5</v>
      </c>
      <c r="DK36" s="74">
        <v>5.4320000000000002E-5</v>
      </c>
      <c r="DL36" s="74">
        <v>5.3360599999999999E-5</v>
      </c>
      <c r="DM36" s="74">
        <v>5.2418199999999999E-5</v>
      </c>
      <c r="DN36" s="74">
        <v>5.1492400000000002E-5</v>
      </c>
      <c r="DO36" s="74">
        <v>5.05829E-5</v>
      </c>
      <c r="DP36" s="74">
        <v>4.9689499999999999E-5</v>
      </c>
      <c r="DQ36" s="74">
        <v>4.8811899999999999E-5</v>
      </c>
      <c r="DR36" s="74">
        <v>4.79498E-5</v>
      </c>
      <c r="DS36" s="74">
        <v>4.7102799999999999E-5</v>
      </c>
      <c r="DT36" s="74">
        <v>4.6270899999999998E-5</v>
      </c>
      <c r="DU36" s="74">
        <v>4.5453600000000001E-5</v>
      </c>
      <c r="DV36" s="74">
        <v>4.4650800000000003E-5</v>
      </c>
      <c r="DW36" s="74">
        <v>4.3862100000000001E-5</v>
      </c>
      <c r="DX36" s="74">
        <v>4.3087399999999997E-5</v>
      </c>
      <c r="DY36" s="74">
        <v>4.2326300000000002E-5</v>
      </c>
      <c r="DZ36" s="74">
        <v>4.1578700000000002E-5</v>
      </c>
      <c r="EA36" s="74">
        <v>4.0844199999999998E-5</v>
      </c>
      <c r="EB36" s="74">
        <v>4.0122800000000001E-5</v>
      </c>
      <c r="EC36" s="74">
        <v>3.9414099999999999E-5</v>
      </c>
      <c r="ED36" s="74">
        <v>3.8717899999999997E-5</v>
      </c>
      <c r="EE36" s="74">
        <v>3.8034000000000002E-5</v>
      </c>
      <c r="EF36" s="74">
        <v>3.7362199999999999E-5</v>
      </c>
      <c r="EG36" s="74">
        <v>3.6702200000000002E-5</v>
      </c>
      <c r="EH36" s="74">
        <v>3.6053899999999997E-5</v>
      </c>
      <c r="EI36" s="74">
        <v>3.5417099999999997E-5</v>
      </c>
      <c r="EJ36" s="74">
        <v>3.47914E-5</v>
      </c>
      <c r="EK36" s="74">
        <v>3.4176900000000001E-5</v>
      </c>
      <c r="EL36" s="74">
        <v>3.3573199999999999E-5</v>
      </c>
      <c r="EM36" s="74">
        <v>3.29801E-5</v>
      </c>
      <c r="EN36" s="74">
        <v>3.2397600000000003E-5</v>
      </c>
      <c r="EO36" s="74">
        <v>3.1825300000000002E-5</v>
      </c>
      <c r="EP36" s="74">
        <v>3.1263100000000002E-5</v>
      </c>
      <c r="EQ36" s="74">
        <v>3.0710899999999998E-5</v>
      </c>
      <c r="ER36" s="74">
        <v>3.0168400000000001E-5</v>
      </c>
      <c r="ES36" s="74">
        <v>2.9635500000000001E-5</v>
      </c>
      <c r="ET36" s="74">
        <v>2.9111999999999998E-5</v>
      </c>
      <c r="EU36" s="74">
        <v>2.8597699999999999E-5</v>
      </c>
      <c r="EV36" s="74">
        <v>2.8092599999999999E-5</v>
      </c>
      <c r="EW36" s="74">
        <v>2.7596299999999999E-5</v>
      </c>
      <c r="EX36" s="74">
        <v>2.7108900000000001E-5</v>
      </c>
      <c r="EY36" s="74">
        <v>2.6630000000000001E-5</v>
      </c>
      <c r="EZ36" s="74">
        <v>2.6159599999999999E-5</v>
      </c>
      <c r="FA36" s="74">
        <v>2.5697499999999999E-5</v>
      </c>
      <c r="FB36" s="74">
        <v>2.52436E-5</v>
      </c>
      <c r="FC36" s="74">
        <v>2.4797600000000001E-5</v>
      </c>
      <c r="FD36" s="74">
        <v>2.43596E-5</v>
      </c>
      <c r="FE36" s="74">
        <v>2.3929300000000001E-5</v>
      </c>
      <c r="FF36" s="74">
        <v>2.35066E-5</v>
      </c>
      <c r="FG36" s="74">
        <v>2.30913E-5</v>
      </c>
      <c r="FH36" s="74">
        <v>2.26834E-5</v>
      </c>
      <c r="FI36" s="74">
        <v>2.2282699999999999E-5</v>
      </c>
      <c r="FJ36" s="74">
        <v>2.18891E-5</v>
      </c>
      <c r="FK36" s="74">
        <v>2.15025E-5</v>
      </c>
      <c r="FL36" s="74">
        <v>2.11226E-5</v>
      </c>
      <c r="FM36" s="74">
        <v>2.0749499999999998E-5</v>
      </c>
      <c r="FN36" s="74">
        <v>2.0383000000000001E-5</v>
      </c>
      <c r="FO36" s="74">
        <v>2.0022900000000001E-5</v>
      </c>
      <c r="FP36" s="74">
        <v>1.9669200000000001E-5</v>
      </c>
      <c r="FQ36" s="74">
        <v>1.9321699999999998E-5</v>
      </c>
    </row>
    <row r="37" spans="1:173" x14ac:dyDescent="0.25">
      <c r="A37" s="76">
        <v>35</v>
      </c>
      <c r="B37" s="74">
        <v>4.2218360000000001E-4</v>
      </c>
      <c r="C37" s="74">
        <v>4.1508860000000002E-4</v>
      </c>
      <c r="D37" s="74">
        <v>4.0809139999999999E-4</v>
      </c>
      <c r="E37" s="74">
        <v>4.0119230000000002E-4</v>
      </c>
      <c r="F37" s="74">
        <v>3.9439130000000001E-4</v>
      </c>
      <c r="G37" s="74">
        <v>3.8768830000000001E-4</v>
      </c>
      <c r="H37" s="74">
        <v>3.81083E-4</v>
      </c>
      <c r="I37" s="74">
        <v>3.7457529999999998E-4</v>
      </c>
      <c r="J37" s="74">
        <v>3.681647E-4</v>
      </c>
      <c r="K37" s="74">
        <v>3.6185070000000001E-4</v>
      </c>
      <c r="L37" s="74">
        <v>3.5563279999999999E-4</v>
      </c>
      <c r="M37" s="74">
        <v>3.4951049999999999E-4</v>
      </c>
      <c r="N37" s="74">
        <v>3.4348290000000002E-4</v>
      </c>
      <c r="O37" s="74">
        <v>3.3754949999999998E-4</v>
      </c>
      <c r="P37" s="74">
        <v>3.3170930000000001E-4</v>
      </c>
      <c r="Q37" s="74">
        <v>3.2596170000000001E-4</v>
      </c>
      <c r="R37" s="74">
        <v>3.2030559999999999E-4</v>
      </c>
      <c r="S37" s="74">
        <v>3.147402E-4</v>
      </c>
      <c r="T37" s="74">
        <v>3.0926469999999998E-4</v>
      </c>
      <c r="U37" s="74">
        <v>3.0387790000000001E-4</v>
      </c>
      <c r="V37" s="74">
        <v>2.9857890000000001E-4</v>
      </c>
      <c r="W37" s="74">
        <v>2.933667E-4</v>
      </c>
      <c r="X37" s="74">
        <v>2.8824029999999999E-4</v>
      </c>
      <c r="Y37" s="74">
        <v>2.8319849999999998E-4</v>
      </c>
      <c r="Z37" s="74">
        <v>2.7824049999999997E-4</v>
      </c>
      <c r="AA37" s="74">
        <v>2.7336489999999999E-4</v>
      </c>
      <c r="AB37" s="74">
        <v>2.6857090000000002E-4</v>
      </c>
      <c r="AC37" s="74">
        <v>2.6385729999999999E-4</v>
      </c>
      <c r="AD37" s="74">
        <v>2.5922299999999999E-4</v>
      </c>
      <c r="AE37" s="74">
        <v>2.546669E-4</v>
      </c>
      <c r="AF37" s="74">
        <v>2.501879E-4</v>
      </c>
      <c r="AG37" s="74">
        <v>2.4578490000000001E-4</v>
      </c>
      <c r="AH37" s="74">
        <v>2.414568E-4</v>
      </c>
      <c r="AI37" s="74">
        <v>2.372025E-4</v>
      </c>
      <c r="AJ37" s="74">
        <v>2.33021E-4</v>
      </c>
      <c r="AK37" s="74">
        <v>2.2891099999999999E-4</v>
      </c>
      <c r="AL37" s="74">
        <v>2.2487160000000001E-4</v>
      </c>
      <c r="AM37" s="74">
        <v>2.2090170000000001E-4</v>
      </c>
      <c r="AN37" s="74">
        <v>2.170002E-4</v>
      </c>
      <c r="AO37" s="74">
        <v>2.1316600000000001E-4</v>
      </c>
      <c r="AP37" s="74">
        <v>2.093981E-4</v>
      </c>
      <c r="AQ37" s="74">
        <v>2.0569539999999999E-4</v>
      </c>
      <c r="AR37" s="74">
        <v>2.020569E-4</v>
      </c>
      <c r="AS37" s="74">
        <v>1.9848159999999999E-4</v>
      </c>
      <c r="AT37" s="74">
        <v>1.9496849999999999E-4</v>
      </c>
      <c r="AU37" s="74">
        <v>1.9151650000000001E-4</v>
      </c>
      <c r="AV37" s="74">
        <v>1.8812470000000001E-4</v>
      </c>
      <c r="AW37" s="74">
        <v>1.84792E-4</v>
      </c>
      <c r="AX37" s="74">
        <v>1.8151760000000001E-4</v>
      </c>
      <c r="AY37" s="74">
        <v>1.783004E-4</v>
      </c>
      <c r="AZ37" s="74">
        <v>1.7513939999999999E-4</v>
      </c>
      <c r="BA37" s="74">
        <v>1.7203389999999999E-4</v>
      </c>
      <c r="BB37" s="74">
        <v>1.689828E-4</v>
      </c>
      <c r="BC37" s="74">
        <v>1.6598519999999999E-4</v>
      </c>
      <c r="BD37" s="74">
        <v>1.630403E-4</v>
      </c>
      <c r="BE37" s="74">
        <v>1.601471E-4</v>
      </c>
      <c r="BF37" s="74">
        <v>1.5730470000000001E-4</v>
      </c>
      <c r="BG37" s="74">
        <v>1.5451239999999999E-4</v>
      </c>
      <c r="BH37" s="74">
        <v>1.5176919999999999E-4</v>
      </c>
      <c r="BI37" s="74">
        <v>1.4907439999999999E-4</v>
      </c>
      <c r="BJ37" s="74">
        <v>1.46427E-4</v>
      </c>
      <c r="BK37" s="74">
        <v>1.438263E-4</v>
      </c>
      <c r="BL37" s="74">
        <v>1.412715E-4</v>
      </c>
      <c r="BM37" s="74">
        <v>1.387618E-4</v>
      </c>
      <c r="BN37" s="74">
        <v>1.362964E-4</v>
      </c>
      <c r="BO37" s="74">
        <v>1.3387459999999999E-4</v>
      </c>
      <c r="BP37" s="74">
        <v>1.3149550000000001E-4</v>
      </c>
      <c r="BQ37" s="74">
        <v>1.2915849999999999E-4</v>
      </c>
      <c r="BR37" s="74">
        <v>1.268629E-4</v>
      </c>
      <c r="BS37" s="74">
        <v>1.246079E-4</v>
      </c>
      <c r="BT37" s="74">
        <v>1.223927E-4</v>
      </c>
      <c r="BU37" s="74">
        <v>1.202168E-4</v>
      </c>
      <c r="BV37" s="74">
        <v>1.1807940000000001E-4</v>
      </c>
      <c r="BW37" s="74">
        <v>1.159799E-4</v>
      </c>
      <c r="BX37" s="74">
        <v>1.139176E-4</v>
      </c>
      <c r="BY37" s="74">
        <v>1.1189180000000001E-4</v>
      </c>
      <c r="BZ37" s="74">
        <v>1.099019E-4</v>
      </c>
      <c r="CA37" s="74">
        <v>1.079473E-4</v>
      </c>
      <c r="CB37" s="74">
        <v>1.0602739999999999E-4</v>
      </c>
      <c r="CC37" s="74">
        <v>1.041415E-4</v>
      </c>
      <c r="CD37" s="74">
        <v>1.022891E-4</v>
      </c>
      <c r="CE37" s="74">
        <v>1.004695E-4</v>
      </c>
      <c r="CF37" s="74">
        <v>9.8682299999999995E-5</v>
      </c>
      <c r="CG37" s="74">
        <v>9.6926699999999995E-5</v>
      </c>
      <c r="CH37" s="74">
        <v>9.5202400000000002E-5</v>
      </c>
      <c r="CI37" s="74">
        <v>9.3508600000000001E-5</v>
      </c>
      <c r="CJ37" s="74">
        <v>9.1844900000000006E-5</v>
      </c>
      <c r="CK37" s="74">
        <v>9.0210799999999994E-5</v>
      </c>
      <c r="CL37" s="74">
        <v>8.8605700000000004E-5</v>
      </c>
      <c r="CM37" s="74">
        <v>8.7029100000000003E-5</v>
      </c>
      <c r="CN37" s="74">
        <v>8.5480499999999996E-5</v>
      </c>
      <c r="CO37" s="74">
        <v>8.3959400000000001E-5</v>
      </c>
      <c r="CP37" s="74">
        <v>8.2465400000000005E-5</v>
      </c>
      <c r="CQ37" s="74">
        <v>8.0997900000000006E-5</v>
      </c>
      <c r="CR37" s="74">
        <v>7.9556500000000003E-5</v>
      </c>
      <c r="CS37" s="74">
        <v>7.8140700000000002E-5</v>
      </c>
      <c r="CT37" s="74">
        <v>7.6750100000000002E-5</v>
      </c>
      <c r="CU37" s="74">
        <v>7.5384199999999996E-5</v>
      </c>
      <c r="CV37" s="74">
        <v>7.4042599999999995E-5</v>
      </c>
      <c r="CW37" s="74">
        <v>7.2724800000000005E-5</v>
      </c>
      <c r="CX37" s="74">
        <v>7.1430500000000007E-5</v>
      </c>
      <c r="CY37" s="74">
        <v>7.0159200000000004E-5</v>
      </c>
      <c r="CZ37" s="74">
        <v>6.8910499999999997E-5</v>
      </c>
      <c r="DA37" s="74">
        <v>6.7683999999999998E-5</v>
      </c>
      <c r="DB37" s="74">
        <v>6.6479300000000006E-5</v>
      </c>
      <c r="DC37" s="74">
        <v>6.5296000000000006E-5</v>
      </c>
      <c r="DD37" s="74">
        <v>6.4133800000000006E-5</v>
      </c>
      <c r="DE37" s="74">
        <v>6.2992300000000003E-5</v>
      </c>
      <c r="DF37" s="74">
        <v>6.1871000000000004E-5</v>
      </c>
      <c r="DG37" s="74">
        <v>6.0769700000000002E-5</v>
      </c>
      <c r="DH37" s="74">
        <v>5.9688000000000002E-5</v>
      </c>
      <c r="DI37" s="74">
        <v>5.8625600000000003E-5</v>
      </c>
      <c r="DJ37" s="74">
        <v>5.7581999999999999E-5</v>
      </c>
      <c r="DK37" s="74">
        <v>5.6557100000000001E-5</v>
      </c>
      <c r="DL37" s="74">
        <v>5.5550300000000002E-5</v>
      </c>
      <c r="DM37" s="74">
        <v>5.4561500000000003E-5</v>
      </c>
      <c r="DN37" s="74">
        <v>5.3590200000000001E-5</v>
      </c>
      <c r="DO37" s="74">
        <v>5.2636300000000003E-5</v>
      </c>
      <c r="DP37" s="74">
        <v>5.1699300000000002E-5</v>
      </c>
      <c r="DQ37" s="74">
        <v>5.0779000000000003E-5</v>
      </c>
      <c r="DR37" s="74">
        <v>4.98751E-5</v>
      </c>
      <c r="DS37" s="74">
        <v>4.8987199999999997E-5</v>
      </c>
      <c r="DT37" s="74">
        <v>4.8115200000000003E-5</v>
      </c>
      <c r="DU37" s="74">
        <v>4.7258600000000002E-5</v>
      </c>
      <c r="DV37" s="74">
        <v>4.64174E-5</v>
      </c>
      <c r="DW37" s="74">
        <v>4.5591099999999998E-5</v>
      </c>
      <c r="DX37" s="74">
        <v>4.47795E-5</v>
      </c>
      <c r="DY37" s="74">
        <v>4.3982300000000001E-5</v>
      </c>
      <c r="DZ37" s="74">
        <v>4.3199299999999998E-5</v>
      </c>
      <c r="EA37" s="74">
        <v>4.2430299999999999E-5</v>
      </c>
      <c r="EB37" s="74">
        <v>4.1674900000000003E-5</v>
      </c>
      <c r="EC37" s="74">
        <v>4.0933000000000003E-5</v>
      </c>
      <c r="ED37" s="74">
        <v>4.0204299999999997E-5</v>
      </c>
      <c r="EE37" s="74">
        <v>3.94886E-5</v>
      </c>
      <c r="EF37" s="74">
        <v>3.8785599999999997E-5</v>
      </c>
      <c r="EG37" s="74">
        <v>3.8095100000000001E-5</v>
      </c>
      <c r="EH37" s="74">
        <v>3.7416999999999998E-5</v>
      </c>
      <c r="EI37" s="74">
        <v>3.6750800000000001E-5</v>
      </c>
      <c r="EJ37" s="74">
        <v>3.6096600000000003E-5</v>
      </c>
      <c r="EK37" s="74">
        <v>3.5454000000000003E-5</v>
      </c>
      <c r="EL37" s="74">
        <v>3.4822800000000001E-5</v>
      </c>
      <c r="EM37" s="74">
        <v>3.4202899999999997E-5</v>
      </c>
      <c r="EN37" s="74">
        <v>3.3593999999999997E-5</v>
      </c>
      <c r="EO37" s="74">
        <v>3.29959E-5</v>
      </c>
      <c r="EP37" s="74">
        <v>3.24085E-5</v>
      </c>
      <c r="EQ37" s="74">
        <v>3.1831500000000002E-5</v>
      </c>
      <c r="ER37" s="74">
        <v>3.1264799999999999E-5</v>
      </c>
      <c r="ES37" s="74">
        <v>3.0708199999999998E-5</v>
      </c>
      <c r="ET37" s="74">
        <v>3.0161499999999999E-5</v>
      </c>
      <c r="EU37" s="74">
        <v>2.9624600000000001E-5</v>
      </c>
      <c r="EV37" s="74">
        <v>2.90972E-5</v>
      </c>
      <c r="EW37" s="74">
        <v>2.8579199999999999E-5</v>
      </c>
      <c r="EX37" s="74">
        <v>2.8070400000000001E-5</v>
      </c>
      <c r="EY37" s="74">
        <v>2.75706E-5</v>
      </c>
      <c r="EZ37" s="74">
        <v>2.7079800000000001E-5</v>
      </c>
      <c r="FA37" s="74">
        <v>2.6597700000000001E-5</v>
      </c>
      <c r="FB37" s="74">
        <v>2.61242E-5</v>
      </c>
      <c r="FC37" s="74">
        <v>2.56591E-5</v>
      </c>
      <c r="FD37" s="74">
        <v>2.5202300000000001E-5</v>
      </c>
      <c r="FE37" s="74">
        <v>2.47536E-5</v>
      </c>
      <c r="FF37" s="74">
        <v>2.4312899999999999E-5</v>
      </c>
      <c r="FG37" s="74">
        <v>2.3880099999999999E-5</v>
      </c>
      <c r="FH37" s="74">
        <v>2.3454900000000001E-5</v>
      </c>
      <c r="FI37" s="74">
        <v>2.3037400000000001E-5</v>
      </c>
      <c r="FJ37" s="74">
        <v>2.2627199999999999E-5</v>
      </c>
      <c r="FK37" s="74">
        <v>2.22244E-5</v>
      </c>
      <c r="FL37" s="74">
        <v>2.18287E-5</v>
      </c>
      <c r="FM37" s="74">
        <v>2.1440100000000002E-5</v>
      </c>
      <c r="FN37" s="74">
        <v>2.1058400000000002E-5</v>
      </c>
      <c r="FO37" s="74">
        <v>2.0683499999999999E-5</v>
      </c>
      <c r="FP37" s="74">
        <v>2.0315299999999998E-5</v>
      </c>
      <c r="FQ37" s="74">
        <v>1.9953600000000002E-5</v>
      </c>
    </row>
    <row r="38" spans="1:173" x14ac:dyDescent="0.25">
      <c r="A38" s="76">
        <v>36</v>
      </c>
      <c r="B38" s="74">
        <v>4.643375E-4</v>
      </c>
      <c r="C38" s="74">
        <v>4.565525E-4</v>
      </c>
      <c r="D38" s="74">
        <v>4.4887300000000002E-4</v>
      </c>
      <c r="E38" s="74">
        <v>4.4129949999999999E-4</v>
      </c>
      <c r="F38" s="74">
        <v>4.3383199999999999E-4</v>
      </c>
      <c r="G38" s="74">
        <v>4.2647079999999998E-4</v>
      </c>
      <c r="H38" s="74">
        <v>4.1921560000000001E-4</v>
      </c>
      <c r="I38" s="74">
        <v>4.1206629999999999E-4</v>
      </c>
      <c r="J38" s="74">
        <v>4.0502250000000001E-4</v>
      </c>
      <c r="K38" s="74">
        <v>3.9808390000000001E-4</v>
      </c>
      <c r="L38" s="74">
        <v>3.9124990000000002E-4</v>
      </c>
      <c r="M38" s="74">
        <v>3.8452000000000001E-4</v>
      </c>
      <c r="N38" s="74">
        <v>3.7789349999999998E-4</v>
      </c>
      <c r="O38" s="74">
        <v>3.713697E-4</v>
      </c>
      <c r="P38" s="74">
        <v>3.6494780000000002E-4</v>
      </c>
      <c r="Q38" s="74">
        <v>3.586269E-4</v>
      </c>
      <c r="R38" s="74">
        <v>3.524062E-4</v>
      </c>
      <c r="S38" s="74">
        <v>3.462847E-4</v>
      </c>
      <c r="T38" s="74">
        <v>3.4026150000000002E-4</v>
      </c>
      <c r="U38" s="74">
        <v>3.3433539999999998E-4</v>
      </c>
      <c r="V38" s="74">
        <v>3.2850559999999997E-4</v>
      </c>
      <c r="W38" s="74">
        <v>3.227708E-4</v>
      </c>
      <c r="X38" s="74">
        <v>3.1712999999999999E-4</v>
      </c>
      <c r="Y38" s="74">
        <v>3.1158219999999999E-4</v>
      </c>
      <c r="Z38" s="74">
        <v>3.0612610000000002E-4</v>
      </c>
      <c r="AA38" s="74">
        <v>3.0076050000000002E-4</v>
      </c>
      <c r="AB38" s="74">
        <v>2.954845E-4</v>
      </c>
      <c r="AC38" s="74">
        <v>2.9029659999999999E-4</v>
      </c>
      <c r="AD38" s="74">
        <v>2.851959E-4</v>
      </c>
      <c r="AE38" s="74">
        <v>2.8018109999999999E-4</v>
      </c>
      <c r="AF38" s="74">
        <v>2.7525100000000001E-4</v>
      </c>
      <c r="AG38" s="74">
        <v>2.704044E-4</v>
      </c>
      <c r="AH38" s="74">
        <v>2.6564010000000002E-4</v>
      </c>
      <c r="AI38" s="74">
        <v>2.609569E-4</v>
      </c>
      <c r="AJ38" s="74">
        <v>2.5635369999999998E-4</v>
      </c>
      <c r="AK38" s="74">
        <v>2.5182930000000001E-4</v>
      </c>
      <c r="AL38" s="74">
        <v>2.4738240000000001E-4</v>
      </c>
      <c r="AM38" s="74">
        <v>2.43012E-4</v>
      </c>
      <c r="AN38" s="74">
        <v>2.3871680000000001E-4</v>
      </c>
      <c r="AO38" s="74">
        <v>2.344956E-4</v>
      </c>
      <c r="AP38" s="74">
        <v>2.303474E-4</v>
      </c>
      <c r="AQ38" s="74">
        <v>2.26271E-4</v>
      </c>
      <c r="AR38" s="74">
        <v>2.2226519999999999E-4</v>
      </c>
      <c r="AS38" s="74">
        <v>2.1832899999999999E-4</v>
      </c>
      <c r="AT38" s="74">
        <v>2.1446120000000001E-4</v>
      </c>
      <c r="AU38" s="74">
        <v>2.1066069999999999E-4</v>
      </c>
      <c r="AV38" s="74">
        <v>2.0692639999999999E-4</v>
      </c>
      <c r="AW38" s="74">
        <v>2.032573E-4</v>
      </c>
      <c r="AX38" s="74">
        <v>1.996523E-4</v>
      </c>
      <c r="AY38" s="74">
        <v>1.9611030000000001E-4</v>
      </c>
      <c r="AZ38" s="74">
        <v>1.9263019999999999E-4</v>
      </c>
      <c r="BA38" s="74">
        <v>1.8921119999999999E-4</v>
      </c>
      <c r="BB38" s="74">
        <v>1.858521E-4</v>
      </c>
      <c r="BC38" s="74">
        <v>1.82552E-4</v>
      </c>
      <c r="BD38" s="74">
        <v>1.793098E-4</v>
      </c>
      <c r="BE38" s="74">
        <v>1.7612460000000001E-4</v>
      </c>
      <c r="BF38" s="74">
        <v>1.7299549999999999E-4</v>
      </c>
      <c r="BG38" s="74">
        <v>1.6992139999999999E-4</v>
      </c>
      <c r="BH38" s="74">
        <v>1.6690149999999999E-4</v>
      </c>
      <c r="BI38" s="74">
        <v>1.6393479999999999E-4</v>
      </c>
      <c r="BJ38" s="74">
        <v>1.610204E-4</v>
      </c>
      <c r="BK38" s="74">
        <v>1.581574E-4</v>
      </c>
      <c r="BL38" s="74">
        <v>1.5534500000000001E-4</v>
      </c>
      <c r="BM38" s="74">
        <v>1.525822E-4</v>
      </c>
      <c r="BN38" s="74">
        <v>1.4986829999999999E-4</v>
      </c>
      <c r="BO38" s="74">
        <v>1.4720240000000001E-4</v>
      </c>
      <c r="BP38" s="74">
        <v>1.4458360000000001E-4</v>
      </c>
      <c r="BQ38" s="74">
        <v>1.420111E-4</v>
      </c>
      <c r="BR38" s="74">
        <v>1.3948420000000001E-4</v>
      </c>
      <c r="BS38" s="74">
        <v>1.37002E-4</v>
      </c>
      <c r="BT38" s="74">
        <v>1.345637E-4</v>
      </c>
      <c r="BU38" s="74">
        <v>1.3216869999999999E-4</v>
      </c>
      <c r="BV38" s="74">
        <v>1.298161E-4</v>
      </c>
      <c r="BW38" s="74">
        <v>1.275053E-4</v>
      </c>
      <c r="BX38" s="74">
        <v>1.2523539999999999E-4</v>
      </c>
      <c r="BY38" s="74">
        <v>1.2300580000000001E-4</v>
      </c>
      <c r="BZ38" s="74">
        <v>1.208157E-4</v>
      </c>
      <c r="CA38" s="74">
        <v>1.186645E-4</v>
      </c>
      <c r="CB38" s="74">
        <v>1.165515E-4</v>
      </c>
      <c r="CC38" s="74">
        <v>1.1447600000000001E-4</v>
      </c>
      <c r="CD38" s="74">
        <v>1.124374E-4</v>
      </c>
      <c r="CE38" s="74">
        <v>1.10435E-4</v>
      </c>
      <c r="CF38" s="74">
        <v>1.084681E-4</v>
      </c>
      <c r="CG38" s="74">
        <v>1.065362E-4</v>
      </c>
      <c r="CH38" s="74">
        <v>1.046387E-4</v>
      </c>
      <c r="CI38" s="74">
        <v>1.027748E-4</v>
      </c>
      <c r="CJ38" s="74">
        <v>1.0094409999999999E-4</v>
      </c>
      <c r="CK38" s="74">
        <v>9.9145899999999995E-5</v>
      </c>
      <c r="CL38" s="74">
        <v>9.7379699999999999E-5</v>
      </c>
      <c r="CM38" s="74">
        <v>9.5644999999999997E-5</v>
      </c>
      <c r="CN38" s="74">
        <v>9.3941000000000001E-5</v>
      </c>
      <c r="CO38" s="74">
        <v>9.2267400000000004E-5</v>
      </c>
      <c r="CP38" s="74">
        <v>9.0623600000000004E-5</v>
      </c>
      <c r="CQ38" s="74">
        <v>8.9009000000000001E-5</v>
      </c>
      <c r="CR38" s="74">
        <v>8.74231E-5</v>
      </c>
      <c r="CS38" s="74">
        <v>8.58655E-5</v>
      </c>
      <c r="CT38" s="74">
        <v>8.4335500000000006E-5</v>
      </c>
      <c r="CU38" s="74">
        <v>8.2832799999999997E-5</v>
      </c>
      <c r="CV38" s="74">
        <v>8.1356899999999994E-5</v>
      </c>
      <c r="CW38" s="74">
        <v>7.9907200000000006E-5</v>
      </c>
      <c r="CX38" s="74">
        <v>7.8483299999999994E-5</v>
      </c>
      <c r="CY38" s="74">
        <v>7.7084799999999998E-5</v>
      </c>
      <c r="CZ38" s="74">
        <v>7.5711100000000001E-5</v>
      </c>
      <c r="DA38" s="74">
        <v>7.4362000000000004E-5</v>
      </c>
      <c r="DB38" s="74">
        <v>7.3036799999999998E-5</v>
      </c>
      <c r="DC38" s="74">
        <v>7.1735299999999997E-5</v>
      </c>
      <c r="DD38" s="74">
        <v>7.04569E-5</v>
      </c>
      <c r="DE38" s="74">
        <v>6.9201299999999998E-5</v>
      </c>
      <c r="DF38" s="74">
        <v>6.7967999999999997E-5</v>
      </c>
      <c r="DG38" s="74">
        <v>6.6756799999999998E-5</v>
      </c>
      <c r="DH38" s="74">
        <v>6.5567099999999998E-5</v>
      </c>
      <c r="DI38" s="74">
        <v>6.4398499999999997E-5</v>
      </c>
      <c r="DJ38" s="74">
        <v>6.3250799999999994E-5</v>
      </c>
      <c r="DK38" s="74">
        <v>6.2123600000000003E-5</v>
      </c>
      <c r="DL38" s="74">
        <v>6.1016400000000001E-5</v>
      </c>
      <c r="DM38" s="74">
        <v>5.9928900000000001E-5</v>
      </c>
      <c r="DN38" s="74">
        <v>5.8860899999999997E-5</v>
      </c>
      <c r="DO38" s="74">
        <v>5.7811800000000001E-5</v>
      </c>
      <c r="DP38" s="74">
        <v>5.6781399999999998E-5</v>
      </c>
      <c r="DQ38" s="74">
        <v>5.5769400000000002E-5</v>
      </c>
      <c r="DR38" s="74">
        <v>5.4775499999999998E-5</v>
      </c>
      <c r="DS38" s="74">
        <v>5.3799199999999998E-5</v>
      </c>
      <c r="DT38" s="74">
        <v>5.2840300000000003E-5</v>
      </c>
      <c r="DU38" s="74">
        <v>5.1898499999999998E-5</v>
      </c>
      <c r="DV38" s="74">
        <v>5.0973500000000002E-5</v>
      </c>
      <c r="DW38" s="74">
        <v>5.0065000000000003E-5</v>
      </c>
      <c r="DX38" s="74">
        <v>4.9172699999999998E-5</v>
      </c>
      <c r="DY38" s="74">
        <v>4.82962E-5</v>
      </c>
      <c r="DZ38" s="74">
        <v>4.7435400000000003E-5</v>
      </c>
      <c r="EA38" s="74">
        <v>4.6589899999999999E-5</v>
      </c>
      <c r="EB38" s="74">
        <v>4.5759500000000001E-5</v>
      </c>
      <c r="EC38" s="74">
        <v>4.4943900000000002E-5</v>
      </c>
      <c r="ED38" s="74">
        <v>4.41428E-5</v>
      </c>
      <c r="EE38" s="74">
        <v>4.3356000000000003E-5</v>
      </c>
      <c r="EF38" s="74">
        <v>4.2583200000000003E-5</v>
      </c>
      <c r="EG38" s="74">
        <v>4.1824199999999998E-5</v>
      </c>
      <c r="EH38" s="74">
        <v>4.1078699999999997E-5</v>
      </c>
      <c r="EI38" s="74">
        <v>4.0346499999999997E-5</v>
      </c>
      <c r="EJ38" s="74">
        <v>3.9627399999999999E-5</v>
      </c>
      <c r="EK38" s="74">
        <v>3.8921100000000002E-5</v>
      </c>
      <c r="EL38" s="74">
        <v>3.8227299999999999E-5</v>
      </c>
      <c r="EM38" s="74">
        <v>3.7545900000000002E-5</v>
      </c>
      <c r="EN38" s="74">
        <v>3.6876699999999999E-5</v>
      </c>
      <c r="EO38" s="74">
        <v>3.6219400000000001E-5</v>
      </c>
      <c r="EP38" s="74">
        <v>3.5573800000000002E-5</v>
      </c>
      <c r="EQ38" s="74">
        <v>3.49397E-5</v>
      </c>
      <c r="ER38" s="74">
        <v>3.4316899999999997E-5</v>
      </c>
      <c r="ES38" s="74">
        <v>3.3705199999999997E-5</v>
      </c>
      <c r="ET38" s="74">
        <v>3.3104500000000001E-5</v>
      </c>
      <c r="EU38" s="74">
        <v>3.2514400000000002E-5</v>
      </c>
      <c r="EV38" s="74">
        <v>3.1934799999999998E-5</v>
      </c>
      <c r="EW38" s="74">
        <v>3.1365599999999997E-5</v>
      </c>
      <c r="EX38" s="74">
        <v>3.0806499999999997E-5</v>
      </c>
      <c r="EY38" s="74">
        <v>3.0257399999999999E-5</v>
      </c>
      <c r="EZ38" s="74">
        <v>2.9718099999999999E-5</v>
      </c>
      <c r="FA38" s="74">
        <v>2.91883E-5</v>
      </c>
      <c r="FB38" s="74">
        <v>2.8668100000000001E-5</v>
      </c>
      <c r="FC38" s="74">
        <v>2.8157099999999998E-5</v>
      </c>
      <c r="FD38" s="74">
        <v>2.7655199999999999E-5</v>
      </c>
      <c r="FE38" s="74">
        <v>2.7162199999999999E-5</v>
      </c>
      <c r="FF38" s="74">
        <v>2.6678000000000001E-5</v>
      </c>
      <c r="FG38" s="74">
        <v>2.6202499999999999E-5</v>
      </c>
      <c r="FH38" s="74">
        <v>2.5735500000000001E-5</v>
      </c>
      <c r="FI38" s="74">
        <v>2.5276700000000001E-5</v>
      </c>
      <c r="FJ38" s="74">
        <v>2.48262E-5</v>
      </c>
      <c r="FK38" s="74">
        <v>2.4383600000000001E-5</v>
      </c>
      <c r="FL38" s="74">
        <v>2.3949000000000001E-5</v>
      </c>
      <c r="FM38" s="74">
        <v>2.35221E-5</v>
      </c>
      <c r="FN38" s="74">
        <v>2.3102799999999998E-5</v>
      </c>
      <c r="FO38" s="74">
        <v>2.2691E-5</v>
      </c>
      <c r="FP38" s="74">
        <v>2.2286500000000001E-5</v>
      </c>
      <c r="FQ38" s="74">
        <v>2.1889300000000001E-5</v>
      </c>
    </row>
    <row r="39" spans="1:173" x14ac:dyDescent="0.25">
      <c r="A39" s="76">
        <v>37</v>
      </c>
      <c r="B39" s="74">
        <v>5.1690109999999998E-4</v>
      </c>
      <c r="C39" s="74">
        <v>5.0916459999999998E-4</v>
      </c>
      <c r="D39" s="74">
        <v>5.0147560000000002E-4</v>
      </c>
      <c r="E39" s="74">
        <v>4.9383909999999997E-4</v>
      </c>
      <c r="F39" s="74">
        <v>4.862593E-4</v>
      </c>
      <c r="G39" s="74">
        <v>4.7874030000000001E-4</v>
      </c>
      <c r="H39" s="74">
        <v>4.7128570000000002E-4</v>
      </c>
      <c r="I39" s="74">
        <v>4.6389880000000002E-4</v>
      </c>
      <c r="J39" s="74">
        <v>4.5658249999999998E-4</v>
      </c>
      <c r="K39" s="74">
        <v>4.4933940000000002E-4</v>
      </c>
      <c r="L39" s="74">
        <v>4.4217179999999999E-4</v>
      </c>
      <c r="M39" s="74">
        <v>4.3508179999999998E-4</v>
      </c>
      <c r="N39" s="74">
        <v>4.2807119999999999E-4</v>
      </c>
      <c r="O39" s="74">
        <v>4.2114160000000003E-4</v>
      </c>
      <c r="P39" s="74">
        <v>4.142943E-4</v>
      </c>
      <c r="Q39" s="74">
        <v>4.0753049999999998E-4</v>
      </c>
      <c r="R39" s="74">
        <v>4.0085119999999999E-4</v>
      </c>
      <c r="S39" s="74">
        <v>3.942571E-4</v>
      </c>
      <c r="T39" s="74">
        <v>3.8774890000000002E-4</v>
      </c>
      <c r="U39" s="74">
        <v>3.8132710000000002E-4</v>
      </c>
      <c r="V39" s="74">
        <v>3.7499190000000001E-4</v>
      </c>
      <c r="W39" s="74">
        <v>3.6874370000000001E-4</v>
      </c>
      <c r="X39" s="74">
        <v>3.6258249999999997E-4</v>
      </c>
      <c r="Y39" s="74">
        <v>3.565083E-4</v>
      </c>
      <c r="Z39" s="74">
        <v>3.5052100000000001E-4</v>
      </c>
      <c r="AA39" s="74">
        <v>3.4462030000000001E-4</v>
      </c>
      <c r="AB39" s="74">
        <v>3.3880610000000002E-4</v>
      </c>
      <c r="AC39" s="74">
        <v>3.33078E-4</v>
      </c>
      <c r="AD39" s="74">
        <v>3.2743540000000003E-4</v>
      </c>
      <c r="AE39" s="74">
        <v>3.21878E-4</v>
      </c>
      <c r="AF39" s="74">
        <v>3.164051E-4</v>
      </c>
      <c r="AG39" s="74">
        <v>3.1101609999999999E-4</v>
      </c>
      <c r="AH39" s="74">
        <v>3.0571050000000001E-4</v>
      </c>
      <c r="AI39" s="74">
        <v>3.0048750000000001E-4</v>
      </c>
      <c r="AJ39" s="74">
        <v>2.9534629999999998E-4</v>
      </c>
      <c r="AK39" s="74">
        <v>2.9028620000000002E-4</v>
      </c>
      <c r="AL39" s="74">
        <v>2.8530640000000001E-4</v>
      </c>
      <c r="AM39" s="74">
        <v>2.8040600000000003E-4</v>
      </c>
      <c r="AN39" s="74">
        <v>2.7558429999999999E-4</v>
      </c>
      <c r="AO39" s="74">
        <v>2.7084020000000002E-4</v>
      </c>
      <c r="AP39" s="74">
        <v>2.6617299999999997E-4</v>
      </c>
      <c r="AQ39" s="74">
        <v>2.6158170000000001E-4</v>
      </c>
      <c r="AR39" s="74">
        <v>2.5706539999999998E-4</v>
      </c>
      <c r="AS39" s="74">
        <v>2.5262320000000001E-4</v>
      </c>
      <c r="AT39" s="74">
        <v>2.4825409999999998E-4</v>
      </c>
      <c r="AU39" s="74">
        <v>2.439571E-4</v>
      </c>
      <c r="AV39" s="74">
        <v>2.397314E-4</v>
      </c>
      <c r="AW39" s="74">
        <v>2.355758E-4</v>
      </c>
      <c r="AX39" s="74">
        <v>2.3148959999999999E-4</v>
      </c>
      <c r="AY39" s="74">
        <v>2.274717E-4</v>
      </c>
      <c r="AZ39" s="74">
        <v>2.235211E-4</v>
      </c>
      <c r="BA39" s="74">
        <v>2.196369E-4</v>
      </c>
      <c r="BB39" s="74">
        <v>2.1581810000000001E-4</v>
      </c>
      <c r="BC39" s="74">
        <v>2.1206379999999999E-4</v>
      </c>
      <c r="BD39" s="74">
        <v>2.083729E-4</v>
      </c>
      <c r="BE39" s="74">
        <v>2.047447E-4</v>
      </c>
      <c r="BF39" s="74">
        <v>2.0117799999999999E-4</v>
      </c>
      <c r="BG39" s="74">
        <v>1.97672E-4</v>
      </c>
      <c r="BH39" s="74">
        <v>1.9422579999999999E-4</v>
      </c>
      <c r="BI39" s="74">
        <v>1.908383E-4</v>
      </c>
      <c r="BJ39" s="74">
        <v>1.875088E-4</v>
      </c>
      <c r="BK39" s="74">
        <v>1.8423619999999999E-4</v>
      </c>
      <c r="BL39" s="74">
        <v>1.810197E-4</v>
      </c>
      <c r="BM39" s="74">
        <v>1.7785850000000001E-4</v>
      </c>
      <c r="BN39" s="74">
        <v>1.7475149999999999E-4</v>
      </c>
      <c r="BO39" s="74">
        <v>1.7169799999999999E-4</v>
      </c>
      <c r="BP39" s="74">
        <v>1.6869709999999999E-4</v>
      </c>
      <c r="BQ39" s="74">
        <v>1.657478E-4</v>
      </c>
      <c r="BR39" s="74">
        <v>1.6284949999999999E-4</v>
      </c>
      <c r="BS39" s="74">
        <v>1.600013E-4</v>
      </c>
      <c r="BT39" s="74">
        <v>1.5720219999999999E-4</v>
      </c>
      <c r="BU39" s="74">
        <v>1.5445159999999999E-4</v>
      </c>
      <c r="BV39" s="74">
        <v>1.5174860000000001E-4</v>
      </c>
      <c r="BW39" s="74">
        <v>1.490924E-4</v>
      </c>
      <c r="BX39" s="74">
        <v>1.4648229999999999E-4</v>
      </c>
      <c r="BY39" s="74">
        <v>1.4391750000000001E-4</v>
      </c>
      <c r="BZ39" s="74">
        <v>1.4139719999999999E-4</v>
      </c>
      <c r="CA39" s="74">
        <v>1.3892059999999999E-4</v>
      </c>
      <c r="CB39" s="74">
        <v>1.3648720000000001E-4</v>
      </c>
      <c r="CC39" s="74">
        <v>1.34096E-4</v>
      </c>
      <c r="CD39" s="74">
        <v>1.317464E-4</v>
      </c>
      <c r="CE39" s="74">
        <v>1.2943779999999999E-4</v>
      </c>
      <c r="CF39" s="74">
        <v>1.271693E-4</v>
      </c>
      <c r="CG39" s="74">
        <v>1.2494040000000001E-4</v>
      </c>
      <c r="CH39" s="74">
        <v>1.227503E-4</v>
      </c>
      <c r="CI39" s="74">
        <v>1.205984E-4</v>
      </c>
      <c r="CJ39" s="74">
        <v>1.18484E-4</v>
      </c>
      <c r="CK39" s="74">
        <v>1.164065E-4</v>
      </c>
      <c r="CL39" s="74">
        <v>1.143653E-4</v>
      </c>
      <c r="CM39" s="74">
        <v>1.1235969999999999E-4</v>
      </c>
      <c r="CN39" s="74">
        <v>1.103892E-4</v>
      </c>
      <c r="CO39" s="74">
        <v>1.08453E-4</v>
      </c>
      <c r="CP39" s="74">
        <v>1.065508E-4</v>
      </c>
      <c r="CQ39" s="74">
        <v>1.046817E-4</v>
      </c>
      <c r="CR39" s="74">
        <v>1.028454E-4</v>
      </c>
      <c r="CS39" s="74">
        <v>1.010411E-4</v>
      </c>
      <c r="CT39" s="74">
        <v>9.92684E-5</v>
      </c>
      <c r="CU39" s="74">
        <v>9.7526699999999996E-5</v>
      </c>
      <c r="CV39" s="74">
        <v>9.5815499999999998E-5</v>
      </c>
      <c r="CW39" s="74">
        <v>9.4134299999999998E-5</v>
      </c>
      <c r="CX39" s="74">
        <v>9.2482499999999994E-5</v>
      </c>
      <c r="CY39" s="74">
        <v>9.0859600000000007E-5</v>
      </c>
      <c r="CZ39" s="74">
        <v>8.92651E-5</v>
      </c>
      <c r="DA39" s="74">
        <v>8.7698499999999994E-5</v>
      </c>
      <c r="DB39" s="74">
        <v>8.61594E-5</v>
      </c>
      <c r="DC39" s="74">
        <v>8.4647200000000005E-5</v>
      </c>
      <c r="DD39" s="74">
        <v>8.3161500000000007E-5</v>
      </c>
      <c r="DE39" s="74">
        <v>8.1701900000000005E-5</v>
      </c>
      <c r="DF39" s="74">
        <v>8.0267900000000004E-5</v>
      </c>
      <c r="DG39" s="74">
        <v>7.8858900000000005E-5</v>
      </c>
      <c r="DH39" s="74">
        <v>7.7474700000000005E-5</v>
      </c>
      <c r="DI39" s="74">
        <v>7.6114700000000005E-5</v>
      </c>
      <c r="DJ39" s="74">
        <v>7.4778599999999996E-5</v>
      </c>
      <c r="DK39" s="74">
        <v>7.3465899999999997E-5</v>
      </c>
      <c r="DL39" s="74">
        <v>7.2176199999999995E-5</v>
      </c>
      <c r="DM39" s="74">
        <v>7.0909199999999995E-5</v>
      </c>
      <c r="DN39" s="74">
        <v>6.9664299999999996E-5</v>
      </c>
      <c r="DO39" s="74">
        <v>6.8441299999999998E-5</v>
      </c>
      <c r="DP39" s="74">
        <v>6.7239700000000006E-5</v>
      </c>
      <c r="DQ39" s="74">
        <v>6.6059300000000006E-5</v>
      </c>
      <c r="DR39" s="74">
        <v>6.4899499999999998E-5</v>
      </c>
      <c r="DS39" s="74">
        <v>6.3759999999999999E-5</v>
      </c>
      <c r="DT39" s="74">
        <v>6.2640599999999998E-5</v>
      </c>
      <c r="DU39" s="74">
        <v>6.1540799999999999E-5</v>
      </c>
      <c r="DV39" s="74">
        <v>6.0460300000000001E-5</v>
      </c>
      <c r="DW39" s="74">
        <v>5.9398699999999998E-5</v>
      </c>
      <c r="DX39" s="74">
        <v>5.8355800000000001E-5</v>
      </c>
      <c r="DY39" s="74">
        <v>5.7331199999999998E-5</v>
      </c>
      <c r="DZ39" s="74">
        <v>5.6324499999999999E-5</v>
      </c>
      <c r="EA39" s="74">
        <v>5.5335599999999999E-5</v>
      </c>
      <c r="EB39" s="74">
        <v>5.4364000000000003E-5</v>
      </c>
      <c r="EC39" s="74">
        <v>5.3409399999999997E-5</v>
      </c>
      <c r="ED39" s="74">
        <v>5.2471600000000001E-5</v>
      </c>
      <c r="EE39" s="74">
        <v>5.15502E-5</v>
      </c>
      <c r="EF39" s="74">
        <v>5.0645E-5</v>
      </c>
      <c r="EG39" s="74">
        <v>4.9755700000000002E-5</v>
      </c>
      <c r="EH39" s="74">
        <v>4.8882099999999997E-5</v>
      </c>
      <c r="EI39" s="74">
        <v>4.8023699999999999E-5</v>
      </c>
      <c r="EJ39" s="74">
        <v>4.71804E-5</v>
      </c>
      <c r="EK39" s="74">
        <v>4.6351899999999999E-5</v>
      </c>
      <c r="EL39" s="74">
        <v>4.5537999999999997E-5</v>
      </c>
      <c r="EM39" s="74">
        <v>4.4738399999999998E-5</v>
      </c>
      <c r="EN39" s="74">
        <v>4.3952799999999997E-5</v>
      </c>
      <c r="EO39" s="74">
        <v>4.3180899999999999E-5</v>
      </c>
      <c r="EP39" s="74">
        <v>4.2422700000000003E-5</v>
      </c>
      <c r="EQ39" s="74">
        <v>4.1677700000000002E-5</v>
      </c>
      <c r="ER39" s="74">
        <v>4.0945799999999997E-5</v>
      </c>
      <c r="ES39" s="74">
        <v>4.0226799999999999E-5</v>
      </c>
      <c r="ET39" s="74">
        <v>3.9520400000000002E-5</v>
      </c>
      <c r="EU39" s="74">
        <v>3.8826399999999998E-5</v>
      </c>
      <c r="EV39" s="74">
        <v>3.8144600000000001E-5</v>
      </c>
      <c r="EW39" s="74">
        <v>3.7474700000000002E-5</v>
      </c>
      <c r="EX39" s="74">
        <v>3.6816700000000003E-5</v>
      </c>
      <c r="EY39" s="74">
        <v>3.6170100000000001E-5</v>
      </c>
      <c r="EZ39" s="74">
        <v>3.5534899999999998E-5</v>
      </c>
      <c r="FA39" s="74">
        <v>3.4910899999999998E-5</v>
      </c>
      <c r="FB39" s="74">
        <v>3.4297900000000002E-5</v>
      </c>
      <c r="FC39" s="74">
        <v>3.3695600000000003E-5</v>
      </c>
      <c r="FD39" s="74">
        <v>3.31038E-5</v>
      </c>
      <c r="FE39" s="74">
        <v>3.2522499999999999E-5</v>
      </c>
      <c r="FF39" s="74">
        <v>3.19514E-5</v>
      </c>
      <c r="FG39" s="74">
        <v>3.1390300000000003E-5</v>
      </c>
      <c r="FH39" s="74">
        <v>3.0839000000000001E-5</v>
      </c>
      <c r="FI39" s="74">
        <v>3.0297399999999999E-5</v>
      </c>
      <c r="FJ39" s="74">
        <v>2.9765400000000001E-5</v>
      </c>
      <c r="FK39" s="74">
        <v>2.92427E-5</v>
      </c>
      <c r="FL39" s="74">
        <v>2.8729099999999999E-5</v>
      </c>
      <c r="FM39" s="74">
        <v>2.8224600000000001E-5</v>
      </c>
      <c r="FN39" s="74">
        <v>2.7728900000000001E-5</v>
      </c>
      <c r="FO39" s="74">
        <v>2.7242000000000001E-5</v>
      </c>
      <c r="FP39" s="74">
        <v>2.6763599999999999E-5</v>
      </c>
      <c r="FQ39" s="74">
        <v>2.6293599999999998E-5</v>
      </c>
    </row>
    <row r="40" spans="1:173" x14ac:dyDescent="0.25">
      <c r="A40" s="76">
        <v>38</v>
      </c>
      <c r="B40" s="74">
        <v>5.6458680000000001E-4</v>
      </c>
      <c r="C40" s="74">
        <v>5.5583140000000004E-4</v>
      </c>
      <c r="D40" s="74">
        <v>5.4715829999999995E-4</v>
      </c>
      <c r="E40" s="74">
        <v>5.3857060000000003E-4</v>
      </c>
      <c r="F40" s="74">
        <v>5.3007119999999997E-4</v>
      </c>
      <c r="G40" s="74">
        <v>5.2166249999999995E-4</v>
      </c>
      <c r="H40" s="74">
        <v>5.1334670000000005E-4</v>
      </c>
      <c r="I40" s="74">
        <v>5.0512549999999999E-4</v>
      </c>
      <c r="J40" s="74">
        <v>4.9700069999999996E-4</v>
      </c>
      <c r="K40" s="74">
        <v>4.8897359999999996E-4</v>
      </c>
      <c r="L40" s="74">
        <v>4.8104549999999999E-4</v>
      </c>
      <c r="M40" s="74">
        <v>4.7321720000000002E-4</v>
      </c>
      <c r="N40" s="74">
        <v>4.6548949999999998E-4</v>
      </c>
      <c r="O40" s="74">
        <v>4.5786299999999998E-4</v>
      </c>
      <c r="P40" s="74">
        <v>4.5033829999999999E-4</v>
      </c>
      <c r="Q40" s="74">
        <v>4.429155E-4</v>
      </c>
      <c r="R40" s="74">
        <v>4.355947E-4</v>
      </c>
      <c r="S40" s="74">
        <v>4.2837609999999999E-4</v>
      </c>
      <c r="T40" s="74">
        <v>4.2125950000000001E-4</v>
      </c>
      <c r="U40" s="74">
        <v>4.1424460000000001E-4</v>
      </c>
      <c r="V40" s="74">
        <v>4.0733129999999997E-4</v>
      </c>
      <c r="W40" s="74">
        <v>4.0051900000000001E-4</v>
      </c>
      <c r="X40" s="74">
        <v>3.9380730000000003E-4</v>
      </c>
      <c r="Y40" s="74">
        <v>3.8719569999999998E-4</v>
      </c>
      <c r="Z40" s="74">
        <v>3.8068349999999999E-4</v>
      </c>
      <c r="AA40" s="74">
        <v>3.7427000000000001E-4</v>
      </c>
      <c r="AB40" s="74">
        <v>3.6795449999999999E-4</v>
      </c>
      <c r="AC40" s="74">
        <v>3.6173610000000001E-4</v>
      </c>
      <c r="AD40" s="74">
        <v>3.5561410000000001E-4</v>
      </c>
      <c r="AE40" s="74">
        <v>3.4958750000000001E-4</v>
      </c>
      <c r="AF40" s="74">
        <v>3.4365550000000001E-4</v>
      </c>
      <c r="AG40" s="74">
        <v>3.3781689999999999E-4</v>
      </c>
      <c r="AH40" s="74">
        <v>3.3207100000000003E-4</v>
      </c>
      <c r="AI40" s="74">
        <v>3.2641659999999999E-4</v>
      </c>
      <c r="AJ40" s="74">
        <v>3.208528E-4</v>
      </c>
      <c r="AK40" s="74">
        <v>3.1537839999999998E-4</v>
      </c>
      <c r="AL40" s="74">
        <v>3.0999240000000001E-4</v>
      </c>
      <c r="AM40" s="74">
        <v>3.0469379999999998E-4</v>
      </c>
      <c r="AN40" s="74">
        <v>2.9948129999999998E-4</v>
      </c>
      <c r="AO40" s="74">
        <v>2.9435399999999998E-4</v>
      </c>
      <c r="AP40" s="74">
        <v>2.893107E-4</v>
      </c>
      <c r="AQ40" s="74">
        <v>2.8435029999999999E-4</v>
      </c>
      <c r="AR40" s="74">
        <v>2.7947159999999998E-4</v>
      </c>
      <c r="AS40" s="74">
        <v>2.7467360000000001E-4</v>
      </c>
      <c r="AT40" s="74">
        <v>2.6995509999999998E-4</v>
      </c>
      <c r="AU40" s="74">
        <v>2.6531500000000002E-4</v>
      </c>
      <c r="AV40" s="74">
        <v>2.6075220000000001E-4</v>
      </c>
      <c r="AW40" s="74">
        <v>2.5626559999999997E-4</v>
      </c>
      <c r="AX40" s="74">
        <v>2.518539E-4</v>
      </c>
      <c r="AY40" s="74">
        <v>2.4751629999999997E-4</v>
      </c>
      <c r="AZ40" s="74">
        <v>2.4325139999999999E-4</v>
      </c>
      <c r="BA40" s="74">
        <v>2.3905829999999999E-4</v>
      </c>
      <c r="BB40" s="74">
        <v>2.3493590000000001E-4</v>
      </c>
      <c r="BC40" s="74">
        <v>2.3088300000000001E-4</v>
      </c>
      <c r="BD40" s="74">
        <v>2.268986E-4</v>
      </c>
      <c r="BE40" s="74">
        <v>2.2298169999999999E-4</v>
      </c>
      <c r="BF40" s="74">
        <v>2.191312E-4</v>
      </c>
      <c r="BG40" s="74">
        <v>2.1534599999999999E-4</v>
      </c>
      <c r="BH40" s="74">
        <v>2.1162509999999999E-4</v>
      </c>
      <c r="BI40" s="74">
        <v>2.0796749999999999E-4</v>
      </c>
      <c r="BJ40" s="74">
        <v>2.0437219999999999E-4</v>
      </c>
      <c r="BK40" s="74">
        <v>2.0083819999999999E-4</v>
      </c>
      <c r="BL40" s="74">
        <v>1.9736450000000001E-4</v>
      </c>
      <c r="BM40" s="74">
        <v>1.9395020000000001E-4</v>
      </c>
      <c r="BN40" s="74">
        <v>1.905942E-4</v>
      </c>
      <c r="BO40" s="74">
        <v>1.8729559999999999E-4</v>
      </c>
      <c r="BP40" s="74">
        <v>1.840535E-4</v>
      </c>
      <c r="BQ40" s="74">
        <v>1.8086689999999999E-4</v>
      </c>
      <c r="BR40" s="74">
        <v>1.7773499999999999E-4</v>
      </c>
      <c r="BS40" s="74">
        <v>1.7465690000000001E-4</v>
      </c>
      <c r="BT40" s="74">
        <v>1.716315E-4</v>
      </c>
      <c r="BU40" s="74">
        <v>1.6865820000000001E-4</v>
      </c>
      <c r="BV40" s="74">
        <v>1.6573599999999999E-4</v>
      </c>
      <c r="BW40" s="74">
        <v>1.62864E-4</v>
      </c>
      <c r="BX40" s="74">
        <v>1.6004140000000001E-4</v>
      </c>
      <c r="BY40" s="74">
        <v>1.572675E-4</v>
      </c>
      <c r="BZ40" s="74">
        <v>1.545413E-4</v>
      </c>
      <c r="CA40" s="74">
        <v>1.5186210000000001E-4</v>
      </c>
      <c r="CB40" s="74">
        <v>1.4922899999999999E-4</v>
      </c>
      <c r="CC40" s="74">
        <v>1.4664140000000001E-4</v>
      </c>
      <c r="CD40" s="74">
        <v>1.4409850000000001E-4</v>
      </c>
      <c r="CE40" s="74">
        <v>1.4159940000000001E-4</v>
      </c>
      <c r="CF40" s="74">
        <v>1.3914339999999999E-4</v>
      </c>
      <c r="CG40" s="74">
        <v>1.3672989999999999E-4</v>
      </c>
      <c r="CH40" s="74">
        <v>1.34358E-4</v>
      </c>
      <c r="CI40" s="74">
        <v>1.3202719999999999E-4</v>
      </c>
      <c r="CJ40" s="74">
        <v>1.2973659999999999E-4</v>
      </c>
      <c r="CK40" s="74">
        <v>1.274856E-4</v>
      </c>
      <c r="CL40" s="74">
        <v>1.2527360000000001E-4</v>
      </c>
      <c r="CM40" s="74">
        <v>1.230998E-4</v>
      </c>
      <c r="CN40" s="74">
        <v>1.209636E-4</v>
      </c>
      <c r="CO40" s="74">
        <v>1.1886440000000001E-4</v>
      </c>
      <c r="CP40" s="74">
        <v>1.168015E-4</v>
      </c>
      <c r="CQ40" s="74">
        <v>1.147743E-4</v>
      </c>
      <c r="CR40" s="74">
        <v>1.127823E-4</v>
      </c>
      <c r="CS40" s="74">
        <v>1.108247E-4</v>
      </c>
      <c r="CT40" s="74">
        <v>1.0890100000000001E-4</v>
      </c>
      <c r="CU40" s="74">
        <v>1.0701059999999999E-4</v>
      </c>
      <c r="CV40" s="74">
        <v>1.05153E-4</v>
      </c>
      <c r="CW40" s="74">
        <v>1.033276E-4</v>
      </c>
      <c r="CX40" s="74">
        <v>1.0153379999999999E-4</v>
      </c>
      <c r="CY40" s="74">
        <v>9.9771099999999998E-5</v>
      </c>
      <c r="CZ40" s="74">
        <v>9.8039000000000001E-5</v>
      </c>
      <c r="DA40" s="74">
        <v>9.6336799999999996E-5</v>
      </c>
      <c r="DB40" s="74">
        <v>9.4664200000000001E-5</v>
      </c>
      <c r="DC40" s="74">
        <v>9.3020600000000002E-5</v>
      </c>
      <c r="DD40" s="74">
        <v>9.1405500000000004E-5</v>
      </c>
      <c r="DE40" s="74">
        <v>8.98184E-5</v>
      </c>
      <c r="DF40" s="74">
        <v>8.8258799999999996E-5</v>
      </c>
      <c r="DG40" s="74">
        <v>8.6726300000000003E-5</v>
      </c>
      <c r="DH40" s="74">
        <v>8.5220299999999994E-5</v>
      </c>
      <c r="DI40" s="74">
        <v>8.3740500000000002E-5</v>
      </c>
      <c r="DJ40" s="74">
        <v>8.2286400000000006E-5</v>
      </c>
      <c r="DK40" s="74">
        <v>8.0857400000000003E-5</v>
      </c>
      <c r="DL40" s="74">
        <v>7.9453299999999994E-5</v>
      </c>
      <c r="DM40" s="74">
        <v>7.8073500000000004E-5</v>
      </c>
      <c r="DN40" s="74">
        <v>7.6717699999999999E-5</v>
      </c>
      <c r="DO40" s="74">
        <v>7.5385399999999998E-5</v>
      </c>
      <c r="DP40" s="74">
        <v>7.4076200000000001E-5</v>
      </c>
      <c r="DQ40" s="74">
        <v>7.2789799999999999E-5</v>
      </c>
      <c r="DR40" s="74">
        <v>7.1525600000000005E-5</v>
      </c>
      <c r="DS40" s="74">
        <v>7.0283400000000005E-5</v>
      </c>
      <c r="DT40" s="74">
        <v>6.9062799999999999E-5</v>
      </c>
      <c r="DU40" s="74">
        <v>6.7863399999999998E-5</v>
      </c>
      <c r="DV40" s="74">
        <v>6.6684800000000002E-5</v>
      </c>
      <c r="DW40" s="74">
        <v>6.5526599999999997E-5</v>
      </c>
      <c r="DX40" s="74">
        <v>6.4388500000000002E-5</v>
      </c>
      <c r="DY40" s="74">
        <v>6.3270199999999996E-5</v>
      </c>
      <c r="DZ40" s="74">
        <v>6.2171399999999999E-5</v>
      </c>
      <c r="EA40" s="74">
        <v>6.1091499999999996E-5</v>
      </c>
      <c r="EB40" s="74">
        <v>6.0030500000000001E-5</v>
      </c>
      <c r="EC40" s="74">
        <v>5.8987899999999998E-5</v>
      </c>
      <c r="ED40" s="74">
        <v>5.7963300000000001E-5</v>
      </c>
      <c r="EE40" s="74">
        <v>5.6956600000000003E-5</v>
      </c>
      <c r="EF40" s="74">
        <v>5.5967300000000002E-5</v>
      </c>
      <c r="EG40" s="74">
        <v>5.4995199999999998E-5</v>
      </c>
      <c r="EH40" s="74">
        <v>5.4039999999999998E-5</v>
      </c>
      <c r="EI40" s="74">
        <v>5.31014E-5</v>
      </c>
      <c r="EJ40" s="74">
        <v>5.2179100000000003E-5</v>
      </c>
      <c r="EK40" s="74">
        <v>5.1272800000000001E-5</v>
      </c>
      <c r="EL40" s="74">
        <v>5.03822E-5</v>
      </c>
      <c r="EM40" s="74">
        <v>4.9507099999999999E-5</v>
      </c>
      <c r="EN40" s="74">
        <v>4.8647199999999997E-5</v>
      </c>
      <c r="EO40" s="74">
        <v>4.7802200000000001E-5</v>
      </c>
      <c r="EP40" s="74">
        <v>4.6971900000000003E-5</v>
      </c>
      <c r="EQ40" s="74">
        <v>4.6156000000000003E-5</v>
      </c>
      <c r="ER40" s="74">
        <v>4.53543E-5</v>
      </c>
      <c r="ES40" s="74">
        <v>4.4566500000000001E-5</v>
      </c>
      <c r="ET40" s="74">
        <v>4.3792399999999998E-5</v>
      </c>
      <c r="EU40" s="74">
        <v>4.3031699999999997E-5</v>
      </c>
      <c r="EV40" s="74">
        <v>4.2284299999999998E-5</v>
      </c>
      <c r="EW40" s="74">
        <v>4.15498E-5</v>
      </c>
      <c r="EX40" s="74">
        <v>4.0828100000000003E-5</v>
      </c>
      <c r="EY40" s="74">
        <v>4.01189E-5</v>
      </c>
      <c r="EZ40" s="74">
        <v>3.9422100000000003E-5</v>
      </c>
      <c r="FA40" s="74">
        <v>3.8737299999999999E-5</v>
      </c>
      <c r="FB40" s="74">
        <v>3.8064400000000001E-5</v>
      </c>
      <c r="FC40" s="74">
        <v>3.7403200000000001E-5</v>
      </c>
      <c r="FD40" s="74">
        <v>3.67535E-5</v>
      </c>
      <c r="FE40" s="74">
        <v>3.6115100000000003E-5</v>
      </c>
      <c r="FF40" s="74">
        <v>3.5487800000000003E-5</v>
      </c>
      <c r="FG40" s="74">
        <v>3.48714E-5</v>
      </c>
      <c r="FH40" s="74">
        <v>3.42657E-5</v>
      </c>
      <c r="FI40" s="74">
        <v>3.3670400000000002E-5</v>
      </c>
      <c r="FJ40" s="74">
        <v>3.30856E-5</v>
      </c>
      <c r="FK40" s="74">
        <v>3.2510900000000001E-5</v>
      </c>
      <c r="FL40" s="74">
        <v>3.1946200000000003E-5</v>
      </c>
      <c r="FM40" s="74">
        <v>3.1391199999999999E-5</v>
      </c>
      <c r="FN40" s="74">
        <v>3.0846000000000002E-5</v>
      </c>
      <c r="FO40" s="74">
        <v>3.03102E-5</v>
      </c>
      <c r="FP40" s="74">
        <v>2.9783700000000001E-5</v>
      </c>
      <c r="FQ40" s="74">
        <v>2.9266300000000001E-5</v>
      </c>
    </row>
    <row r="41" spans="1:173" x14ac:dyDescent="0.25">
      <c r="A41" s="76">
        <v>39</v>
      </c>
      <c r="B41" s="74">
        <v>6.2632499999999995E-4</v>
      </c>
      <c r="C41" s="74">
        <v>6.1679230000000001E-4</v>
      </c>
      <c r="D41" s="74">
        <v>6.0734660000000002E-4</v>
      </c>
      <c r="E41" s="74">
        <v>5.9799150000000004E-4</v>
      </c>
      <c r="F41" s="74">
        <v>5.8872980000000002E-4</v>
      </c>
      <c r="G41" s="74">
        <v>5.795644E-4</v>
      </c>
      <c r="H41" s="74">
        <v>5.7049749999999995E-4</v>
      </c>
      <c r="I41" s="74">
        <v>5.6153140000000002E-4</v>
      </c>
      <c r="J41" s="74">
        <v>5.5266769999999998E-4</v>
      </c>
      <c r="K41" s="74">
        <v>5.4390809999999999E-4</v>
      </c>
      <c r="L41" s="74">
        <v>5.3525389999999995E-4</v>
      </c>
      <c r="M41" s="74">
        <v>5.2670609999999997E-4</v>
      </c>
      <c r="N41" s="74">
        <v>5.1826569999999998E-4</v>
      </c>
      <c r="O41" s="74">
        <v>5.0993329999999995E-4</v>
      </c>
      <c r="P41" s="74">
        <v>5.0170949999999998E-4</v>
      </c>
      <c r="Q41" s="74">
        <v>4.935947E-4</v>
      </c>
      <c r="R41" s="74">
        <v>4.8558899999999998E-4</v>
      </c>
      <c r="S41" s="74">
        <v>4.776925E-4</v>
      </c>
      <c r="T41" s="74">
        <v>4.6990520000000002E-4</v>
      </c>
      <c r="U41" s="74">
        <v>4.6222690000000002E-4</v>
      </c>
      <c r="V41" s="74">
        <v>4.5465739999999999E-4</v>
      </c>
      <c r="W41" s="74">
        <v>4.471961E-4</v>
      </c>
      <c r="X41" s="74">
        <v>4.3984280000000002E-4</v>
      </c>
      <c r="Y41" s="74">
        <v>4.3259679999999999E-4</v>
      </c>
      <c r="Z41" s="74">
        <v>4.2545739999999999E-4</v>
      </c>
      <c r="AA41" s="74">
        <v>4.1842410000000001E-4</v>
      </c>
      <c r="AB41" s="74">
        <v>4.1149600000000002E-4</v>
      </c>
      <c r="AC41" s="74">
        <v>4.0467239999999999E-4</v>
      </c>
      <c r="AD41" s="74">
        <v>3.9795230000000002E-4</v>
      </c>
      <c r="AE41" s="74">
        <v>3.9133480000000002E-4</v>
      </c>
      <c r="AF41" s="74">
        <v>3.8481909999999998E-4</v>
      </c>
      <c r="AG41" s="74">
        <v>3.7840399999999999E-4</v>
      </c>
      <c r="AH41" s="74">
        <v>3.7208860000000001E-4</v>
      </c>
      <c r="AI41" s="74">
        <v>3.6587190000000002E-4</v>
      </c>
      <c r="AJ41" s="74">
        <v>3.5975269999999999E-4</v>
      </c>
      <c r="AK41" s="74">
        <v>3.5373000000000002E-4</v>
      </c>
      <c r="AL41" s="74">
        <v>3.4780260000000002E-4</v>
      </c>
      <c r="AM41" s="74">
        <v>3.4196939999999999E-4</v>
      </c>
      <c r="AN41" s="74">
        <v>3.3622920000000002E-4</v>
      </c>
      <c r="AO41" s="74">
        <v>3.3058099999999998E-4</v>
      </c>
      <c r="AP41" s="74">
        <v>3.2502349999999998E-4</v>
      </c>
      <c r="AQ41" s="74">
        <v>3.1955550000000002E-4</v>
      </c>
      <c r="AR41" s="74">
        <v>3.1417590000000002E-4</v>
      </c>
      <c r="AS41" s="74">
        <v>3.0888349999999998E-4</v>
      </c>
      <c r="AT41" s="74">
        <v>3.0367719999999999E-4</v>
      </c>
      <c r="AU41" s="74">
        <v>2.9855559999999998E-4</v>
      </c>
      <c r="AV41" s="74">
        <v>2.935177E-4</v>
      </c>
      <c r="AW41" s="74">
        <v>2.8856230000000001E-4</v>
      </c>
      <c r="AX41" s="74">
        <v>2.8368810000000002E-4</v>
      </c>
      <c r="AY41" s="74">
        <v>2.788941E-4</v>
      </c>
      <c r="AZ41" s="74">
        <v>2.7417899999999999E-4</v>
      </c>
      <c r="BA41" s="74">
        <v>2.6954170000000001E-4</v>
      </c>
      <c r="BB41" s="74">
        <v>2.6498100000000002E-4</v>
      </c>
      <c r="BC41" s="74">
        <v>2.604959E-4</v>
      </c>
      <c r="BD41" s="74">
        <v>2.5608510000000001E-4</v>
      </c>
      <c r="BE41" s="74">
        <v>2.5174749999999998E-4</v>
      </c>
      <c r="BF41" s="74">
        <v>2.4748199999999999E-4</v>
      </c>
      <c r="BG41" s="74">
        <v>2.432875E-4</v>
      </c>
      <c r="BH41" s="74">
        <v>2.39163E-4</v>
      </c>
      <c r="BI41" s="74">
        <v>2.3510720000000001E-4</v>
      </c>
      <c r="BJ41" s="74">
        <v>2.3111919999999999E-4</v>
      </c>
      <c r="BK41" s="74">
        <v>2.2719799999999999E-4</v>
      </c>
      <c r="BL41" s="74">
        <v>2.2334230000000001E-4</v>
      </c>
      <c r="BM41" s="74">
        <v>2.195512E-4</v>
      </c>
      <c r="BN41" s="74">
        <v>2.1582369999999999E-4</v>
      </c>
      <c r="BO41" s="74">
        <v>2.121588E-4</v>
      </c>
      <c r="BP41" s="74">
        <v>2.0855550000000001E-4</v>
      </c>
      <c r="BQ41" s="74">
        <v>2.0501269999999999E-4</v>
      </c>
      <c r="BR41" s="74">
        <v>2.015295E-4</v>
      </c>
      <c r="BS41" s="74">
        <v>1.9810490000000001E-4</v>
      </c>
      <c r="BT41" s="74">
        <v>1.9473799999999999E-4</v>
      </c>
      <c r="BU41" s="74">
        <v>1.9142789999999999E-4</v>
      </c>
      <c r="BV41" s="74">
        <v>1.8817350000000001E-4</v>
      </c>
      <c r="BW41" s="74">
        <v>1.849741E-4</v>
      </c>
      <c r="BX41" s="74">
        <v>1.818287E-4</v>
      </c>
      <c r="BY41" s="74">
        <v>1.7873650000000001E-4</v>
      </c>
      <c r="BZ41" s="74">
        <v>1.7569640000000001E-4</v>
      </c>
      <c r="CA41" s="74">
        <v>1.727078E-4</v>
      </c>
      <c r="CB41" s="74">
        <v>1.697697E-4</v>
      </c>
      <c r="CC41" s="74">
        <v>1.6688130000000001E-4</v>
      </c>
      <c r="CD41" s="74">
        <v>1.6404190000000001E-4</v>
      </c>
      <c r="CE41" s="74">
        <v>1.6125039999999999E-4</v>
      </c>
      <c r="CF41" s="74">
        <v>1.5850630000000001E-4</v>
      </c>
      <c r="CG41" s="74">
        <v>1.558087E-4</v>
      </c>
      <c r="CH41" s="74">
        <v>1.5315669999999999E-4</v>
      </c>
      <c r="CI41" s="74">
        <v>1.5054980000000001E-4</v>
      </c>
      <c r="CJ41" s="74">
        <v>1.47987E-4</v>
      </c>
      <c r="CK41" s="74">
        <v>1.454677E-4</v>
      </c>
      <c r="CL41" s="74">
        <v>1.4299119999999999E-4</v>
      </c>
      <c r="CM41" s="74">
        <v>1.4055670000000001E-4</v>
      </c>
      <c r="CN41" s="74">
        <v>1.3816349999999999E-4</v>
      </c>
      <c r="CO41" s="74">
        <v>1.358109E-4</v>
      </c>
      <c r="CP41" s="74">
        <v>1.3349830000000001E-4</v>
      </c>
      <c r="CQ41" s="74">
        <v>1.312249E-4</v>
      </c>
      <c r="CR41" s="74">
        <v>1.2899020000000001E-4</v>
      </c>
      <c r="CS41" s="74">
        <v>1.2679339999999999E-4</v>
      </c>
      <c r="CT41" s="74">
        <v>1.2463400000000001E-4</v>
      </c>
      <c r="CU41" s="74">
        <v>1.225113E-4</v>
      </c>
      <c r="CV41" s="74">
        <v>1.204246E-4</v>
      </c>
      <c r="CW41" s="74">
        <v>1.183734E-4</v>
      </c>
      <c r="CX41" s="74">
        <v>1.163571E-4</v>
      </c>
      <c r="CY41" s="74">
        <v>1.143751E-4</v>
      </c>
      <c r="CZ41" s="74">
        <v>1.124268E-4</v>
      </c>
      <c r="DA41" s="74">
        <v>1.105116E-4</v>
      </c>
      <c r="DB41" s="74">
        <v>1.0862900000000001E-4</v>
      </c>
      <c r="DC41" s="74">
        <v>1.067784E-4</v>
      </c>
      <c r="DD41" s="74">
        <v>1.049593E-4</v>
      </c>
      <c r="DE41" s="74">
        <v>1.0317120000000001E-4</v>
      </c>
      <c r="DF41" s="74">
        <v>1.0141349999999999E-4</v>
      </c>
      <c r="DG41" s="74">
        <v>9.96857E-5</v>
      </c>
      <c r="DH41" s="74">
        <v>9.7987300000000003E-5</v>
      </c>
      <c r="DI41" s="74">
        <v>9.6317799999999995E-5</v>
      </c>
      <c r="DJ41" s="74">
        <v>9.4676699999999994E-5</v>
      </c>
      <c r="DK41" s="74">
        <v>9.3063600000000001E-5</v>
      </c>
      <c r="DL41" s="74">
        <v>9.14779E-5</v>
      </c>
      <c r="DM41" s="74">
        <v>8.9919200000000005E-5</v>
      </c>
      <c r="DN41" s="74">
        <v>8.8387099999999999E-5</v>
      </c>
      <c r="DO41" s="74">
        <v>8.6880999999999997E-5</v>
      </c>
      <c r="DP41" s="74">
        <v>8.5400600000000004E-5</v>
      </c>
      <c r="DQ41" s="74">
        <v>8.3945399999999998E-5</v>
      </c>
      <c r="DR41" s="74">
        <v>8.2515000000000005E-5</v>
      </c>
      <c r="DS41" s="74">
        <v>8.1108900000000005E-5</v>
      </c>
      <c r="DT41" s="74">
        <v>7.9726800000000004E-5</v>
      </c>
      <c r="DU41" s="74">
        <v>7.8368200000000006E-5</v>
      </c>
      <c r="DV41" s="74">
        <v>7.7032699999999999E-5</v>
      </c>
      <c r="DW41" s="74">
        <v>7.572E-5</v>
      </c>
      <c r="DX41" s="74">
        <v>7.4429699999999997E-5</v>
      </c>
      <c r="DY41" s="74">
        <v>7.3161299999999994E-5</v>
      </c>
      <c r="DZ41" s="74">
        <v>7.1914600000000004E-5</v>
      </c>
      <c r="EA41" s="74">
        <v>7.0689099999999994E-5</v>
      </c>
      <c r="EB41" s="74">
        <v>6.9484400000000002E-5</v>
      </c>
      <c r="EC41" s="74">
        <v>6.8300300000000001E-5</v>
      </c>
      <c r="ED41" s="74">
        <v>6.7136299999999996E-5</v>
      </c>
      <c r="EE41" s="74">
        <v>6.5992200000000002E-5</v>
      </c>
      <c r="EF41" s="74">
        <v>6.4867600000000002E-5</v>
      </c>
      <c r="EG41" s="74">
        <v>6.3762099999999997E-5</v>
      </c>
      <c r="EH41" s="74">
        <v>6.26755E-5</v>
      </c>
      <c r="EI41" s="74">
        <v>6.1607399999999996E-5</v>
      </c>
      <c r="EJ41" s="74">
        <v>6.0557399999999997E-5</v>
      </c>
      <c r="EK41" s="74">
        <v>5.9525399999999998E-5</v>
      </c>
      <c r="EL41" s="74">
        <v>5.8511000000000003E-5</v>
      </c>
      <c r="EM41" s="74">
        <v>5.7513799999999998E-5</v>
      </c>
      <c r="EN41" s="74">
        <v>5.6533599999999997E-5</v>
      </c>
      <c r="EO41" s="74">
        <v>5.5570099999999998E-5</v>
      </c>
      <c r="EP41" s="74">
        <v>5.4623100000000002E-5</v>
      </c>
      <c r="EQ41" s="74">
        <v>5.3692200000000001E-5</v>
      </c>
      <c r="ER41" s="74">
        <v>5.27771E-5</v>
      </c>
      <c r="ES41" s="74">
        <v>5.1877599999999999E-5</v>
      </c>
      <c r="ET41" s="74">
        <v>5.0993499999999999E-5</v>
      </c>
      <c r="EU41" s="74">
        <v>5.0124399999999997E-5</v>
      </c>
      <c r="EV41" s="74">
        <v>4.9270200000000001E-5</v>
      </c>
      <c r="EW41" s="74">
        <v>4.8430400000000003E-5</v>
      </c>
      <c r="EX41" s="74">
        <v>4.7605000000000002E-5</v>
      </c>
      <c r="EY41" s="74">
        <v>4.6793699999999999E-5</v>
      </c>
      <c r="EZ41" s="74">
        <v>4.5996199999999998E-5</v>
      </c>
      <c r="FA41" s="74">
        <v>4.5212300000000001E-5</v>
      </c>
      <c r="FB41" s="74">
        <v>4.4441699999999998E-5</v>
      </c>
      <c r="FC41" s="74">
        <v>4.3684299999999998E-5</v>
      </c>
      <c r="FD41" s="74">
        <v>4.2939799999999998E-5</v>
      </c>
      <c r="FE41" s="74">
        <v>4.2208E-5</v>
      </c>
      <c r="FF41" s="74">
        <v>4.1488600000000001E-5</v>
      </c>
      <c r="FG41" s="74">
        <v>4.0781500000000002E-5</v>
      </c>
      <c r="FH41" s="74">
        <v>4.0086400000000003E-5</v>
      </c>
      <c r="FI41" s="74">
        <v>3.9403200000000002E-5</v>
      </c>
      <c r="FJ41" s="74">
        <v>3.8731700000000001E-5</v>
      </c>
      <c r="FK41" s="74">
        <v>3.8071600000000003E-5</v>
      </c>
      <c r="FL41" s="74">
        <v>3.7422699999999997E-5</v>
      </c>
      <c r="FM41" s="74">
        <v>3.6784900000000001E-5</v>
      </c>
      <c r="FN41" s="74">
        <v>3.6157900000000002E-5</v>
      </c>
      <c r="FO41" s="74">
        <v>3.5541699999999999E-5</v>
      </c>
      <c r="FP41" s="74">
        <v>3.4935899999999999E-5</v>
      </c>
      <c r="FQ41" s="74">
        <v>3.4340500000000001E-5</v>
      </c>
    </row>
    <row r="42" spans="1:173" x14ac:dyDescent="0.25">
      <c r="A42" s="76">
        <v>40</v>
      </c>
      <c r="B42" s="74">
        <v>7.0317169999999996E-4</v>
      </c>
      <c r="C42" s="74">
        <v>6.9201729999999995E-4</v>
      </c>
      <c r="D42" s="74">
        <v>6.8098240000000003E-4</v>
      </c>
      <c r="E42" s="74">
        <v>6.7006970000000005E-4</v>
      </c>
      <c r="F42" s="74">
        <v>6.5928169999999997E-4</v>
      </c>
      <c r="G42" s="74">
        <v>6.4862060000000002E-4</v>
      </c>
      <c r="H42" s="74">
        <v>6.3808829999999997E-4</v>
      </c>
      <c r="I42" s="74">
        <v>6.2768630000000001E-4</v>
      </c>
      <c r="J42" s="74">
        <v>6.1741590000000005E-4</v>
      </c>
      <c r="K42" s="74">
        <v>6.0727800000000005E-4</v>
      </c>
      <c r="L42" s="74">
        <v>5.9727360000000004E-4</v>
      </c>
      <c r="M42" s="74">
        <v>5.8740310000000005E-4</v>
      </c>
      <c r="N42" s="74">
        <v>5.7766709999999995E-4</v>
      </c>
      <c r="O42" s="74">
        <v>5.6806550000000004E-4</v>
      </c>
      <c r="P42" s="74">
        <v>5.5859849999999995E-4</v>
      </c>
      <c r="Q42" s="74">
        <v>5.4926599999999997E-4</v>
      </c>
      <c r="R42" s="74">
        <v>5.400677E-4</v>
      </c>
      <c r="S42" s="74">
        <v>5.3100300000000005E-4</v>
      </c>
      <c r="T42" s="74">
        <v>5.2207169999999995E-4</v>
      </c>
      <c r="U42" s="74">
        <v>5.132728E-4</v>
      </c>
      <c r="V42" s="74">
        <v>5.0460589999999997E-4</v>
      </c>
      <c r="W42" s="74">
        <v>4.9606990000000001E-4</v>
      </c>
      <c r="X42" s="74">
        <v>4.8766409999999999E-4</v>
      </c>
      <c r="Y42" s="74">
        <v>4.793873E-4</v>
      </c>
      <c r="Z42" s="74">
        <v>4.712386E-4</v>
      </c>
      <c r="AA42" s="74">
        <v>4.6321680000000002E-4</v>
      </c>
      <c r="AB42" s="74">
        <v>4.553208E-4</v>
      </c>
      <c r="AC42" s="74">
        <v>4.4754929999999999E-4</v>
      </c>
      <c r="AD42" s="74">
        <v>4.3990099999999997E-4</v>
      </c>
      <c r="AE42" s="74">
        <v>4.3237469999999999E-4</v>
      </c>
      <c r="AF42" s="74">
        <v>4.2496899999999998E-4</v>
      </c>
      <c r="AG42" s="74">
        <v>4.1768250000000001E-4</v>
      </c>
      <c r="AH42" s="74">
        <v>4.1051390000000003E-4</v>
      </c>
      <c r="AI42" s="74">
        <v>4.034617E-4</v>
      </c>
      <c r="AJ42" s="74">
        <v>3.9652440000000001E-4</v>
      </c>
      <c r="AK42" s="74">
        <v>3.8970079999999999E-4</v>
      </c>
      <c r="AL42" s="74">
        <v>3.8298910000000001E-4</v>
      </c>
      <c r="AM42" s="74">
        <v>3.763881E-4</v>
      </c>
      <c r="AN42" s="74">
        <v>3.698962E-4</v>
      </c>
      <c r="AO42" s="74">
        <v>3.6351200000000003E-4</v>
      </c>
      <c r="AP42" s="74">
        <v>3.5723379999999999E-4</v>
      </c>
      <c r="AQ42" s="74">
        <v>3.5106040000000002E-4</v>
      </c>
      <c r="AR42" s="74">
        <v>3.4499010000000002E-4</v>
      </c>
      <c r="AS42" s="74">
        <v>3.3902150000000001E-4</v>
      </c>
      <c r="AT42" s="74">
        <v>3.3315310000000002E-4</v>
      </c>
      <c r="AU42" s="74">
        <v>3.2738340000000002E-4</v>
      </c>
      <c r="AV42" s="74">
        <v>3.2171100000000002E-4</v>
      </c>
      <c r="AW42" s="74">
        <v>3.1613449999999999E-4</v>
      </c>
      <c r="AX42" s="74">
        <v>3.1065219999999998E-4</v>
      </c>
      <c r="AY42" s="74">
        <v>3.0526289999999997E-4</v>
      </c>
      <c r="AZ42" s="74">
        <v>2.999651E-4</v>
      </c>
      <c r="BA42" s="74">
        <v>2.9475740000000001E-4</v>
      </c>
      <c r="BB42" s="74">
        <v>2.8963829999999999E-4</v>
      </c>
      <c r="BC42" s="74">
        <v>2.8460660000000001E-4</v>
      </c>
      <c r="BD42" s="74">
        <v>2.7966070000000001E-4</v>
      </c>
      <c r="BE42" s="74">
        <v>2.7479929999999999E-4</v>
      </c>
      <c r="BF42" s="74">
        <v>2.7002120000000002E-4</v>
      </c>
      <c r="BG42" s="74">
        <v>2.6532489999999998E-4</v>
      </c>
      <c r="BH42" s="74">
        <v>2.6070919999999999E-4</v>
      </c>
      <c r="BI42" s="74">
        <v>2.5617259999999997E-4</v>
      </c>
      <c r="BJ42" s="74">
        <v>2.5171409999999998E-4</v>
      </c>
      <c r="BK42" s="74">
        <v>2.4733220000000002E-4</v>
      </c>
      <c r="BL42" s="74">
        <v>2.4302570000000001E-4</v>
      </c>
      <c r="BM42" s="74">
        <v>2.387934E-4</v>
      </c>
      <c r="BN42" s="74">
        <v>2.3463410000000001E-4</v>
      </c>
      <c r="BO42" s="74">
        <v>2.3054649999999999E-4</v>
      </c>
      <c r="BP42" s="74">
        <v>2.265294E-4</v>
      </c>
      <c r="BQ42" s="74">
        <v>2.2258179999999999E-4</v>
      </c>
      <c r="BR42" s="74">
        <v>2.1870240000000001E-4</v>
      </c>
      <c r="BS42" s="74">
        <v>2.148901E-4</v>
      </c>
      <c r="BT42" s="74">
        <v>2.111437E-4</v>
      </c>
      <c r="BU42" s="74">
        <v>2.0746219999999999E-4</v>
      </c>
      <c r="BV42" s="74">
        <v>2.0384440000000001E-4</v>
      </c>
      <c r="BW42" s="74">
        <v>2.0028940000000001E-4</v>
      </c>
      <c r="BX42" s="74">
        <v>1.967959E-4</v>
      </c>
      <c r="BY42" s="74">
        <v>1.9336310000000001E-4</v>
      </c>
      <c r="BZ42" s="74">
        <v>1.899898E-4</v>
      </c>
      <c r="CA42" s="74">
        <v>1.866751E-4</v>
      </c>
      <c r="CB42" s="74">
        <v>1.8341789999999999E-4</v>
      </c>
      <c r="CC42" s="74">
        <v>1.8021730000000001E-4</v>
      </c>
      <c r="CD42" s="74">
        <v>1.770722E-4</v>
      </c>
      <c r="CE42" s="74">
        <v>1.7398190000000001E-4</v>
      </c>
      <c r="CF42" s="74">
        <v>1.709453E-4</v>
      </c>
      <c r="CG42" s="74">
        <v>1.679614E-4</v>
      </c>
      <c r="CH42" s="74">
        <v>1.650295E-4</v>
      </c>
      <c r="CI42" s="74">
        <v>1.6214859999999999E-4</v>
      </c>
      <c r="CJ42" s="74">
        <v>1.5931779999999999E-4</v>
      </c>
      <c r="CK42" s="74">
        <v>1.565363E-4</v>
      </c>
      <c r="CL42" s="74">
        <v>1.538032E-4</v>
      </c>
      <c r="CM42" s="74">
        <v>1.511176E-4</v>
      </c>
      <c r="CN42" s="74">
        <v>1.4847889999999999E-4</v>
      </c>
      <c r="CO42" s="74">
        <v>1.458861E-4</v>
      </c>
      <c r="CP42" s="74">
        <v>1.433385E-4</v>
      </c>
      <c r="CQ42" s="74">
        <v>1.4083530000000001E-4</v>
      </c>
      <c r="CR42" s="74">
        <v>1.3837570000000001E-4</v>
      </c>
      <c r="CS42" s="74">
        <v>1.35959E-4</v>
      </c>
      <c r="CT42" s="74">
        <v>1.3358439999999999E-4</v>
      </c>
      <c r="CU42" s="74">
        <v>1.3125119999999999E-4</v>
      </c>
      <c r="CV42" s="74">
        <v>1.289587E-4</v>
      </c>
      <c r="CW42" s="74">
        <v>1.2670610000000001E-4</v>
      </c>
      <c r="CX42" s="74">
        <v>1.2449290000000001E-4</v>
      </c>
      <c r="CY42" s="74">
        <v>1.2231819999999999E-4</v>
      </c>
      <c r="CZ42" s="74">
        <v>1.201815E-4</v>
      </c>
      <c r="DA42" s="74">
        <v>1.1808210000000001E-4</v>
      </c>
      <c r="DB42" s="74">
        <v>1.160192E-4</v>
      </c>
      <c r="DC42" s="74">
        <v>1.139924E-4</v>
      </c>
      <c r="DD42" s="74">
        <v>1.12001E-4</v>
      </c>
      <c r="DE42" s="74">
        <v>1.100443E-4</v>
      </c>
      <c r="DF42" s="74">
        <v>1.081217E-4</v>
      </c>
      <c r="DG42" s="74">
        <v>1.062327E-4</v>
      </c>
      <c r="DH42" s="74">
        <v>1.043767E-4</v>
      </c>
      <c r="DI42" s="74">
        <v>1.025531E-4</v>
      </c>
      <c r="DJ42" s="74">
        <v>1.007613E-4</v>
      </c>
      <c r="DK42" s="74">
        <v>9.9000799999999996E-5</v>
      </c>
      <c r="DL42" s="74">
        <v>9.7270999999999998E-5</v>
      </c>
      <c r="DM42" s="74">
        <v>9.5571500000000005E-5</v>
      </c>
      <c r="DN42" s="74">
        <v>9.3901599999999996E-5</v>
      </c>
      <c r="DO42" s="74">
        <v>9.2260800000000003E-5</v>
      </c>
      <c r="DP42" s="74">
        <v>9.0648699999999998E-5</v>
      </c>
      <c r="DQ42" s="74">
        <v>8.9064800000000001E-5</v>
      </c>
      <c r="DR42" s="74">
        <v>8.7508499999999997E-5</v>
      </c>
      <c r="DS42" s="74">
        <v>8.5979500000000006E-5</v>
      </c>
      <c r="DT42" s="74">
        <v>8.4477100000000005E-5</v>
      </c>
      <c r="DU42" s="74">
        <v>8.3000899999999993E-5</v>
      </c>
      <c r="DV42" s="74">
        <v>8.1550600000000005E-5</v>
      </c>
      <c r="DW42" s="74">
        <v>8.0125500000000004E-5</v>
      </c>
      <c r="DX42" s="74">
        <v>7.8725400000000004E-5</v>
      </c>
      <c r="DY42" s="74">
        <v>7.7349700000000002E-5</v>
      </c>
      <c r="DZ42" s="74">
        <v>7.5998E-5</v>
      </c>
      <c r="EA42" s="74">
        <v>7.4670000000000002E-5</v>
      </c>
      <c r="EB42" s="74">
        <v>7.33652E-5</v>
      </c>
      <c r="EC42" s="74">
        <v>7.2083100000000001E-5</v>
      </c>
      <c r="ED42" s="74">
        <v>7.0823500000000004E-5</v>
      </c>
      <c r="EE42" s="74">
        <v>6.9585799999999994E-5</v>
      </c>
      <c r="EF42" s="74">
        <v>6.8369799999999997E-5</v>
      </c>
      <c r="EG42" s="74">
        <v>6.7175000000000007E-5</v>
      </c>
      <c r="EH42" s="74">
        <v>6.6001100000000001E-5</v>
      </c>
      <c r="EI42" s="74">
        <v>6.4847700000000006E-5</v>
      </c>
      <c r="EJ42" s="74">
        <v>6.3714500000000001E-5</v>
      </c>
      <c r="EK42" s="74">
        <v>6.2601000000000006E-5</v>
      </c>
      <c r="EL42" s="74">
        <v>6.1507000000000006E-5</v>
      </c>
      <c r="EM42" s="74">
        <v>6.0432200000000001E-5</v>
      </c>
      <c r="EN42" s="74">
        <v>5.9376100000000002E-5</v>
      </c>
      <c r="EO42" s="74">
        <v>5.8338399999999997E-5</v>
      </c>
      <c r="EP42" s="74">
        <v>5.7318899999999998E-5</v>
      </c>
      <c r="EQ42" s="74">
        <v>5.6317199999999997E-5</v>
      </c>
      <c r="ER42" s="74">
        <v>5.5333E-5</v>
      </c>
      <c r="ES42" s="74">
        <v>5.4366000000000001E-5</v>
      </c>
      <c r="ET42" s="74">
        <v>5.3415899999999998E-5</v>
      </c>
      <c r="EU42" s="74">
        <v>5.2482399999999997E-5</v>
      </c>
      <c r="EV42" s="74">
        <v>5.1565199999999999E-5</v>
      </c>
      <c r="EW42" s="74">
        <v>5.0664100000000002E-5</v>
      </c>
      <c r="EX42" s="74">
        <v>4.9778599999999998E-5</v>
      </c>
      <c r="EY42" s="74">
        <v>4.8908700000000002E-5</v>
      </c>
      <c r="EZ42" s="74">
        <v>4.8053999999999998E-5</v>
      </c>
      <c r="FA42" s="74">
        <v>4.7214199999999999E-5</v>
      </c>
      <c r="FB42" s="74">
        <v>4.6388999999999999E-5</v>
      </c>
      <c r="FC42" s="74">
        <v>4.5578299999999997E-5</v>
      </c>
      <c r="FD42" s="74">
        <v>4.4781799999999999E-5</v>
      </c>
      <c r="FE42" s="74">
        <v>4.3999099999999997E-5</v>
      </c>
      <c r="FF42" s="74">
        <v>4.3230199999999998E-5</v>
      </c>
      <c r="FG42" s="74">
        <v>4.2474700000000002E-5</v>
      </c>
      <c r="FH42" s="74">
        <v>4.17324E-5</v>
      </c>
      <c r="FI42" s="74">
        <v>4.1003E-5</v>
      </c>
      <c r="FJ42" s="74">
        <v>4.0286500000000001E-5</v>
      </c>
      <c r="FK42" s="74">
        <v>3.9582400000000002E-5</v>
      </c>
      <c r="FL42" s="74">
        <v>3.8890600000000003E-5</v>
      </c>
      <c r="FM42" s="74">
        <v>3.8210899999999997E-5</v>
      </c>
      <c r="FN42" s="74">
        <v>3.7543200000000003E-5</v>
      </c>
      <c r="FO42" s="74">
        <v>3.6887000000000001E-5</v>
      </c>
      <c r="FP42" s="74">
        <v>3.6242399999999997E-5</v>
      </c>
      <c r="FQ42" s="74">
        <v>3.5608999999999997E-5</v>
      </c>
    </row>
    <row r="43" spans="1:173" x14ac:dyDescent="0.25">
      <c r="A43" s="76">
        <v>41</v>
      </c>
      <c r="B43" s="74">
        <v>7.9727230000000001E-4</v>
      </c>
      <c r="C43" s="74">
        <v>7.8590080000000002E-4</v>
      </c>
      <c r="D43" s="74">
        <v>7.7458870000000001E-4</v>
      </c>
      <c r="E43" s="74">
        <v>7.6334340000000001E-4</v>
      </c>
      <c r="F43" s="74">
        <v>7.5217169999999996E-4</v>
      </c>
      <c r="G43" s="74">
        <v>7.4107969999999998E-4</v>
      </c>
      <c r="H43" s="74">
        <v>7.3007279999999996E-4</v>
      </c>
      <c r="I43" s="74">
        <v>7.1915629999999998E-4</v>
      </c>
      <c r="J43" s="74">
        <v>7.0833470000000005E-4</v>
      </c>
      <c r="K43" s="74">
        <v>6.9761200000000002E-4</v>
      </c>
      <c r="L43" s="74">
        <v>6.8699199999999998E-4</v>
      </c>
      <c r="M43" s="74">
        <v>6.76478E-4</v>
      </c>
      <c r="N43" s="74">
        <v>6.6607289999999996E-4</v>
      </c>
      <c r="O43" s="74">
        <v>6.5577929999999999E-4</v>
      </c>
      <c r="P43" s="74">
        <v>6.4559950000000002E-4</v>
      </c>
      <c r="Q43" s="74">
        <v>6.355353E-4</v>
      </c>
      <c r="R43" s="74">
        <v>6.2558850000000001E-4</v>
      </c>
      <c r="S43" s="74">
        <v>6.1576039999999995E-4</v>
      </c>
      <c r="T43" s="74">
        <v>6.0605239999999996E-4</v>
      </c>
      <c r="U43" s="74">
        <v>5.9646519999999998E-4</v>
      </c>
      <c r="V43" s="74">
        <v>5.8699969999999996E-4</v>
      </c>
      <c r="W43" s="74">
        <v>5.7765639999999999E-4</v>
      </c>
      <c r="X43" s="74">
        <v>5.6843569999999997E-4</v>
      </c>
      <c r="Y43" s="74">
        <v>5.5933770000000005E-4</v>
      </c>
      <c r="Z43" s="74">
        <v>5.5036270000000001E-4</v>
      </c>
      <c r="AA43" s="74">
        <v>5.4151039999999996E-4</v>
      </c>
      <c r="AB43" s="74">
        <v>5.3278060000000005E-4</v>
      </c>
      <c r="AC43" s="74">
        <v>5.2417309999999999E-4</v>
      </c>
      <c r="AD43" s="74">
        <v>5.1568740000000005E-4</v>
      </c>
      <c r="AE43" s="74">
        <v>5.0732299999999995E-4</v>
      </c>
      <c r="AF43" s="74">
        <v>4.990792E-4</v>
      </c>
      <c r="AG43" s="74">
        <v>4.9095539999999998E-4</v>
      </c>
      <c r="AH43" s="74">
        <v>4.8295070000000002E-4</v>
      </c>
      <c r="AI43" s="74">
        <v>4.7506430000000002E-4</v>
      </c>
      <c r="AJ43" s="74">
        <v>4.672953E-4</v>
      </c>
      <c r="AK43" s="74">
        <v>4.5964280000000002E-4</v>
      </c>
      <c r="AL43" s="74">
        <v>4.521056E-4</v>
      </c>
      <c r="AM43" s="74">
        <v>4.4468280000000001E-4</v>
      </c>
      <c r="AN43" s="74">
        <v>4.3737330000000001E-4</v>
      </c>
      <c r="AO43" s="74">
        <v>4.3017590000000002E-4</v>
      </c>
      <c r="AP43" s="74">
        <v>4.230894E-4</v>
      </c>
      <c r="AQ43" s="74">
        <v>4.1611259999999999E-4</v>
      </c>
      <c r="AR43" s="74">
        <v>4.0924439999999999E-4</v>
      </c>
      <c r="AS43" s="74">
        <v>4.024834E-4</v>
      </c>
      <c r="AT43" s="74">
        <v>3.9582840000000001E-4</v>
      </c>
      <c r="AU43" s="74">
        <v>3.8927820000000002E-4</v>
      </c>
      <c r="AV43" s="74">
        <v>3.8283140000000001E-4</v>
      </c>
      <c r="AW43" s="74">
        <v>3.7648679999999999E-4</v>
      </c>
      <c r="AX43" s="74">
        <v>3.7024310000000001E-4</v>
      </c>
      <c r="AY43" s="74">
        <v>3.6409879999999998E-4</v>
      </c>
      <c r="AZ43" s="74">
        <v>3.5805279999999998E-4</v>
      </c>
      <c r="BA43" s="74">
        <v>3.5210370000000001E-4</v>
      </c>
      <c r="BB43" s="74">
        <v>3.462502E-4</v>
      </c>
      <c r="BC43" s="74">
        <v>3.4049090000000002E-4</v>
      </c>
      <c r="BD43" s="74">
        <v>3.3482459999999999E-4</v>
      </c>
      <c r="BE43" s="74">
        <v>3.2925000000000001E-4</v>
      </c>
      <c r="BF43" s="74">
        <v>3.2376570000000002E-4</v>
      </c>
      <c r="BG43" s="74">
        <v>3.1837050000000001E-4</v>
      </c>
      <c r="BH43" s="74">
        <v>3.1306299999999998E-4</v>
      </c>
      <c r="BI43" s="74">
        <v>3.0784200000000001E-4</v>
      </c>
      <c r="BJ43" s="74">
        <v>3.0270619999999999E-4</v>
      </c>
      <c r="BK43" s="74">
        <v>2.9765439999999998E-4</v>
      </c>
      <c r="BL43" s="74">
        <v>2.9268520000000001E-4</v>
      </c>
      <c r="BM43" s="74">
        <v>2.8779750000000002E-4</v>
      </c>
      <c r="BN43" s="74">
        <v>2.8299E-4</v>
      </c>
      <c r="BO43" s="74">
        <v>2.7826149999999998E-4</v>
      </c>
      <c r="BP43" s="74">
        <v>2.736107E-4</v>
      </c>
      <c r="BQ43" s="74">
        <v>2.6903659999999999E-4</v>
      </c>
      <c r="BR43" s="74">
        <v>2.6453780000000002E-4</v>
      </c>
      <c r="BS43" s="74">
        <v>2.6011330000000002E-4</v>
      </c>
      <c r="BT43" s="74">
        <v>2.5576180000000002E-4</v>
      </c>
      <c r="BU43" s="74">
        <v>2.5148230000000002E-4</v>
      </c>
      <c r="BV43" s="74">
        <v>2.4727350000000001E-4</v>
      </c>
      <c r="BW43" s="74">
        <v>2.431345E-4</v>
      </c>
      <c r="BX43" s="74">
        <v>2.3906399999999999E-4</v>
      </c>
      <c r="BY43" s="74">
        <v>2.35061E-4</v>
      </c>
      <c r="BZ43" s="74">
        <v>2.3112450000000001E-4</v>
      </c>
      <c r="CA43" s="74">
        <v>2.272532E-4</v>
      </c>
      <c r="CB43" s="74">
        <v>2.234463E-4</v>
      </c>
      <c r="CC43" s="74">
        <v>2.197027E-4</v>
      </c>
      <c r="CD43" s="74">
        <v>2.1602129999999999E-4</v>
      </c>
      <c r="CE43" s="74">
        <v>2.1240119999999999E-4</v>
      </c>
      <c r="CF43" s="74">
        <v>2.088413E-4</v>
      </c>
      <c r="CG43" s="74">
        <v>2.053407E-4</v>
      </c>
      <c r="CH43" s="74">
        <v>2.0189850000000001E-4</v>
      </c>
      <c r="CI43" s="74">
        <v>1.985136E-4</v>
      </c>
      <c r="CJ43" s="74">
        <v>1.9518509999999999E-4</v>
      </c>
      <c r="CK43" s="74">
        <v>1.9191219999999999E-4</v>
      </c>
      <c r="CL43" s="74">
        <v>1.8869390000000001E-4</v>
      </c>
      <c r="CM43" s="74">
        <v>1.855293E-4</v>
      </c>
      <c r="CN43" s="74">
        <v>1.824176E-4</v>
      </c>
      <c r="CO43" s="74">
        <v>1.793578E-4</v>
      </c>
      <c r="CP43" s="74">
        <v>1.763492E-4</v>
      </c>
      <c r="CQ43" s="74">
        <v>1.7339079999999999E-4</v>
      </c>
      <c r="CR43" s="74">
        <v>1.7048190000000001E-4</v>
      </c>
      <c r="CS43" s="74">
        <v>1.676216E-4</v>
      </c>
      <c r="CT43" s="74">
        <v>1.6480919999999999E-4</v>
      </c>
      <c r="CU43" s="74">
        <v>1.6204380000000001E-4</v>
      </c>
      <c r="CV43" s="74">
        <v>1.5932460000000001E-4</v>
      </c>
      <c r="CW43" s="74">
        <v>1.56651E-4</v>
      </c>
      <c r="CX43" s="74">
        <v>1.540221E-4</v>
      </c>
      <c r="CY43" s="74">
        <v>1.514373E-4</v>
      </c>
      <c r="CZ43" s="74">
        <v>1.4889570000000001E-4</v>
      </c>
      <c r="DA43" s="74">
        <v>1.4639659999999999E-4</v>
      </c>
      <c r="DB43" s="74">
        <v>1.439395E-4</v>
      </c>
      <c r="DC43" s="74">
        <v>1.4152349999999999E-4</v>
      </c>
      <c r="DD43" s="74">
        <v>1.3914790000000001E-4</v>
      </c>
      <c r="DE43" s="74">
        <v>1.368122E-4</v>
      </c>
      <c r="DF43" s="74">
        <v>1.345156E-4</v>
      </c>
      <c r="DG43" s="74">
        <v>1.322575E-4</v>
      </c>
      <c r="DH43" s="74">
        <v>1.3003719999999999E-4</v>
      </c>
      <c r="DI43" s="74">
        <v>1.2785420000000001E-4</v>
      </c>
      <c r="DJ43" s="74">
        <v>1.2570769999999999E-4</v>
      </c>
      <c r="DK43" s="74">
        <v>1.235973E-4</v>
      </c>
      <c r="DL43" s="74">
        <v>1.2152219999999999E-4</v>
      </c>
      <c r="DM43" s="74">
        <v>1.194819E-4</v>
      </c>
      <c r="DN43" s="74">
        <v>1.174759E-4</v>
      </c>
      <c r="DO43" s="74">
        <v>1.155034E-4</v>
      </c>
      <c r="DP43" s="74">
        <v>1.1356410000000001E-4</v>
      </c>
      <c r="DQ43" s="74">
        <v>1.116573E-4</v>
      </c>
      <c r="DR43" s="74">
        <v>1.0978249999999999E-4</v>
      </c>
      <c r="DS43" s="74">
        <v>1.079391E-4</v>
      </c>
      <c r="DT43" s="74">
        <v>1.061267E-4</v>
      </c>
      <c r="DU43" s="74">
        <v>1.043447E-4</v>
      </c>
      <c r="DV43" s="74">
        <v>1.025925E-4</v>
      </c>
      <c r="DW43" s="74">
        <v>1.008698E-4</v>
      </c>
      <c r="DX43" s="74">
        <v>9.9176E-5</v>
      </c>
      <c r="DY43" s="74">
        <v>9.7510599999999994E-5</v>
      </c>
      <c r="DZ43" s="74">
        <v>9.5873199999999995E-5</v>
      </c>
      <c r="EA43" s="74">
        <v>9.4263200000000002E-5</v>
      </c>
      <c r="EB43" s="74">
        <v>9.2680200000000001E-5</v>
      </c>
      <c r="EC43" s="74">
        <v>9.1123899999999997E-5</v>
      </c>
      <c r="ED43" s="74">
        <v>8.9593599999999995E-5</v>
      </c>
      <c r="EE43" s="74">
        <v>8.8089000000000003E-5</v>
      </c>
      <c r="EF43" s="74">
        <v>8.6609700000000005E-5</v>
      </c>
      <c r="EG43" s="74">
        <v>8.5155199999999994E-5</v>
      </c>
      <c r="EH43" s="74">
        <v>8.3725200000000003E-5</v>
      </c>
      <c r="EI43" s="74">
        <v>8.2319100000000003E-5</v>
      </c>
      <c r="EJ43" s="74">
        <v>8.0936699999999994E-5</v>
      </c>
      <c r="EK43" s="74">
        <v>7.9577400000000001E-5</v>
      </c>
      <c r="EL43" s="74">
        <v>7.8240999999999998E-5</v>
      </c>
      <c r="EM43" s="74">
        <v>7.6927000000000004E-5</v>
      </c>
      <c r="EN43" s="74">
        <v>7.5635099999999997E-5</v>
      </c>
      <c r="EO43" s="74">
        <v>7.4364799999999997E-5</v>
      </c>
      <c r="EP43" s="74">
        <v>7.3115900000000002E-5</v>
      </c>
      <c r="EQ43" s="74">
        <v>7.1888E-5</v>
      </c>
      <c r="ER43" s="74">
        <v>7.0680599999999995E-5</v>
      </c>
      <c r="ES43" s="74">
        <v>6.9493599999999995E-5</v>
      </c>
      <c r="ET43" s="74">
        <v>6.8326500000000004E-5</v>
      </c>
      <c r="EU43" s="74">
        <v>6.7178899999999995E-5</v>
      </c>
      <c r="EV43" s="74">
        <v>6.6050700000000001E-5</v>
      </c>
      <c r="EW43" s="74">
        <v>6.4941400000000001E-5</v>
      </c>
      <c r="EX43" s="74">
        <v>6.3850700000000002E-5</v>
      </c>
      <c r="EY43" s="74">
        <v>6.2778299999999995E-5</v>
      </c>
      <c r="EZ43" s="74">
        <v>6.1723999999999994E-5</v>
      </c>
      <c r="FA43" s="74">
        <v>6.0687299999999997E-5</v>
      </c>
      <c r="FB43" s="74">
        <v>5.9667999999999999E-5</v>
      </c>
      <c r="FC43" s="74">
        <v>5.8665899999999997E-5</v>
      </c>
      <c r="FD43" s="74">
        <v>5.7680599999999998E-5</v>
      </c>
      <c r="FE43" s="74">
        <v>5.6711800000000001E-5</v>
      </c>
      <c r="FF43" s="74">
        <v>5.57593E-5</v>
      </c>
      <c r="FG43" s="74">
        <v>5.48229E-5</v>
      </c>
      <c r="FH43" s="74">
        <v>5.39021E-5</v>
      </c>
      <c r="FI43" s="74">
        <v>5.2996800000000001E-5</v>
      </c>
      <c r="FJ43" s="74">
        <v>5.21067E-5</v>
      </c>
      <c r="FK43" s="74">
        <v>5.1231499999999999E-5</v>
      </c>
      <c r="FL43" s="74">
        <v>5.0371100000000003E-5</v>
      </c>
      <c r="FM43" s="74">
        <v>4.9525099999999998E-5</v>
      </c>
      <c r="FN43" s="74">
        <v>4.8693299999999997E-5</v>
      </c>
      <c r="FO43" s="74">
        <v>4.7875399999999999E-5</v>
      </c>
      <c r="FP43" s="74">
        <v>4.7071299999999998E-5</v>
      </c>
      <c r="FQ43" s="74">
        <v>4.6280699999999999E-5</v>
      </c>
    </row>
    <row r="44" spans="1:173" x14ac:dyDescent="0.25">
      <c r="A44" s="76">
        <v>42</v>
      </c>
      <c r="B44" s="74">
        <v>8.8391420000000004E-4</v>
      </c>
      <c r="C44" s="74">
        <v>8.713859E-4</v>
      </c>
      <c r="D44" s="74">
        <v>8.5891210000000001E-4</v>
      </c>
      <c r="E44" s="74">
        <v>8.4650199999999995E-4</v>
      </c>
      <c r="F44" s="74">
        <v>8.3416369999999998E-4</v>
      </c>
      <c r="G44" s="74">
        <v>8.2190490000000002E-4</v>
      </c>
      <c r="H44" s="74">
        <v>8.0973250000000003E-4</v>
      </c>
      <c r="I44" s="74">
        <v>7.9765269999999995E-4</v>
      </c>
      <c r="J44" s="74">
        <v>7.8567120000000001E-4</v>
      </c>
      <c r="K44" s="74">
        <v>7.7379320000000001E-4</v>
      </c>
      <c r="L44" s="74">
        <v>7.6202340000000005E-4</v>
      </c>
      <c r="M44" s="74">
        <v>7.5036600000000003E-4</v>
      </c>
      <c r="N44" s="74">
        <v>7.388246E-4</v>
      </c>
      <c r="O44" s="74">
        <v>7.2740249999999999E-4</v>
      </c>
      <c r="P44" s="74">
        <v>7.1610269999999995E-4</v>
      </c>
      <c r="Q44" s="74">
        <v>7.049278E-4</v>
      </c>
      <c r="R44" s="74">
        <v>6.9387989999999998E-4</v>
      </c>
      <c r="S44" s="74">
        <v>6.8296100000000005E-4</v>
      </c>
      <c r="T44" s="74">
        <v>6.7217269999999998E-4</v>
      </c>
      <c r="U44" s="74">
        <v>6.6151630000000001E-4</v>
      </c>
      <c r="V44" s="74">
        <v>6.5099289999999996E-4</v>
      </c>
      <c r="W44" s="74">
        <v>6.4060340000000003E-4</v>
      </c>
      <c r="X44" s="74">
        <v>6.303484E-4</v>
      </c>
      <c r="Y44" s="74">
        <v>6.2022840000000004E-4</v>
      </c>
      <c r="Z44" s="74">
        <v>6.1024359999999999E-4</v>
      </c>
      <c r="AA44" s="74">
        <v>6.0039410000000001E-4</v>
      </c>
      <c r="AB44" s="74">
        <v>5.9067980000000004E-4</v>
      </c>
      <c r="AC44" s="74">
        <v>5.8110059999999996E-4</v>
      </c>
      <c r="AD44" s="74">
        <v>5.7165609999999996E-4</v>
      </c>
      <c r="AE44" s="74">
        <v>5.6234579999999996E-4</v>
      </c>
      <c r="AF44" s="74">
        <v>5.5316920000000002E-4</v>
      </c>
      <c r="AG44" s="74">
        <v>5.4412549999999997E-4</v>
      </c>
      <c r="AH44" s="74">
        <v>5.3521410000000004E-4</v>
      </c>
      <c r="AI44" s="74">
        <v>5.2643389999999996E-4</v>
      </c>
      <c r="AJ44" s="74">
        <v>5.1778420000000004E-4</v>
      </c>
      <c r="AK44" s="74">
        <v>5.0926400000000005E-4</v>
      </c>
      <c r="AL44" s="74">
        <v>5.0087199999999997E-4</v>
      </c>
      <c r="AM44" s="74">
        <v>4.9260730000000004E-4</v>
      </c>
      <c r="AN44" s="74">
        <v>4.8446870000000002E-4</v>
      </c>
      <c r="AO44" s="74">
        <v>4.764549E-4</v>
      </c>
      <c r="AP44" s="74">
        <v>4.685647E-4</v>
      </c>
      <c r="AQ44" s="74">
        <v>4.6079680000000003E-4</v>
      </c>
      <c r="AR44" s="74">
        <v>4.5314980000000002E-4</v>
      </c>
      <c r="AS44" s="74">
        <v>4.4562250000000002E-4</v>
      </c>
      <c r="AT44" s="74">
        <v>4.3821339999999999E-4</v>
      </c>
      <c r="AU44" s="74">
        <v>4.3092119999999998E-4</v>
      </c>
      <c r="AV44" s="74">
        <v>4.2374440000000001E-4</v>
      </c>
      <c r="AW44" s="74">
        <v>4.1668160000000001E-4</v>
      </c>
      <c r="AX44" s="74">
        <v>4.0973140000000001E-4</v>
      </c>
      <c r="AY44" s="74">
        <v>4.0289230000000001E-4</v>
      </c>
      <c r="AZ44" s="74">
        <v>3.9616290000000001E-4</v>
      </c>
      <c r="BA44" s="74">
        <v>3.8954179999999998E-4</v>
      </c>
      <c r="BB44" s="74">
        <v>3.830274E-4</v>
      </c>
      <c r="BC44" s="74">
        <v>3.766183E-4</v>
      </c>
      <c r="BD44" s="74">
        <v>3.7031310000000002E-4</v>
      </c>
      <c r="BE44" s="74">
        <v>3.641103E-4</v>
      </c>
      <c r="BF44" s="74">
        <v>3.5800840000000002E-4</v>
      </c>
      <c r="BG44" s="74">
        <v>3.5200599999999998E-4</v>
      </c>
      <c r="BH44" s="74">
        <v>3.4610179999999997E-4</v>
      </c>
      <c r="BI44" s="74">
        <v>3.4029410000000003E-4</v>
      </c>
      <c r="BJ44" s="74">
        <v>3.345817E-4</v>
      </c>
      <c r="BK44" s="74">
        <v>3.2896310000000002E-4</v>
      </c>
      <c r="BL44" s="74">
        <v>3.2343699999999999E-4</v>
      </c>
      <c r="BM44" s="74">
        <v>3.180018E-4</v>
      </c>
      <c r="BN44" s="74">
        <v>3.1265630000000002E-4</v>
      </c>
      <c r="BO44" s="74">
        <v>3.0739910000000001E-4</v>
      </c>
      <c r="BP44" s="74">
        <v>3.0222879999999998E-4</v>
      </c>
      <c r="BQ44" s="74">
        <v>2.9714409999999998E-4</v>
      </c>
      <c r="BR44" s="74">
        <v>2.9214369999999999E-4</v>
      </c>
      <c r="BS44" s="74">
        <v>2.8722619999999998E-4</v>
      </c>
      <c r="BT44" s="74">
        <v>2.8239040000000001E-4</v>
      </c>
      <c r="BU44" s="74">
        <v>2.7763499999999998E-4</v>
      </c>
      <c r="BV44" s="74">
        <v>2.729586E-4</v>
      </c>
      <c r="BW44" s="74">
        <v>2.683602E-4</v>
      </c>
      <c r="BX44" s="74">
        <v>2.6383839999999999E-4</v>
      </c>
      <c r="BY44" s="74">
        <v>2.59392E-4</v>
      </c>
      <c r="BZ44" s="74">
        <v>2.5501979999999999E-4</v>
      </c>
      <c r="CA44" s="74">
        <v>2.507206E-4</v>
      </c>
      <c r="CB44" s="74">
        <v>2.4649319999999999E-4</v>
      </c>
      <c r="CC44" s="74">
        <v>2.4233650000000001E-4</v>
      </c>
      <c r="CD44" s="74">
        <v>2.382494E-4</v>
      </c>
      <c r="CE44" s="74">
        <v>2.3423070000000001E-4</v>
      </c>
      <c r="CF44" s="74">
        <v>2.302793E-4</v>
      </c>
      <c r="CG44" s="74">
        <v>2.2639409999999999E-4</v>
      </c>
      <c r="CH44" s="74">
        <v>2.2257399999999999E-4</v>
      </c>
      <c r="CI44" s="74">
        <v>2.1881799999999999E-4</v>
      </c>
      <c r="CJ44" s="74">
        <v>2.1512500000000001E-4</v>
      </c>
      <c r="CK44" s="74">
        <v>2.11494E-4</v>
      </c>
      <c r="CL44" s="74">
        <v>2.0792400000000001E-4</v>
      </c>
      <c r="CM44" s="74">
        <v>2.044139E-4</v>
      </c>
      <c r="CN44" s="74">
        <v>2.0096290000000001E-4</v>
      </c>
      <c r="CO44" s="74">
        <v>1.9756980000000001E-4</v>
      </c>
      <c r="CP44" s="74">
        <v>1.942337E-4</v>
      </c>
      <c r="CQ44" s="74">
        <v>1.909538E-4</v>
      </c>
      <c r="CR44" s="74">
        <v>1.8772910000000001E-4</v>
      </c>
      <c r="CS44" s="74">
        <v>1.8455859999999999E-4</v>
      </c>
      <c r="CT44" s="74">
        <v>1.8144139999999999E-4</v>
      </c>
      <c r="CU44" s="74">
        <v>1.783768E-4</v>
      </c>
      <c r="CV44" s="74">
        <v>1.753638E-4</v>
      </c>
      <c r="CW44" s="74">
        <v>1.7240150000000001E-4</v>
      </c>
      <c r="CX44" s="74">
        <v>1.694891E-4</v>
      </c>
      <c r="CY44" s="74">
        <v>1.6662569999999999E-4</v>
      </c>
      <c r="CZ44" s="74">
        <v>1.6381069999999999E-4</v>
      </c>
      <c r="DA44" s="74">
        <v>1.6104300000000001E-4</v>
      </c>
      <c r="DB44" s="74">
        <v>1.583221E-4</v>
      </c>
      <c r="DC44" s="74">
        <v>1.55647E-4</v>
      </c>
      <c r="DD44" s="74">
        <v>1.53017E-4</v>
      </c>
      <c r="DE44" s="74">
        <v>1.5043129999999999E-4</v>
      </c>
      <c r="DF44" s="74">
        <v>1.478893E-4</v>
      </c>
      <c r="DG44" s="74">
        <v>1.453902E-4</v>
      </c>
      <c r="DH44" s="74">
        <v>1.429332E-4</v>
      </c>
      <c r="DI44" s="74">
        <v>1.4051769999999999E-4</v>
      </c>
      <c r="DJ44" s="74">
        <v>1.3814289999999999E-4</v>
      </c>
      <c r="DK44" s="74">
        <v>1.358082E-4</v>
      </c>
      <c r="DL44" s="74">
        <v>1.335129E-4</v>
      </c>
      <c r="DM44" s="74">
        <v>1.3125640000000001E-4</v>
      </c>
      <c r="DN44" s="74">
        <v>1.2903790000000001E-4</v>
      </c>
      <c r="DO44" s="74">
        <v>1.2685689999999999E-4</v>
      </c>
      <c r="DP44" s="74">
        <v>1.247128E-4</v>
      </c>
      <c r="DQ44" s="74">
        <v>1.2260480000000001E-4</v>
      </c>
      <c r="DR44" s="74">
        <v>1.205324E-4</v>
      </c>
      <c r="DS44" s="74">
        <v>1.18495E-4</v>
      </c>
      <c r="DT44" s="74">
        <v>1.164921E-4</v>
      </c>
      <c r="DU44" s="74">
        <v>1.1452289999999999E-4</v>
      </c>
      <c r="DV44" s="74">
        <v>1.12587E-4</v>
      </c>
      <c r="DW44" s="74">
        <v>1.1068390000000001E-4</v>
      </c>
      <c r="DX44" s="74">
        <v>1.088128E-4</v>
      </c>
      <c r="DY44" s="74">
        <v>1.0697339999999999E-4</v>
      </c>
      <c r="DZ44" s="74">
        <v>1.05165E-4</v>
      </c>
      <c r="EA44" s="74">
        <v>1.0338720000000001E-4</v>
      </c>
      <c r="EB44" s="74">
        <v>1.016395E-4</v>
      </c>
      <c r="EC44" s="74">
        <v>9.9921199999999995E-5</v>
      </c>
      <c r="ED44" s="74">
        <v>9.8232000000000004E-5</v>
      </c>
      <c r="EE44" s="74">
        <v>9.6571300000000002E-5</v>
      </c>
      <c r="EF44" s="74">
        <v>9.49387E-5</v>
      </c>
      <c r="EG44" s="74">
        <v>9.3333700000000004E-5</v>
      </c>
      <c r="EH44" s="74">
        <v>9.1755800000000007E-5</v>
      </c>
      <c r="EI44" s="74">
        <v>9.0204599999999994E-5</v>
      </c>
      <c r="EJ44" s="74">
        <v>8.8679599999999997E-5</v>
      </c>
      <c r="EK44" s="74">
        <v>8.7180299999999996E-5</v>
      </c>
      <c r="EL44" s="74">
        <v>8.5706399999999996E-5</v>
      </c>
      <c r="EM44" s="74">
        <v>8.4257400000000004E-5</v>
      </c>
      <c r="EN44" s="74">
        <v>8.2832900000000004E-5</v>
      </c>
      <c r="EO44" s="74">
        <v>8.1432499999999997E-5</v>
      </c>
      <c r="EP44" s="74">
        <v>8.00557E-5</v>
      </c>
      <c r="EQ44" s="74">
        <v>7.8702199999999993E-5</v>
      </c>
      <c r="ER44" s="74">
        <v>7.7371600000000003E-5</v>
      </c>
      <c r="ES44" s="74">
        <v>7.6063500000000001E-5</v>
      </c>
      <c r="ET44" s="74">
        <v>7.47775E-5</v>
      </c>
      <c r="EU44" s="74">
        <v>7.3513199999999999E-5</v>
      </c>
      <c r="EV44" s="74">
        <v>7.2270300000000005E-5</v>
      </c>
      <c r="EW44" s="74">
        <v>7.1048400000000002E-5</v>
      </c>
      <c r="EX44" s="74">
        <v>6.9847199999999998E-5</v>
      </c>
      <c r="EY44" s="74">
        <v>6.8666199999999997E-5</v>
      </c>
      <c r="EZ44" s="74">
        <v>6.7505300000000006E-5</v>
      </c>
      <c r="FA44" s="74">
        <v>6.6363899999999997E-5</v>
      </c>
      <c r="FB44" s="74">
        <v>6.5241900000000003E-5</v>
      </c>
      <c r="FC44" s="74">
        <v>6.4138800000000003E-5</v>
      </c>
      <c r="FD44" s="74">
        <v>6.3054300000000004E-5</v>
      </c>
      <c r="FE44" s="74">
        <v>6.1988200000000004E-5</v>
      </c>
      <c r="FF44" s="74">
        <v>6.0940100000000003E-5</v>
      </c>
      <c r="FG44" s="74">
        <v>5.99098E-5</v>
      </c>
      <c r="FH44" s="74">
        <v>5.8896800000000002E-5</v>
      </c>
      <c r="FI44" s="74">
        <v>5.7901E-5</v>
      </c>
      <c r="FJ44" s="74">
        <v>5.6922000000000002E-5</v>
      </c>
      <c r="FK44" s="74">
        <v>5.5959599999999999E-5</v>
      </c>
      <c r="FL44" s="74">
        <v>5.5013399999999997E-5</v>
      </c>
      <c r="FM44" s="74">
        <v>5.4083299999999998E-5</v>
      </c>
      <c r="FN44" s="74">
        <v>5.3168799999999998E-5</v>
      </c>
      <c r="FO44" s="74">
        <v>5.2269799999999999E-5</v>
      </c>
      <c r="FP44" s="74">
        <v>5.1386099999999999E-5</v>
      </c>
      <c r="FQ44" s="74">
        <v>5.0517199999999998E-5</v>
      </c>
    </row>
    <row r="45" spans="1:173" x14ac:dyDescent="0.25">
      <c r="A45" s="76">
        <v>43</v>
      </c>
      <c r="B45" s="74">
        <v>9.5544049999999995E-4</v>
      </c>
      <c r="C45" s="74">
        <v>9.4070649999999998E-4</v>
      </c>
      <c r="D45" s="74">
        <v>9.2613340000000002E-4</v>
      </c>
      <c r="E45" s="74">
        <v>9.1172430000000004E-4</v>
      </c>
      <c r="F45" s="74">
        <v>8.9748149999999995E-4</v>
      </c>
      <c r="G45" s="74">
        <v>8.834073E-4</v>
      </c>
      <c r="H45" s="74">
        <v>8.6950340000000001E-4</v>
      </c>
      <c r="I45" s="74">
        <v>8.5577139999999999E-4</v>
      </c>
      <c r="J45" s="74">
        <v>8.4221239999999998E-4</v>
      </c>
      <c r="K45" s="74">
        <v>8.2882720000000004E-4</v>
      </c>
      <c r="L45" s="74">
        <v>8.1561660000000001E-4</v>
      </c>
      <c r="M45" s="74">
        <v>8.0258089999999999E-4</v>
      </c>
      <c r="N45" s="74">
        <v>7.8972020000000001E-4</v>
      </c>
      <c r="O45" s="74">
        <v>7.7703449999999997E-4</v>
      </c>
      <c r="P45" s="74">
        <v>7.6452360000000001E-4</v>
      </c>
      <c r="Q45" s="74">
        <v>7.5218710000000001E-4</v>
      </c>
      <c r="R45" s="74">
        <v>7.4002439999999996E-4</v>
      </c>
      <c r="S45" s="74">
        <v>7.2803479999999996E-4</v>
      </c>
      <c r="T45" s="74">
        <v>7.1621749999999996E-4</v>
      </c>
      <c r="U45" s="74">
        <v>7.0457150000000004E-4</v>
      </c>
      <c r="V45" s="74">
        <v>6.9309570000000004E-4</v>
      </c>
      <c r="W45" s="74">
        <v>6.8178900000000003E-4</v>
      </c>
      <c r="X45" s="74">
        <v>6.7064999999999996E-4</v>
      </c>
      <c r="Y45" s="74">
        <v>6.5967749999999996E-4</v>
      </c>
      <c r="Z45" s="74">
        <v>6.4887009999999999E-4</v>
      </c>
      <c r="AA45" s="74">
        <v>6.3822610000000002E-4</v>
      </c>
      <c r="AB45" s="74">
        <v>6.2774420000000003E-4</v>
      </c>
      <c r="AC45" s="74">
        <v>6.1742260000000005E-4</v>
      </c>
      <c r="AD45" s="74">
        <v>6.0725969999999999E-4</v>
      </c>
      <c r="AE45" s="74">
        <v>5.9725390000000004E-4</v>
      </c>
      <c r="AF45" s="74">
        <v>5.8740340000000004E-4</v>
      </c>
      <c r="AG45" s="74">
        <v>5.7770640000000002E-4</v>
      </c>
      <c r="AH45" s="74">
        <v>5.6816120000000004E-4</v>
      </c>
      <c r="AI45" s="74">
        <v>5.587659E-4</v>
      </c>
      <c r="AJ45" s="74">
        <v>5.4951869999999995E-4</v>
      </c>
      <c r="AK45" s="74">
        <v>5.4041790000000005E-4</v>
      </c>
      <c r="AL45" s="74">
        <v>5.3146140000000003E-4</v>
      </c>
      <c r="AM45" s="74">
        <v>5.2264749999999995E-4</v>
      </c>
      <c r="AN45" s="74">
        <v>5.1397430000000004E-4</v>
      </c>
      <c r="AO45" s="74">
        <v>5.0543989999999998E-4</v>
      </c>
      <c r="AP45" s="74">
        <v>4.9704250000000001E-4</v>
      </c>
      <c r="AQ45" s="74">
        <v>4.887801E-4</v>
      </c>
      <c r="AR45" s="74">
        <v>4.8065089999999998E-4</v>
      </c>
      <c r="AS45" s="74">
        <v>4.726531E-4</v>
      </c>
      <c r="AT45" s="74">
        <v>4.6478470000000001E-4</v>
      </c>
      <c r="AU45" s="74">
        <v>4.570439E-4</v>
      </c>
      <c r="AV45" s="74">
        <v>4.4942890000000002E-4</v>
      </c>
      <c r="AW45" s="74">
        <v>4.419378E-4</v>
      </c>
      <c r="AX45" s="74">
        <v>4.3456890000000001E-4</v>
      </c>
      <c r="AY45" s="74">
        <v>4.2732019999999998E-4</v>
      </c>
      <c r="AZ45" s="74">
        <v>4.2019010000000001E-4</v>
      </c>
      <c r="BA45" s="74">
        <v>4.1317680000000002E-4</v>
      </c>
      <c r="BB45" s="74">
        <v>4.0627840000000002E-4</v>
      </c>
      <c r="BC45" s="74">
        <v>3.994933E-4</v>
      </c>
      <c r="BD45" s="74">
        <v>3.928197E-4</v>
      </c>
      <c r="BE45" s="74">
        <v>3.8625589999999999E-4</v>
      </c>
      <c r="BF45" s="74">
        <v>3.7980019999999998E-4</v>
      </c>
      <c r="BG45" s="74">
        <v>3.7345089999999998E-4</v>
      </c>
      <c r="BH45" s="74">
        <v>3.6720639999999999E-4</v>
      </c>
      <c r="BI45" s="74">
        <v>3.6106499999999999E-4</v>
      </c>
      <c r="BJ45" s="74">
        <v>3.5502519999999998E-4</v>
      </c>
      <c r="BK45" s="74">
        <v>3.490853E-4</v>
      </c>
      <c r="BL45" s="74">
        <v>3.4324369999999999E-4</v>
      </c>
      <c r="BM45" s="74">
        <v>3.3749890000000002E-4</v>
      </c>
      <c r="BN45" s="74">
        <v>3.3184939999999997E-4</v>
      </c>
      <c r="BO45" s="74">
        <v>3.262936E-4</v>
      </c>
      <c r="BP45" s="74">
        <v>3.2082999999999998E-4</v>
      </c>
      <c r="BQ45" s="74">
        <v>3.1545720000000001E-4</v>
      </c>
      <c r="BR45" s="74">
        <v>3.101736E-4</v>
      </c>
      <c r="BS45" s="74">
        <v>3.0497800000000002E-4</v>
      </c>
      <c r="BT45" s="74">
        <v>2.9986869999999998E-4</v>
      </c>
      <c r="BU45" s="74">
        <v>2.9484450000000001E-4</v>
      </c>
      <c r="BV45" s="74">
        <v>2.8990400000000001E-4</v>
      </c>
      <c r="BW45" s="74">
        <v>2.8504570000000001E-4</v>
      </c>
      <c r="BX45" s="74">
        <v>2.8026849999999997E-4</v>
      </c>
      <c r="BY45" s="74">
        <v>2.7557079999999999E-4</v>
      </c>
      <c r="BZ45" s="74">
        <v>2.7095150000000002E-4</v>
      </c>
      <c r="CA45" s="74">
        <v>2.664093E-4</v>
      </c>
      <c r="CB45" s="74">
        <v>2.6194290000000002E-4</v>
      </c>
      <c r="CC45" s="74">
        <v>2.5755100000000001E-4</v>
      </c>
      <c r="CD45" s="74">
        <v>2.532325E-4</v>
      </c>
      <c r="CE45" s="74">
        <v>2.4898610000000001E-4</v>
      </c>
      <c r="CF45" s="74">
        <v>2.4481060000000002E-4</v>
      </c>
      <c r="CG45" s="74">
        <v>2.4070499999999999E-4</v>
      </c>
      <c r="CH45" s="74">
        <v>2.3666790000000001E-4</v>
      </c>
      <c r="CI45" s="74">
        <v>2.3269839999999999E-4</v>
      </c>
      <c r="CJ45" s="74">
        <v>2.2879519999999999E-4</v>
      </c>
      <c r="CK45" s="74">
        <v>2.2495729999999999E-4</v>
      </c>
      <c r="CL45" s="74">
        <v>2.2118370000000001E-4</v>
      </c>
      <c r="CM45" s="74">
        <v>2.1747309999999999E-4</v>
      </c>
      <c r="CN45" s="74">
        <v>2.1382470000000001E-4</v>
      </c>
      <c r="CO45" s="74">
        <v>2.1023729999999999E-4</v>
      </c>
      <c r="CP45" s="74">
        <v>2.0671E-4</v>
      </c>
      <c r="CQ45" s="74">
        <v>2.032418E-4</v>
      </c>
      <c r="CR45" s="74">
        <v>1.9983159999999999E-4</v>
      </c>
      <c r="CS45" s="74">
        <v>1.9647849999999999E-4</v>
      </c>
      <c r="CT45" s="74">
        <v>1.9318159999999999E-4</v>
      </c>
      <c r="CU45" s="74">
        <v>1.8993999999999999E-4</v>
      </c>
      <c r="CV45" s="74">
        <v>1.867526E-4</v>
      </c>
      <c r="CW45" s="74">
        <v>1.8361859999999999E-4</v>
      </c>
      <c r="CX45" s="74">
        <v>1.805372E-4</v>
      </c>
      <c r="CY45" s="74">
        <v>1.7750740000000001E-4</v>
      </c>
      <c r="CZ45" s="74">
        <v>1.7452839999999999E-4</v>
      </c>
      <c r="DA45" s="74">
        <v>1.715993E-4</v>
      </c>
      <c r="DB45" s="74">
        <v>1.687193E-4</v>
      </c>
      <c r="DC45" s="74">
        <v>1.6588759999999999E-4</v>
      </c>
      <c r="DD45" s="74">
        <v>1.6310329999999999E-4</v>
      </c>
      <c r="DE45" s="74">
        <v>1.6036579999999999E-4</v>
      </c>
      <c r="DF45" s="74">
        <v>1.5767409999999999E-4</v>
      </c>
      <c r="DG45" s="74">
        <v>1.5502760000000001E-4</v>
      </c>
      <c r="DH45" s="74">
        <v>1.5242550000000001E-4</v>
      </c>
      <c r="DI45" s="74">
        <v>1.4986700000000001E-4</v>
      </c>
      <c r="DJ45" s="74">
        <v>1.4735139999999999E-4</v>
      </c>
      <c r="DK45" s="74">
        <v>1.44878E-4</v>
      </c>
      <c r="DL45" s="74">
        <v>1.4244609999999999E-4</v>
      </c>
      <c r="DM45" s="74">
        <v>1.4005500000000001E-4</v>
      </c>
      <c r="DN45" s="74">
        <v>1.3770399999999999E-4</v>
      </c>
      <c r="DO45" s="74">
        <v>1.353925E-4</v>
      </c>
      <c r="DP45" s="74">
        <v>1.3311970000000001E-4</v>
      </c>
      <c r="DQ45" s="74">
        <v>1.308851E-4</v>
      </c>
      <c r="DR45" s="74">
        <v>1.2868790000000001E-4</v>
      </c>
      <c r="DS45" s="74">
        <v>1.2652759999999999E-4</v>
      </c>
      <c r="DT45" s="74">
        <v>1.244036E-4</v>
      </c>
      <c r="DU45" s="74">
        <v>1.223152E-4</v>
      </c>
      <c r="DV45" s="74">
        <v>1.2026179999999999E-4</v>
      </c>
      <c r="DW45" s="74">
        <v>1.1824290000000001E-4</v>
      </c>
      <c r="DX45" s="74">
        <v>1.162579E-4</v>
      </c>
      <c r="DY45" s="74">
        <v>1.143062E-4</v>
      </c>
      <c r="DZ45" s="74">
        <v>1.123873E-4</v>
      </c>
      <c r="EA45" s="74">
        <v>1.105005E-4</v>
      </c>
      <c r="EB45" s="74">
        <v>1.086454E-4</v>
      </c>
      <c r="EC45" s="74">
        <v>1.0682149999999999E-4</v>
      </c>
      <c r="ED45" s="74">
        <v>1.050281E-4</v>
      </c>
      <c r="EE45" s="74">
        <v>1.032649E-4</v>
      </c>
      <c r="EF45" s="74">
        <v>1.015312E-4</v>
      </c>
      <c r="EG45" s="74">
        <v>9.9826699999999997E-5</v>
      </c>
      <c r="EH45" s="74">
        <v>9.8150699999999995E-5</v>
      </c>
      <c r="EI45" s="74">
        <v>9.6502900000000001E-5</v>
      </c>
      <c r="EJ45" s="74">
        <v>9.4882800000000006E-5</v>
      </c>
      <c r="EK45" s="74">
        <v>9.3289799999999996E-5</v>
      </c>
      <c r="EL45" s="74">
        <v>9.1723600000000004E-5</v>
      </c>
      <c r="EM45" s="74">
        <v>9.0183600000000002E-5</v>
      </c>
      <c r="EN45" s="74">
        <v>8.8669499999999995E-5</v>
      </c>
      <c r="EO45" s="74">
        <v>8.7180899999999997E-5</v>
      </c>
      <c r="EP45" s="74">
        <v>8.5717200000000007E-5</v>
      </c>
      <c r="EQ45" s="74">
        <v>8.4278100000000002E-5</v>
      </c>
      <c r="ER45" s="74">
        <v>8.2863100000000003E-5</v>
      </c>
      <c r="ES45" s="74">
        <v>8.1471900000000002E-5</v>
      </c>
      <c r="ET45" s="74">
        <v>8.0104099999999998E-5</v>
      </c>
      <c r="EU45" s="74">
        <v>7.8759199999999996E-5</v>
      </c>
      <c r="EV45" s="74">
        <v>7.7436900000000004E-5</v>
      </c>
      <c r="EW45" s="74">
        <v>7.6136800000000006E-5</v>
      </c>
      <c r="EX45" s="74">
        <v>7.4858500000000002E-5</v>
      </c>
      <c r="EY45" s="74">
        <v>7.3601699999999997E-5</v>
      </c>
      <c r="EZ45" s="74">
        <v>7.2365899999999998E-5</v>
      </c>
      <c r="FA45" s="74">
        <v>7.1150900000000003E-5</v>
      </c>
      <c r="FB45" s="74">
        <v>6.9956400000000007E-5</v>
      </c>
      <c r="FC45" s="74">
        <v>6.8781800000000006E-5</v>
      </c>
      <c r="FD45" s="74">
        <v>6.7626999999999995E-5</v>
      </c>
      <c r="FE45" s="74">
        <v>6.6491599999999999E-5</v>
      </c>
      <c r="FF45" s="74">
        <v>6.5375200000000004E-5</v>
      </c>
      <c r="FG45" s="74">
        <v>6.4277599999999996E-5</v>
      </c>
      <c r="FH45" s="74">
        <v>6.3198400000000001E-5</v>
      </c>
      <c r="FI45" s="74">
        <v>6.2137299999999999E-5</v>
      </c>
      <c r="FJ45" s="74">
        <v>6.1094100000000002E-5</v>
      </c>
      <c r="FK45" s="74">
        <v>6.0068300000000002E-5</v>
      </c>
      <c r="FL45" s="74">
        <v>5.90598E-5</v>
      </c>
      <c r="FM45" s="74">
        <v>5.8068200000000001E-5</v>
      </c>
      <c r="FN45" s="74">
        <v>5.7093199999999997E-5</v>
      </c>
      <c r="FO45" s="74">
        <v>5.6134600000000003E-5</v>
      </c>
      <c r="FP45" s="74">
        <v>5.5192200000000003E-5</v>
      </c>
      <c r="FQ45" s="74">
        <v>5.4265499999999997E-5</v>
      </c>
    </row>
    <row r="46" spans="1:173" x14ac:dyDescent="0.25">
      <c r="A46" s="76">
        <v>44</v>
      </c>
      <c r="B46" s="74">
        <v>1.1050305000000001E-3</v>
      </c>
      <c r="C46" s="74">
        <v>1.0901565000000001E-3</v>
      </c>
      <c r="D46" s="74">
        <v>1.0753073000000001E-3</v>
      </c>
      <c r="E46" s="74">
        <v>1.0604963000000001E-3</v>
      </c>
      <c r="F46" s="74">
        <v>1.045736E-3</v>
      </c>
      <c r="G46" s="74">
        <v>1.0310377999999999E-3</v>
      </c>
      <c r="H46" s="74">
        <v>1.016412E-3</v>
      </c>
      <c r="I46" s="74">
        <v>1.0018684000000001E-3</v>
      </c>
      <c r="J46" s="74">
        <v>9.8741569999999997E-4</v>
      </c>
      <c r="K46" s="74">
        <v>9.7306189999999998E-4</v>
      </c>
      <c r="L46" s="74">
        <v>9.5881449999999995E-4</v>
      </c>
      <c r="M46" s="74">
        <v>9.4468009999999997E-4</v>
      </c>
      <c r="N46" s="74">
        <v>9.3066470000000001E-4</v>
      </c>
      <c r="O46" s="74">
        <v>9.1677369999999998E-4</v>
      </c>
      <c r="P46" s="74">
        <v>9.0301209999999995E-4</v>
      </c>
      <c r="Q46" s="74">
        <v>8.893843E-4</v>
      </c>
      <c r="R46" s="74">
        <v>8.75894E-4</v>
      </c>
      <c r="S46" s="74">
        <v>8.6254490000000001E-4</v>
      </c>
      <c r="T46" s="74">
        <v>8.4933980000000001E-4</v>
      </c>
      <c r="U46" s="74">
        <v>8.3628140000000005E-4</v>
      </c>
      <c r="V46" s="74">
        <v>8.2337209999999998E-4</v>
      </c>
      <c r="W46" s="74">
        <v>8.1061380000000001E-4</v>
      </c>
      <c r="X46" s="74">
        <v>7.9800800000000001E-4</v>
      </c>
      <c r="Y46" s="74">
        <v>7.8555610000000001E-4</v>
      </c>
      <c r="Z46" s="74">
        <v>7.7325919999999995E-4</v>
      </c>
      <c r="AA46" s="74">
        <v>7.6111799999999997E-4</v>
      </c>
      <c r="AB46" s="74">
        <v>7.4913330000000002E-4</v>
      </c>
      <c r="AC46" s="74">
        <v>7.3730520000000002E-4</v>
      </c>
      <c r="AD46" s="74">
        <v>7.2563399999999996E-4</v>
      </c>
      <c r="AE46" s="74">
        <v>7.1411969999999995E-4</v>
      </c>
      <c r="AF46" s="74">
        <v>7.0276210000000004E-4</v>
      </c>
      <c r="AG46" s="74">
        <v>6.9156090000000001E-4</v>
      </c>
      <c r="AH46" s="74">
        <v>6.8051549999999998E-4</v>
      </c>
      <c r="AI46" s="74">
        <v>6.6962529999999997E-4</v>
      </c>
      <c r="AJ46" s="74">
        <v>6.5888969999999998E-4</v>
      </c>
      <c r="AK46" s="74">
        <v>6.4830780000000004E-4</v>
      </c>
      <c r="AL46" s="74">
        <v>6.3787869999999995E-4</v>
      </c>
      <c r="AM46" s="74">
        <v>6.2760120000000005E-4</v>
      </c>
      <c r="AN46" s="74">
        <v>6.1747440000000005E-4</v>
      </c>
      <c r="AO46" s="74">
        <v>6.0749709999999995E-4</v>
      </c>
      <c r="AP46" s="74">
        <v>5.9766789999999995E-4</v>
      </c>
      <c r="AQ46" s="74">
        <v>5.8798550000000002E-4</v>
      </c>
      <c r="AR46" s="74">
        <v>5.7844869999999998E-4</v>
      </c>
      <c r="AS46" s="74">
        <v>5.6905590000000004E-4</v>
      </c>
      <c r="AT46" s="74">
        <v>5.5980579999999997E-4</v>
      </c>
      <c r="AU46" s="74">
        <v>5.5069690000000002E-4</v>
      </c>
      <c r="AV46" s="74">
        <v>5.4172750000000005E-4</v>
      </c>
      <c r="AW46" s="74">
        <v>5.328962E-4</v>
      </c>
      <c r="AX46" s="74">
        <v>5.2420139999999999E-4</v>
      </c>
      <c r="AY46" s="74">
        <v>5.1564139999999998E-4</v>
      </c>
      <c r="AZ46" s="74">
        <v>5.0721469999999999E-4</v>
      </c>
      <c r="BA46" s="74">
        <v>4.989196E-4</v>
      </c>
      <c r="BB46" s="74">
        <v>4.9075449999999999E-4</v>
      </c>
      <c r="BC46" s="74">
        <v>4.8271780000000002E-4</v>
      </c>
      <c r="BD46" s="74">
        <v>4.7480770000000002E-4</v>
      </c>
      <c r="BE46" s="74">
        <v>4.6702259999999998E-4</v>
      </c>
      <c r="BF46" s="74">
        <v>4.5936080000000002E-4</v>
      </c>
      <c r="BG46" s="74">
        <v>4.5182069999999999E-4</v>
      </c>
      <c r="BH46" s="74">
        <v>4.4440069999999998E-4</v>
      </c>
      <c r="BI46" s="74">
        <v>4.3709899999999998E-4</v>
      </c>
      <c r="BJ46" s="74">
        <v>4.2991399999999999E-4</v>
      </c>
      <c r="BK46" s="74">
        <v>4.228441E-4</v>
      </c>
      <c r="BL46" s="74">
        <v>4.1588760000000003E-4</v>
      </c>
      <c r="BM46" s="74">
        <v>4.0904290000000001E-4</v>
      </c>
      <c r="BN46" s="74">
        <v>4.0230829999999998E-4</v>
      </c>
      <c r="BO46" s="74">
        <v>3.9568239999999998E-4</v>
      </c>
      <c r="BP46" s="74">
        <v>3.8916340000000002E-4</v>
      </c>
      <c r="BQ46" s="74">
        <v>3.8274979999999999E-4</v>
      </c>
      <c r="BR46" s="74">
        <v>3.7644000000000002E-4</v>
      </c>
      <c r="BS46" s="74">
        <v>3.702326E-4</v>
      </c>
      <c r="BT46" s="74">
        <v>3.6412579999999998E-4</v>
      </c>
      <c r="BU46" s="74">
        <v>3.581182E-4</v>
      </c>
      <c r="BV46" s="74">
        <v>3.5220839999999999E-4</v>
      </c>
      <c r="BW46" s="74">
        <v>3.463947E-4</v>
      </c>
      <c r="BX46" s="74">
        <v>3.4067579999999997E-4</v>
      </c>
      <c r="BY46" s="74">
        <v>3.3505010000000002E-4</v>
      </c>
      <c r="BZ46" s="74">
        <v>3.2951630000000002E-4</v>
      </c>
      <c r="CA46" s="74">
        <v>3.2407280000000001E-4</v>
      </c>
      <c r="CB46" s="74">
        <v>3.187183E-4</v>
      </c>
      <c r="CC46" s="74">
        <v>3.1345139999999999E-4</v>
      </c>
      <c r="CD46" s="74">
        <v>3.0827079999999998E-4</v>
      </c>
      <c r="CE46" s="74">
        <v>3.0317499999999998E-4</v>
      </c>
      <c r="CF46" s="74">
        <v>2.981627E-4</v>
      </c>
      <c r="CG46" s="74">
        <v>2.9323259999999997E-4</v>
      </c>
      <c r="CH46" s="74">
        <v>2.8838349999999997E-4</v>
      </c>
      <c r="CI46" s="74">
        <v>2.8361389999999998E-4</v>
      </c>
      <c r="CJ46" s="74">
        <v>2.7892269999999999E-4</v>
      </c>
      <c r="CK46" s="74">
        <v>2.743086E-4</v>
      </c>
      <c r="CL46" s="74">
        <v>2.6977030000000001E-4</v>
      </c>
      <c r="CM46" s="74">
        <v>2.6530670000000001E-4</v>
      </c>
      <c r="CN46" s="74">
        <v>2.6091649999999999E-4</v>
      </c>
      <c r="CO46" s="74">
        <v>2.5659860000000001E-4</v>
      </c>
      <c r="CP46" s="74">
        <v>2.523518E-4</v>
      </c>
      <c r="CQ46" s="74">
        <v>2.4817490000000002E-4</v>
      </c>
      <c r="CR46" s="74">
        <v>2.4406690000000001E-4</v>
      </c>
      <c r="CS46" s="74">
        <v>2.4002649999999999E-4</v>
      </c>
      <c r="CT46" s="74">
        <v>2.360528E-4</v>
      </c>
      <c r="CU46" s="74">
        <v>2.3214460000000001E-4</v>
      </c>
      <c r="CV46" s="74">
        <v>2.283009E-4</v>
      </c>
      <c r="CW46" s="74">
        <v>2.2452060000000001E-4</v>
      </c>
      <c r="CX46" s="74">
        <v>2.208027E-4</v>
      </c>
      <c r="CY46" s="74">
        <v>2.171462E-4</v>
      </c>
      <c r="CZ46" s="74">
        <v>2.1354999999999999E-4</v>
      </c>
      <c r="DA46" s="74">
        <v>2.1001329999999999E-4</v>
      </c>
      <c r="DB46" s="74">
        <v>2.0653490000000001E-4</v>
      </c>
      <c r="DC46" s="74">
        <v>2.0311400000000001E-4</v>
      </c>
      <c r="DD46" s="74">
        <v>1.9974970000000001E-4</v>
      </c>
      <c r="DE46" s="74">
        <v>1.9644089999999999E-4</v>
      </c>
      <c r="DF46" s="74">
        <v>1.9318680000000001E-4</v>
      </c>
      <c r="DG46" s="74">
        <v>1.8998649999999999E-4</v>
      </c>
      <c r="DH46" s="74">
        <v>1.8683919999999999E-4</v>
      </c>
      <c r="DI46" s="74">
        <v>1.8374379999999999E-4</v>
      </c>
      <c r="DJ46" s="74">
        <v>1.8069970000000001E-4</v>
      </c>
      <c r="DK46" s="74">
        <v>1.7770589999999999E-4</v>
      </c>
      <c r="DL46" s="74">
        <v>1.7476159999999999E-4</v>
      </c>
      <c r="DM46" s="74">
        <v>1.7186609999999999E-4</v>
      </c>
      <c r="DN46" s="74">
        <v>1.690184E-4</v>
      </c>
      <c r="DO46" s="74">
        <v>1.6621790000000001E-4</v>
      </c>
      <c r="DP46" s="74">
        <v>1.634637E-4</v>
      </c>
      <c r="DQ46" s="74">
        <v>1.60755E-4</v>
      </c>
      <c r="DR46" s="74">
        <v>1.5809130000000001E-4</v>
      </c>
      <c r="DS46" s="74">
        <v>1.554716E-4</v>
      </c>
      <c r="DT46" s="74">
        <v>1.5289519999999999E-4</v>
      </c>
      <c r="DU46" s="74">
        <v>1.5036149999999999E-4</v>
      </c>
      <c r="DV46" s="74">
        <v>1.4786979999999999E-4</v>
      </c>
      <c r="DW46" s="74">
        <v>1.4541930000000001E-4</v>
      </c>
      <c r="DX46" s="74">
        <v>1.4300940000000001E-4</v>
      </c>
      <c r="DY46" s="74">
        <v>1.4063939999999999E-4</v>
      </c>
      <c r="DZ46" s="74">
        <v>1.3830860000000001E-4</v>
      </c>
      <c r="EA46" s="74">
        <v>1.3601649999999999E-4</v>
      </c>
      <c r="EB46" s="74">
        <v>1.3376229999999999E-4</v>
      </c>
      <c r="EC46" s="74">
        <v>1.315454E-4</v>
      </c>
      <c r="ED46" s="74">
        <v>1.2936530000000001E-4</v>
      </c>
      <c r="EE46" s="74">
        <v>1.2722119999999999E-4</v>
      </c>
      <c r="EF46" s="74">
        <v>1.251127E-4</v>
      </c>
      <c r="EG46" s="74">
        <v>1.2303910000000001E-4</v>
      </c>
      <c r="EH46" s="74">
        <v>1.209998E-4</v>
      </c>
      <c r="EI46" s="74">
        <v>1.1899439999999999E-4</v>
      </c>
      <c r="EJ46" s="74">
        <v>1.170221E-4</v>
      </c>
      <c r="EK46" s="74">
        <v>1.150825E-4</v>
      </c>
      <c r="EL46" s="74">
        <v>1.1317510000000001E-4</v>
      </c>
      <c r="EM46" s="74">
        <v>1.112993E-4</v>
      </c>
      <c r="EN46" s="74">
        <v>1.0945449999999999E-4</v>
      </c>
      <c r="EO46" s="74">
        <v>1.076403E-4</v>
      </c>
      <c r="EP46" s="74">
        <v>1.058562E-4</v>
      </c>
      <c r="EQ46" s="74">
        <v>1.041016E-4</v>
      </c>
      <c r="ER46" s="74">
        <v>1.023761E-4</v>
      </c>
      <c r="ES46" s="74">
        <v>1.006792E-4</v>
      </c>
      <c r="ET46" s="74">
        <v>9.9010400000000003E-5</v>
      </c>
      <c r="EU46" s="74">
        <v>9.7369300000000003E-5</v>
      </c>
      <c r="EV46" s="74">
        <v>9.5755300000000001E-5</v>
      </c>
      <c r="EW46" s="74">
        <v>9.4168100000000004E-5</v>
      </c>
      <c r="EX46" s="74">
        <v>9.2607200000000003E-5</v>
      </c>
      <c r="EY46" s="74">
        <v>9.1072199999999999E-5</v>
      </c>
      <c r="EZ46" s="74">
        <v>8.9562599999999995E-5</v>
      </c>
      <c r="FA46" s="74">
        <v>8.8078000000000006E-5</v>
      </c>
      <c r="FB46" s="74">
        <v>8.6618000000000003E-5</v>
      </c>
      <c r="FC46" s="74">
        <v>8.5182300000000006E-5</v>
      </c>
      <c r="FD46" s="74">
        <v>8.37703E-5</v>
      </c>
      <c r="FE46" s="74">
        <v>8.2381700000000004E-5</v>
      </c>
      <c r="FF46" s="74">
        <v>8.1016100000000005E-5</v>
      </c>
      <c r="FG46" s="74">
        <v>7.9673199999999995E-5</v>
      </c>
      <c r="FH46" s="74">
        <v>7.8352500000000006E-5</v>
      </c>
      <c r="FI46" s="74">
        <v>7.7053700000000004E-5</v>
      </c>
      <c r="FJ46" s="74">
        <v>7.5776499999999995E-5</v>
      </c>
      <c r="FK46" s="74">
        <v>7.4520399999999999E-5</v>
      </c>
      <c r="FL46" s="74">
        <v>7.3285099999999994E-5</v>
      </c>
      <c r="FM46" s="74">
        <v>7.20703E-5</v>
      </c>
      <c r="FN46" s="74">
        <v>7.0875600000000003E-5</v>
      </c>
      <c r="FO46" s="74">
        <v>6.9700800000000002E-5</v>
      </c>
      <c r="FP46" s="74">
        <v>6.8545400000000003E-5</v>
      </c>
      <c r="FQ46" s="74">
        <v>6.7409099999999998E-5</v>
      </c>
    </row>
    <row r="47" spans="1:173" x14ac:dyDescent="0.25">
      <c r="A47" s="76">
        <v>45</v>
      </c>
      <c r="B47" s="74">
        <v>1.1978294E-3</v>
      </c>
      <c r="C47" s="74">
        <v>1.1806449999999999E-3</v>
      </c>
      <c r="D47" s="74">
        <v>1.1635907E-3</v>
      </c>
      <c r="E47" s="74">
        <v>1.1466737E-3</v>
      </c>
      <c r="F47" s="74">
        <v>1.1299009E-3</v>
      </c>
      <c r="G47" s="74">
        <v>1.1132784E-3</v>
      </c>
      <c r="H47" s="74">
        <v>1.0968114E-3</v>
      </c>
      <c r="I47" s="74">
        <v>1.0805051000000001E-3</v>
      </c>
      <c r="J47" s="74">
        <v>1.0643635E-3</v>
      </c>
      <c r="K47" s="74">
        <v>1.0483905999999999E-3</v>
      </c>
      <c r="L47" s="74">
        <v>1.0325897E-3</v>
      </c>
      <c r="M47" s="74">
        <v>1.0169637000000001E-3</v>
      </c>
      <c r="N47" s="74">
        <v>1.0015150999999999E-3</v>
      </c>
      <c r="O47" s="74">
        <v>9.8624600000000008E-4</v>
      </c>
      <c r="P47" s="74">
        <v>9.7115809999999999E-4</v>
      </c>
      <c r="Q47" s="74">
        <v>9.5625289999999997E-4</v>
      </c>
      <c r="R47" s="74">
        <v>9.415316E-4</v>
      </c>
      <c r="S47" s="74">
        <v>9.2699489999999998E-4</v>
      </c>
      <c r="T47" s="74">
        <v>9.1264340000000001E-4</v>
      </c>
      <c r="U47" s="74">
        <v>8.9847760000000005E-4</v>
      </c>
      <c r="V47" s="74">
        <v>8.8449739999999996E-4</v>
      </c>
      <c r="W47" s="74">
        <v>8.7070289999999998E-4</v>
      </c>
      <c r="X47" s="74">
        <v>8.5709369999999998E-4</v>
      </c>
      <c r="Y47" s="74">
        <v>8.4366940000000004E-4</v>
      </c>
      <c r="Z47" s="74">
        <v>8.3042949999999999E-4</v>
      </c>
      <c r="AA47" s="74">
        <v>8.1737300000000004E-4</v>
      </c>
      <c r="AB47" s="74">
        <v>8.0449920000000004E-4</v>
      </c>
      <c r="AC47" s="74">
        <v>7.9180709999999998E-4</v>
      </c>
      <c r="AD47" s="74">
        <v>7.7929539999999997E-4</v>
      </c>
      <c r="AE47" s="74">
        <v>7.6696309999999999E-4</v>
      </c>
      <c r="AF47" s="74">
        <v>7.5480869999999995E-4</v>
      </c>
      <c r="AG47" s="74">
        <v>7.4283089999999997E-4</v>
      </c>
      <c r="AH47" s="74">
        <v>7.3102819999999995E-4</v>
      </c>
      <c r="AI47" s="74">
        <v>7.1939900000000002E-4</v>
      </c>
      <c r="AJ47" s="74">
        <v>7.0794179999999996E-4</v>
      </c>
      <c r="AK47" s="74">
        <v>6.9665489999999998E-4</v>
      </c>
      <c r="AL47" s="74">
        <v>6.8553660000000003E-4</v>
      </c>
      <c r="AM47" s="74">
        <v>6.7458510000000004E-4</v>
      </c>
      <c r="AN47" s="74">
        <v>6.6379860000000005E-4</v>
      </c>
      <c r="AO47" s="74">
        <v>6.5317540000000001E-4</v>
      </c>
      <c r="AP47" s="74">
        <v>6.4271350000000001E-4</v>
      </c>
      <c r="AQ47" s="74">
        <v>6.324112E-4</v>
      </c>
      <c r="AR47" s="74">
        <v>6.2226649999999996E-4</v>
      </c>
      <c r="AS47" s="74">
        <v>6.122775E-4</v>
      </c>
      <c r="AT47" s="74">
        <v>6.0244230000000001E-4</v>
      </c>
      <c r="AU47" s="74">
        <v>5.9275889999999996E-4</v>
      </c>
      <c r="AV47" s="74">
        <v>5.8322549999999999E-4</v>
      </c>
      <c r="AW47" s="74">
        <v>5.7384009999999997E-4</v>
      </c>
      <c r="AX47" s="74">
        <v>5.6460080000000001E-4</v>
      </c>
      <c r="AY47" s="74">
        <v>5.5550559999999996E-4</v>
      </c>
      <c r="AZ47" s="74">
        <v>5.4655250000000002E-4</v>
      </c>
      <c r="BA47" s="74">
        <v>5.3773980000000002E-4</v>
      </c>
      <c r="BB47" s="74">
        <v>5.290653E-4</v>
      </c>
      <c r="BC47" s="74">
        <v>5.2052730000000001E-4</v>
      </c>
      <c r="BD47" s="74">
        <v>5.1212369999999998E-4</v>
      </c>
      <c r="BE47" s="74">
        <v>5.038528E-4</v>
      </c>
      <c r="BF47" s="74">
        <v>4.9571249999999999E-4</v>
      </c>
      <c r="BG47" s="74">
        <v>4.8770109999999998E-4</v>
      </c>
      <c r="BH47" s="74">
        <v>4.7981670000000001E-4</v>
      </c>
      <c r="BI47" s="74">
        <v>4.7205739999999998E-4</v>
      </c>
      <c r="BJ47" s="74">
        <v>4.6442139999999999E-4</v>
      </c>
      <c r="BK47" s="74">
        <v>4.5690690000000001E-4</v>
      </c>
      <c r="BL47" s="74">
        <v>4.4951209999999998E-4</v>
      </c>
      <c r="BM47" s="74">
        <v>4.4223530000000002E-4</v>
      </c>
      <c r="BN47" s="74">
        <v>4.3507449999999998E-4</v>
      </c>
      <c r="BO47" s="74">
        <v>4.2802820000000002E-4</v>
      </c>
      <c r="BP47" s="74">
        <v>4.2109450000000001E-4</v>
      </c>
      <c r="BQ47" s="74">
        <v>4.1427180000000002E-4</v>
      </c>
      <c r="BR47" s="74">
        <v>4.075584E-4</v>
      </c>
      <c r="BS47" s="74">
        <v>4.0095270000000001E-4</v>
      </c>
      <c r="BT47" s="74">
        <v>3.9445289999999998E-4</v>
      </c>
      <c r="BU47" s="74">
        <v>3.880574E-4</v>
      </c>
      <c r="BV47" s="74">
        <v>3.8176470000000001E-4</v>
      </c>
      <c r="BW47" s="74">
        <v>3.7557310000000001E-4</v>
      </c>
      <c r="BX47" s="74">
        <v>3.6948120000000002E-4</v>
      </c>
      <c r="BY47" s="74">
        <v>3.6348720000000003E-4</v>
      </c>
      <c r="BZ47" s="74">
        <v>3.5758980000000001E-4</v>
      </c>
      <c r="CA47" s="74">
        <v>3.5178740000000003E-4</v>
      </c>
      <c r="CB47" s="74">
        <v>3.460785E-4</v>
      </c>
      <c r="CC47" s="74">
        <v>3.4046160000000001E-4</v>
      </c>
      <c r="CD47" s="74">
        <v>3.3493539999999999E-4</v>
      </c>
      <c r="CE47" s="74">
        <v>3.294983E-4</v>
      </c>
      <c r="CF47" s="74">
        <v>3.2414910000000001E-4</v>
      </c>
      <c r="CG47" s="74">
        <v>3.1888620000000001E-4</v>
      </c>
      <c r="CH47" s="74">
        <v>3.1370829999999999E-4</v>
      </c>
      <c r="CI47" s="74">
        <v>3.0861419999999998E-4</v>
      </c>
      <c r="CJ47" s="74">
        <v>3.0360240000000001E-4</v>
      </c>
      <c r="CK47" s="74">
        <v>2.9867160000000002E-4</v>
      </c>
      <c r="CL47" s="74">
        <v>2.9382060000000002E-4</v>
      </c>
      <c r="CM47" s="74">
        <v>2.8904810000000001E-4</v>
      </c>
      <c r="CN47" s="74">
        <v>2.8435279999999998E-4</v>
      </c>
      <c r="CO47" s="74">
        <v>2.7973359999999999E-4</v>
      </c>
      <c r="CP47" s="74">
        <v>2.7518909999999999E-4</v>
      </c>
      <c r="CQ47" s="74">
        <v>2.7071819999999999E-4</v>
      </c>
      <c r="CR47" s="74">
        <v>2.663198E-4</v>
      </c>
      <c r="CS47" s="74">
        <v>2.619926E-4</v>
      </c>
      <c r="CT47" s="74">
        <v>2.5773560000000003E-4</v>
      </c>
      <c r="CU47" s="74">
        <v>2.5354750000000003E-4</v>
      </c>
      <c r="CV47" s="74">
        <v>2.4942729999999998E-4</v>
      </c>
      <c r="CW47" s="74">
        <v>2.4537400000000003E-4</v>
      </c>
      <c r="CX47" s="74">
        <v>2.413863E-4</v>
      </c>
      <c r="CY47" s="74">
        <v>2.3746339999999999E-4</v>
      </c>
      <c r="CZ47" s="74">
        <v>2.3360399999999999E-4</v>
      </c>
      <c r="DA47" s="74">
        <v>2.298073E-4</v>
      </c>
      <c r="DB47" s="74">
        <v>2.260722E-4</v>
      </c>
      <c r="DC47" s="74">
        <v>2.2239769999999999E-4</v>
      </c>
      <c r="DD47" s="74">
        <v>2.187828E-4</v>
      </c>
      <c r="DE47" s="74">
        <v>2.1522659999999999E-4</v>
      </c>
      <c r="DF47" s="74">
        <v>2.1172810000000001E-4</v>
      </c>
      <c r="DG47" s="74">
        <v>2.0828639999999999E-4</v>
      </c>
      <c r="DH47" s="74">
        <v>2.049005E-4</v>
      </c>
      <c r="DI47" s="74">
        <v>2.0156969999999999E-4</v>
      </c>
      <c r="DJ47" s="74">
        <v>1.9829289999999999E-4</v>
      </c>
      <c r="DK47" s="74">
        <v>1.9506929999999999E-4</v>
      </c>
      <c r="DL47" s="74">
        <v>1.9189810000000001E-4</v>
      </c>
      <c r="DM47" s="74">
        <v>1.8877839999999999E-4</v>
      </c>
      <c r="DN47" s="74">
        <v>1.8570929999999999E-4</v>
      </c>
      <c r="DO47" s="74">
        <v>1.8269010000000001E-4</v>
      </c>
      <c r="DP47" s="74">
        <v>1.7971989999999999E-4</v>
      </c>
      <c r="DQ47" s="74">
        <v>1.7679800000000001E-4</v>
      </c>
      <c r="DR47" s="74">
        <v>1.739236E-4</v>
      </c>
      <c r="DS47" s="74">
        <v>1.7109579999999999E-4</v>
      </c>
      <c r="DT47" s="74">
        <v>1.68314E-4</v>
      </c>
      <c r="DU47" s="74">
        <v>1.655774E-4</v>
      </c>
      <c r="DV47" s="74">
        <v>1.628853E-4</v>
      </c>
      <c r="DW47" s="74">
        <v>1.602369E-4</v>
      </c>
      <c r="DX47" s="74">
        <v>1.5763149999999999E-4</v>
      </c>
      <c r="DY47" s="74">
        <v>1.5506849999999999E-4</v>
      </c>
      <c r="DZ47" s="74">
        <v>1.5254710000000001E-4</v>
      </c>
      <c r="EA47" s="74">
        <v>1.5006669999999999E-4</v>
      </c>
      <c r="EB47" s="74">
        <v>1.476266E-4</v>
      </c>
      <c r="EC47" s="74">
        <v>1.452262E-4</v>
      </c>
      <c r="ED47" s="74">
        <v>1.4286480000000001E-4</v>
      </c>
      <c r="EE47" s="74">
        <v>1.405418E-4</v>
      </c>
      <c r="EF47" s="74">
        <v>1.3825649999999999E-4</v>
      </c>
      <c r="EG47" s="74">
        <v>1.3600839999999999E-4</v>
      </c>
      <c r="EH47" s="74">
        <v>1.3379679999999999E-4</v>
      </c>
      <c r="EI47" s="74">
        <v>1.3162110000000001E-4</v>
      </c>
      <c r="EJ47" s="74">
        <v>1.294809E-4</v>
      </c>
      <c r="EK47" s="74">
        <v>1.2737539999999999E-4</v>
      </c>
      <c r="EL47" s="74">
        <v>1.253041E-4</v>
      </c>
      <c r="EM47" s="74">
        <v>1.2326660000000001E-4</v>
      </c>
      <c r="EN47" s="74">
        <v>1.212621E-4</v>
      </c>
      <c r="EO47" s="74">
        <v>1.1929020000000001E-4</v>
      </c>
      <c r="EP47" s="74">
        <v>1.1735039999999999E-4</v>
      </c>
      <c r="EQ47" s="74">
        <v>1.154421E-4</v>
      </c>
      <c r="ER47" s="74">
        <v>1.1356489999999999E-4</v>
      </c>
      <c r="ES47" s="74">
        <v>1.117181E-4</v>
      </c>
      <c r="ET47" s="74">
        <v>1.099014E-4</v>
      </c>
      <c r="EU47" s="74">
        <v>1.081143E-4</v>
      </c>
      <c r="EV47" s="74">
        <v>1.063561E-4</v>
      </c>
      <c r="EW47" s="74">
        <v>1.046266E-4</v>
      </c>
      <c r="EX47" s="74">
        <v>1.029252E-4</v>
      </c>
      <c r="EY47" s="74">
        <v>1.012514E-4</v>
      </c>
      <c r="EZ47" s="74">
        <v>9.9604899999999999E-5</v>
      </c>
      <c r="FA47" s="74">
        <v>9.7985099999999998E-5</v>
      </c>
      <c r="FB47" s="74">
        <v>9.6391700000000001E-5</v>
      </c>
      <c r="FC47" s="74">
        <v>9.4824199999999999E-5</v>
      </c>
      <c r="FD47" s="74">
        <v>9.3282200000000006E-5</v>
      </c>
      <c r="FE47" s="74">
        <v>9.17652E-5</v>
      </c>
      <c r="FF47" s="74">
        <v>9.0272900000000001E-5</v>
      </c>
      <c r="FG47" s="74">
        <v>8.8804899999999994E-5</v>
      </c>
      <c r="FH47" s="74">
        <v>8.7360699999999999E-5</v>
      </c>
      <c r="FI47" s="74">
        <v>8.5939999999999994E-5</v>
      </c>
      <c r="FJ47" s="74">
        <v>8.4542499999999999E-5</v>
      </c>
      <c r="FK47" s="74">
        <v>8.31676E-5</v>
      </c>
      <c r="FL47" s="74">
        <v>8.1815099999999995E-5</v>
      </c>
      <c r="FM47" s="74">
        <v>8.0484599999999998E-5</v>
      </c>
      <c r="FN47" s="74">
        <v>7.9175800000000002E-5</v>
      </c>
      <c r="FO47" s="74">
        <v>7.7888199999999997E-5</v>
      </c>
      <c r="FP47" s="74">
        <v>7.6621500000000005E-5</v>
      </c>
      <c r="FQ47" s="74">
        <v>7.5375499999999997E-5</v>
      </c>
    </row>
    <row r="48" spans="1:173" x14ac:dyDescent="0.25">
      <c r="A48" s="76">
        <v>46</v>
      </c>
      <c r="B48" s="74">
        <v>1.4101878000000001E-3</v>
      </c>
      <c r="C48" s="74">
        <v>1.3924409000000001E-3</v>
      </c>
      <c r="D48" s="74">
        <v>1.3746686999999999E-3</v>
      </c>
      <c r="E48" s="74">
        <v>1.3568905000000001E-3</v>
      </c>
      <c r="F48" s="74">
        <v>1.3391244E-3</v>
      </c>
      <c r="G48" s="74">
        <v>1.3213871000000001E-3</v>
      </c>
      <c r="H48" s="74">
        <v>1.3036939E-3</v>
      </c>
      <c r="I48" s="74">
        <v>1.2860591E-3</v>
      </c>
      <c r="J48" s="74">
        <v>1.2684959E-3</v>
      </c>
      <c r="K48" s="74">
        <v>1.2510163000000001E-3</v>
      </c>
      <c r="L48" s="74">
        <v>1.2336316E-3</v>
      </c>
      <c r="M48" s="74">
        <v>1.2163518999999999E-3</v>
      </c>
      <c r="N48" s="74">
        <v>1.1991865E-3</v>
      </c>
      <c r="O48" s="74">
        <v>1.1821439E-3</v>
      </c>
      <c r="P48" s="74">
        <v>1.1652319E-3</v>
      </c>
      <c r="Q48" s="74">
        <v>1.1484575E-3</v>
      </c>
      <c r="R48" s="74">
        <v>1.131827E-3</v>
      </c>
      <c r="S48" s="74">
        <v>1.1153462E-3</v>
      </c>
      <c r="T48" s="74">
        <v>1.0990202000000001E-3</v>
      </c>
      <c r="U48" s="74">
        <v>1.0828535999999999E-3</v>
      </c>
      <c r="V48" s="74">
        <v>1.0668502999999999E-3</v>
      </c>
      <c r="W48" s="74">
        <v>1.0510141000000001E-3</v>
      </c>
      <c r="X48" s="74">
        <v>1.035348E-3</v>
      </c>
      <c r="Y48" s="74">
        <v>1.0198547E-3</v>
      </c>
      <c r="Z48" s="74">
        <v>1.0045366000000001E-3</v>
      </c>
      <c r="AA48" s="74">
        <v>9.8939560000000011E-4</v>
      </c>
      <c r="AB48" s="74">
        <v>9.7443339999999995E-4</v>
      </c>
      <c r="AC48" s="74">
        <v>9.5965130000000005E-4</v>
      </c>
      <c r="AD48" s="74">
        <v>9.4505019999999997E-4</v>
      </c>
      <c r="AE48" s="74">
        <v>9.3063100000000001E-4</v>
      </c>
      <c r="AF48" s="74">
        <v>9.1639409999999999E-4</v>
      </c>
      <c r="AG48" s="74">
        <v>9.0233990000000003E-4</v>
      </c>
      <c r="AH48" s="74">
        <v>8.8846840000000003E-4</v>
      </c>
      <c r="AI48" s="74">
        <v>8.7477940000000004E-4</v>
      </c>
      <c r="AJ48" s="74">
        <v>8.6127280000000001E-4</v>
      </c>
      <c r="AK48" s="74">
        <v>8.4794790000000003E-4</v>
      </c>
      <c r="AL48" s="74">
        <v>8.3480429999999997E-4</v>
      </c>
      <c r="AM48" s="74">
        <v>8.2184100000000002E-4</v>
      </c>
      <c r="AN48" s="74">
        <v>8.0905729999999996E-4</v>
      </c>
      <c r="AO48" s="74">
        <v>7.9645210000000004E-4</v>
      </c>
      <c r="AP48" s="74">
        <v>7.8402430000000002E-4</v>
      </c>
      <c r="AQ48" s="74">
        <v>7.7177270000000002E-4</v>
      </c>
      <c r="AR48" s="74">
        <v>7.5969600000000003E-4</v>
      </c>
      <c r="AS48" s="74">
        <v>7.477928E-4</v>
      </c>
      <c r="AT48" s="74">
        <v>7.3606170000000001E-4</v>
      </c>
      <c r="AU48" s="74">
        <v>7.2450119999999997E-4</v>
      </c>
      <c r="AV48" s="74">
        <v>7.1310969999999999E-4</v>
      </c>
      <c r="AW48" s="74">
        <v>7.0188550000000003E-4</v>
      </c>
      <c r="AX48" s="74">
        <v>6.9082710000000001E-4</v>
      </c>
      <c r="AY48" s="74">
        <v>6.7993260000000005E-4</v>
      </c>
      <c r="AZ48" s="74">
        <v>6.6920040000000003E-4</v>
      </c>
      <c r="BA48" s="74">
        <v>6.5862869999999999E-4</v>
      </c>
      <c r="BB48" s="74">
        <v>6.4821569999999997E-4</v>
      </c>
      <c r="BC48" s="74">
        <v>6.3795949999999996E-4</v>
      </c>
      <c r="BD48" s="74">
        <v>6.2785830000000001E-4</v>
      </c>
      <c r="BE48" s="74">
        <v>6.1791030000000005E-4</v>
      </c>
      <c r="BF48" s="74">
        <v>6.0811359999999996E-4</v>
      </c>
      <c r="BG48" s="74">
        <v>5.9846629999999997E-4</v>
      </c>
      <c r="BH48" s="74">
        <v>5.889666E-4</v>
      </c>
      <c r="BI48" s="74">
        <v>5.7961239999999999E-4</v>
      </c>
      <c r="BJ48" s="74">
        <v>5.7040210000000005E-4</v>
      </c>
      <c r="BK48" s="74">
        <v>5.613336E-4</v>
      </c>
      <c r="BL48" s="74">
        <v>5.5240509999999999E-4</v>
      </c>
      <c r="BM48" s="74">
        <v>5.4361470000000001E-4</v>
      </c>
      <c r="BN48" s="74">
        <v>5.3496049999999997E-4</v>
      </c>
      <c r="BO48" s="74">
        <v>5.264407E-4</v>
      </c>
      <c r="BP48" s="74">
        <v>5.1805340000000001E-4</v>
      </c>
      <c r="BQ48" s="74">
        <v>5.0979680000000002E-4</v>
      </c>
      <c r="BR48" s="74">
        <v>5.0166900000000005E-4</v>
      </c>
      <c r="BS48" s="74">
        <v>4.9366809999999998E-4</v>
      </c>
      <c r="BT48" s="74">
        <v>4.8579249999999998E-4</v>
      </c>
      <c r="BU48" s="74">
        <v>4.7804020000000001E-4</v>
      </c>
      <c r="BV48" s="74">
        <v>4.7040960000000002E-4</v>
      </c>
      <c r="BW48" s="74">
        <v>4.6289870000000002E-4</v>
      </c>
      <c r="BX48" s="74">
        <v>4.55506E-4</v>
      </c>
      <c r="BY48" s="74">
        <v>4.4822960000000001E-4</v>
      </c>
      <c r="BZ48" s="74">
        <v>4.4106780000000001E-4</v>
      </c>
      <c r="CA48" s="74">
        <v>4.3401900000000001E-4</v>
      </c>
      <c r="CB48" s="74">
        <v>4.2708139999999997E-4</v>
      </c>
      <c r="CC48" s="74">
        <v>4.2025340000000002E-4</v>
      </c>
      <c r="CD48" s="74">
        <v>4.1353339999999997E-4</v>
      </c>
      <c r="CE48" s="74">
        <v>4.0691970000000002E-4</v>
      </c>
      <c r="CF48" s="74">
        <v>4.0041069999999999E-4</v>
      </c>
      <c r="CG48" s="74">
        <v>3.9400479999999999E-4</v>
      </c>
      <c r="CH48" s="74">
        <v>3.8770040000000002E-4</v>
      </c>
      <c r="CI48" s="74">
        <v>3.8149609999999997E-4</v>
      </c>
      <c r="CJ48" s="74">
        <v>3.7539030000000002E-4</v>
      </c>
      <c r="CK48" s="74">
        <v>3.6938139999999998E-4</v>
      </c>
      <c r="CL48" s="74">
        <v>3.6346799999999998E-4</v>
      </c>
      <c r="CM48" s="74">
        <v>3.576486E-4</v>
      </c>
      <c r="CN48" s="74">
        <v>3.519218E-4</v>
      </c>
      <c r="CO48" s="74">
        <v>3.4628600000000001E-4</v>
      </c>
      <c r="CP48" s="74">
        <v>3.407401E-4</v>
      </c>
      <c r="CQ48" s="74">
        <v>3.3528239999999998E-4</v>
      </c>
      <c r="CR48" s="74">
        <v>3.2991169999999997E-4</v>
      </c>
      <c r="CS48" s="74">
        <v>3.2462650000000001E-4</v>
      </c>
      <c r="CT48" s="74">
        <v>3.1942560000000001E-4</v>
      </c>
      <c r="CU48" s="74">
        <v>3.1430770000000002E-4</v>
      </c>
      <c r="CV48" s="74">
        <v>3.0927139999999999E-4</v>
      </c>
      <c r="CW48" s="74">
        <v>3.043155E-4</v>
      </c>
      <c r="CX48" s="74">
        <v>2.9943869999999998E-4</v>
      </c>
      <c r="CY48" s="74">
        <v>2.9463969999999999E-4</v>
      </c>
      <c r="CZ48" s="74">
        <v>2.8991740000000002E-4</v>
      </c>
      <c r="DA48" s="74">
        <v>2.8527050000000002E-4</v>
      </c>
      <c r="DB48" s="74">
        <v>2.8069789999999998E-4</v>
      </c>
      <c r="DC48" s="74">
        <v>2.7619830000000001E-4</v>
      </c>
      <c r="DD48" s="74">
        <v>2.717706E-4</v>
      </c>
      <c r="DE48" s="74">
        <v>2.6741379999999998E-4</v>
      </c>
      <c r="DF48" s="74">
        <v>2.6312660000000002E-4</v>
      </c>
      <c r="DG48" s="74">
        <v>2.5890789999999999E-4</v>
      </c>
      <c r="DH48" s="74">
        <v>2.5475679999999997E-4</v>
      </c>
      <c r="DI48" s="74">
        <v>2.5067200000000002E-4</v>
      </c>
      <c r="DJ48" s="74">
        <v>2.4665260000000002E-4</v>
      </c>
      <c r="DK48" s="74">
        <v>2.4269750000000001E-4</v>
      </c>
      <c r="DL48" s="74">
        <v>2.388058E-4</v>
      </c>
      <c r="DM48" s="74">
        <v>2.3497629999999999E-4</v>
      </c>
      <c r="DN48" s="74">
        <v>2.3120810000000001E-4</v>
      </c>
      <c r="DO48" s="74">
        <v>2.2750019999999999E-4</v>
      </c>
      <c r="DP48" s="74">
        <v>2.2385180000000001E-4</v>
      </c>
      <c r="DQ48" s="74">
        <v>2.2026169999999999E-4</v>
      </c>
      <c r="DR48" s="74">
        <v>2.1672910000000001E-4</v>
      </c>
      <c r="DS48" s="74">
        <v>2.1325310000000001E-4</v>
      </c>
      <c r="DT48" s="74">
        <v>2.0983279999999999E-4</v>
      </c>
      <c r="DU48" s="74">
        <v>2.0646729999999999E-4</v>
      </c>
      <c r="DV48" s="74">
        <v>2.031557E-4</v>
      </c>
      <c r="DW48" s="74">
        <v>1.998972E-4</v>
      </c>
      <c r="DX48" s="74">
        <v>1.9669079999999999E-4</v>
      </c>
      <c r="DY48" s="74">
        <v>1.935359E-4</v>
      </c>
      <c r="DZ48" s="74">
        <v>1.904315E-4</v>
      </c>
      <c r="EA48" s="74">
        <v>1.873768E-4</v>
      </c>
      <c r="EB48" s="74">
        <v>1.843712E-4</v>
      </c>
      <c r="EC48" s="74">
        <v>1.8141359999999999E-4</v>
      </c>
      <c r="ED48" s="74">
        <v>1.785035E-4</v>
      </c>
      <c r="EE48" s="74">
        <v>1.756401E-4</v>
      </c>
      <c r="EF48" s="74">
        <v>1.728225E-4</v>
      </c>
      <c r="EG48" s="74">
        <v>1.7005009999999999E-4</v>
      </c>
      <c r="EH48" s="74">
        <v>1.6732220000000001E-4</v>
      </c>
      <c r="EI48" s="74">
        <v>1.6463799999999999E-4</v>
      </c>
      <c r="EJ48" s="74">
        <v>1.619968E-4</v>
      </c>
      <c r="EK48" s="74">
        <v>1.5939789999999999E-4</v>
      </c>
      <c r="EL48" s="74">
        <v>1.568408E-4</v>
      </c>
      <c r="EM48" s="74">
        <v>1.543246E-4</v>
      </c>
      <c r="EN48" s="74">
        <v>1.518488E-4</v>
      </c>
      <c r="EO48" s="74">
        <v>1.4941269999999999E-4</v>
      </c>
      <c r="EP48" s="74">
        <v>1.4701570000000001E-4</v>
      </c>
      <c r="EQ48" s="74">
        <v>1.446571E-4</v>
      </c>
      <c r="ER48" s="74">
        <v>1.4233630000000001E-4</v>
      </c>
      <c r="ES48" s="74">
        <v>1.4005269999999999E-4</v>
      </c>
      <c r="ET48" s="74">
        <v>1.3780579999999999E-4</v>
      </c>
      <c r="EU48" s="74">
        <v>1.3559490000000001E-4</v>
      </c>
      <c r="EV48" s="74">
        <v>1.3341939999999999E-4</v>
      </c>
      <c r="EW48" s="74">
        <v>1.3127890000000001E-4</v>
      </c>
      <c r="EX48" s="74">
        <v>1.2917270000000001E-4</v>
      </c>
      <c r="EY48" s="74">
        <v>1.2710020000000001E-4</v>
      </c>
      <c r="EZ48" s="74">
        <v>1.2506099999999999E-4</v>
      </c>
      <c r="FA48" s="74">
        <v>1.230545E-4</v>
      </c>
      <c r="FB48" s="74">
        <v>1.210802E-4</v>
      </c>
      <c r="FC48" s="74">
        <v>1.191376E-4</v>
      </c>
      <c r="FD48" s="74">
        <v>1.172261E-4</v>
      </c>
      <c r="FE48" s="74">
        <v>1.1534529999999999E-4</v>
      </c>
      <c r="FF48" s="74">
        <v>1.134947E-4</v>
      </c>
      <c r="FG48" s="74">
        <v>1.1167369999999999E-4</v>
      </c>
      <c r="FH48" s="74">
        <v>1.09882E-4</v>
      </c>
      <c r="FI48" s="74">
        <v>1.0811890000000001E-4</v>
      </c>
      <c r="FJ48" s="74">
        <v>1.063842E-4</v>
      </c>
      <c r="FK48" s="74">
        <v>1.0467729999999999E-4</v>
      </c>
      <c r="FL48" s="74">
        <v>1.0299780000000001E-4</v>
      </c>
      <c r="FM48" s="74">
        <v>1.013452E-4</v>
      </c>
      <c r="FN48" s="74">
        <v>9.9719199999999999E-5</v>
      </c>
      <c r="FO48" s="74">
        <v>9.8119200000000001E-5</v>
      </c>
      <c r="FP48" s="74">
        <v>9.6544899999999998E-5</v>
      </c>
      <c r="FQ48" s="74">
        <v>9.4995900000000003E-5</v>
      </c>
    </row>
    <row r="49" spans="1:173" x14ac:dyDescent="0.25">
      <c r="A49" s="76">
        <v>47</v>
      </c>
      <c r="B49" s="74">
        <v>1.5456714999999999E-3</v>
      </c>
      <c r="C49" s="74">
        <v>1.5261506E-3</v>
      </c>
      <c r="D49" s="74">
        <v>1.5066043E-3</v>
      </c>
      <c r="E49" s="74">
        <v>1.4870536000000001E-3</v>
      </c>
      <c r="F49" s="74">
        <v>1.4675183E-3</v>
      </c>
      <c r="G49" s="74">
        <v>1.4480166000000001E-3</v>
      </c>
      <c r="H49" s="74">
        <v>1.4285654E-3</v>
      </c>
      <c r="I49" s="74">
        <v>1.4091802E-3</v>
      </c>
      <c r="J49" s="74">
        <v>1.3898754E-3</v>
      </c>
      <c r="K49" s="74">
        <v>1.3706642E-3</v>
      </c>
      <c r="L49" s="74">
        <v>1.3515589E-3</v>
      </c>
      <c r="M49" s="74">
        <v>1.3325704000000001E-3</v>
      </c>
      <c r="N49" s="74">
        <v>1.3137091E-3</v>
      </c>
      <c r="O49" s="74">
        <v>1.2949840999999999E-3</v>
      </c>
      <c r="P49" s="74">
        <v>1.2764039E-3</v>
      </c>
      <c r="Q49" s="74">
        <v>1.2579761999999999E-3</v>
      </c>
      <c r="R49" s="74">
        <v>1.2397078999999999E-3</v>
      </c>
      <c r="S49" s="74">
        <v>1.2216053000000001E-3</v>
      </c>
      <c r="T49" s="74">
        <v>1.2036738E-3</v>
      </c>
      <c r="U49" s="74">
        <v>1.1859183999999999E-3</v>
      </c>
      <c r="V49" s="74">
        <v>1.1683436000000001E-3</v>
      </c>
      <c r="W49" s="74">
        <v>1.1509533E-3</v>
      </c>
      <c r="X49" s="74">
        <v>1.1337509000000001E-3</v>
      </c>
      <c r="Y49" s="74">
        <v>1.1167391999999999E-3</v>
      </c>
      <c r="Z49" s="74">
        <v>1.0999207999999999E-3</v>
      </c>
      <c r="AA49" s="74">
        <v>1.0832978E-3</v>
      </c>
      <c r="AB49" s="74">
        <v>1.0668718999999999E-3</v>
      </c>
      <c r="AC49" s="74">
        <v>1.0506446000000001E-3</v>
      </c>
      <c r="AD49" s="74">
        <v>1.034617E-3</v>
      </c>
      <c r="AE49" s="74">
        <v>1.0187898E-3</v>
      </c>
      <c r="AF49" s="74">
        <v>1.0031635E-3</v>
      </c>
      <c r="AG49" s="74">
        <v>9.8773859999999993E-4</v>
      </c>
      <c r="AH49" s="74">
        <v>9.7251490000000004E-4</v>
      </c>
      <c r="AI49" s="74">
        <v>9.5749229999999999E-4</v>
      </c>
      <c r="AJ49" s="74">
        <v>9.4267050000000001E-4</v>
      </c>
      <c r="AK49" s="74">
        <v>9.2804889999999998E-4</v>
      </c>
      <c r="AL49" s="74">
        <v>9.1362690000000005E-4</v>
      </c>
      <c r="AM49" s="74">
        <v>8.9940340000000004E-4</v>
      </c>
      <c r="AN49" s="74">
        <v>8.8537760000000001E-4</v>
      </c>
      <c r="AO49" s="74">
        <v>8.7154829999999998E-4</v>
      </c>
      <c r="AP49" s="74">
        <v>8.5791429999999998E-4</v>
      </c>
      <c r="AQ49" s="74">
        <v>8.4447419999999997E-4</v>
      </c>
      <c r="AR49" s="74">
        <v>8.312266E-4</v>
      </c>
      <c r="AS49" s="74">
        <v>8.1816989999999997E-4</v>
      </c>
      <c r="AT49" s="74">
        <v>8.0530249999999999E-4</v>
      </c>
      <c r="AU49" s="74">
        <v>7.9262280000000004E-4</v>
      </c>
      <c r="AV49" s="74">
        <v>7.8012899999999996E-4</v>
      </c>
      <c r="AW49" s="74">
        <v>7.6781929999999998E-4</v>
      </c>
      <c r="AX49" s="74">
        <v>7.5569190000000005E-4</v>
      </c>
      <c r="AY49" s="74">
        <v>7.4374480000000001E-4</v>
      </c>
      <c r="AZ49" s="74">
        <v>7.3197620000000003E-4</v>
      </c>
      <c r="BA49" s="74">
        <v>7.2038400000000002E-4</v>
      </c>
      <c r="BB49" s="74">
        <v>7.089663E-4</v>
      </c>
      <c r="BC49" s="74">
        <v>6.9772110000000003E-4</v>
      </c>
      <c r="BD49" s="74">
        <v>6.8664639999999999E-4</v>
      </c>
      <c r="BE49" s="74">
        <v>6.7573999999999998E-4</v>
      </c>
      <c r="BF49" s="74">
        <v>6.6499989999999998E-4</v>
      </c>
      <c r="BG49" s="74">
        <v>6.5442409999999995E-4</v>
      </c>
      <c r="BH49" s="74">
        <v>6.4401050000000004E-4</v>
      </c>
      <c r="BI49" s="74">
        <v>6.3375689999999995E-4</v>
      </c>
      <c r="BJ49" s="74">
        <v>6.2366139999999999E-4</v>
      </c>
      <c r="BK49" s="74">
        <v>6.1372170000000004E-4</v>
      </c>
      <c r="BL49" s="74">
        <v>6.0393589999999998E-4</v>
      </c>
      <c r="BM49" s="74">
        <v>5.9430189999999997E-4</v>
      </c>
      <c r="BN49" s="74">
        <v>5.8481750000000002E-4</v>
      </c>
      <c r="BO49" s="74">
        <v>5.7548080000000001E-4</v>
      </c>
      <c r="BP49" s="74">
        <v>5.6628970000000001E-4</v>
      </c>
      <c r="BQ49" s="74">
        <v>5.5724210000000004E-4</v>
      </c>
      <c r="BR49" s="74">
        <v>5.483361E-4</v>
      </c>
      <c r="BS49" s="74">
        <v>5.395695E-4</v>
      </c>
      <c r="BT49" s="74">
        <v>5.3094049999999999E-4</v>
      </c>
      <c r="BU49" s="74">
        <v>5.2244699999999999E-4</v>
      </c>
      <c r="BV49" s="74">
        <v>5.1408710000000002E-4</v>
      </c>
      <c r="BW49" s="74">
        <v>5.0585880000000004E-4</v>
      </c>
      <c r="BX49" s="74">
        <v>4.9776010000000001E-4</v>
      </c>
      <c r="BY49" s="74">
        <v>4.8978930000000002E-4</v>
      </c>
      <c r="BZ49" s="74">
        <v>4.8194429999999999E-4</v>
      </c>
      <c r="CA49" s="74">
        <v>4.7422339999999999E-4</v>
      </c>
      <c r="CB49" s="74">
        <v>4.666246E-4</v>
      </c>
      <c r="CC49" s="74">
        <v>4.5914620000000003E-4</v>
      </c>
      <c r="CD49" s="74">
        <v>4.5178630000000002E-4</v>
      </c>
      <c r="CE49" s="74">
        <v>4.4454310000000002E-4</v>
      </c>
      <c r="CF49" s="74">
        <v>4.3741489999999999E-4</v>
      </c>
      <c r="CG49" s="74">
        <v>4.3039990000000002E-4</v>
      </c>
      <c r="CH49" s="74">
        <v>4.2349640000000001E-4</v>
      </c>
      <c r="CI49" s="74">
        <v>4.1670269999999999E-4</v>
      </c>
      <c r="CJ49" s="74">
        <v>4.1001699999999999E-4</v>
      </c>
      <c r="CK49" s="74">
        <v>4.0343790000000002E-4</v>
      </c>
      <c r="CL49" s="74">
        <v>3.9696350000000002E-4</v>
      </c>
      <c r="CM49" s="74">
        <v>3.9059229999999998E-4</v>
      </c>
      <c r="CN49" s="74">
        <v>3.8432260000000003E-4</v>
      </c>
      <c r="CO49" s="74">
        <v>3.78153E-4</v>
      </c>
      <c r="CP49" s="74">
        <v>3.720819E-4</v>
      </c>
      <c r="CQ49" s="74">
        <v>3.661076E-4</v>
      </c>
      <c r="CR49" s="74">
        <v>3.6022879999999998E-4</v>
      </c>
      <c r="CS49" s="74">
        <v>3.544439E-4</v>
      </c>
      <c r="CT49" s="74">
        <v>3.4875150000000002E-4</v>
      </c>
      <c r="CU49" s="74">
        <v>3.4315000000000002E-4</v>
      </c>
      <c r="CV49" s="74">
        <v>3.3763819999999998E-4</v>
      </c>
      <c r="CW49" s="74">
        <v>3.3221450000000001E-4</v>
      </c>
      <c r="CX49" s="74">
        <v>3.268775E-4</v>
      </c>
      <c r="CY49" s="74">
        <v>3.2162599999999999E-4</v>
      </c>
      <c r="CZ49" s="74">
        <v>3.1645860000000003E-4</v>
      </c>
      <c r="DA49" s="74">
        <v>3.1137390000000002E-4</v>
      </c>
      <c r="DB49" s="74">
        <v>3.063707E-4</v>
      </c>
      <c r="DC49" s="74">
        <v>3.0144759999999998E-4</v>
      </c>
      <c r="DD49" s="74">
        <v>2.9660340000000002E-4</v>
      </c>
      <c r="DE49" s="74">
        <v>2.9183680000000002E-4</v>
      </c>
      <c r="DF49" s="74">
        <v>2.8714659999999999E-4</v>
      </c>
      <c r="DG49" s="74">
        <v>2.8253160000000002E-4</v>
      </c>
      <c r="DH49" s="74">
        <v>2.7799059999999997E-4</v>
      </c>
      <c r="DI49" s="74">
        <v>2.7352250000000001E-4</v>
      </c>
      <c r="DJ49" s="74">
        <v>2.6912600000000001E-4</v>
      </c>
      <c r="DK49" s="74">
        <v>2.6479999999999999E-4</v>
      </c>
      <c r="DL49" s="74">
        <v>2.6054339999999999E-4</v>
      </c>
      <c r="DM49" s="74">
        <v>2.5635509999999997E-4</v>
      </c>
      <c r="DN49" s="74">
        <v>2.5223409999999998E-4</v>
      </c>
      <c r="DO49" s="74">
        <v>2.4817920000000002E-4</v>
      </c>
      <c r="DP49" s="74">
        <v>2.4418930000000001E-4</v>
      </c>
      <c r="DQ49" s="74">
        <v>2.4026350000000001E-4</v>
      </c>
      <c r="DR49" s="74">
        <v>2.364008E-4</v>
      </c>
      <c r="DS49" s="74">
        <v>2.3259999999999999E-4</v>
      </c>
      <c r="DT49" s="74">
        <v>2.2886029999999999E-4</v>
      </c>
      <c r="DU49" s="74">
        <v>2.251806E-4</v>
      </c>
      <c r="DV49" s="74">
        <v>2.2156000000000001E-4</v>
      </c>
      <c r="DW49" s="74">
        <v>2.1799760000000001E-4</v>
      </c>
      <c r="DX49" s="74">
        <v>2.1449239999999999E-4</v>
      </c>
      <c r="DY49" s="74">
        <v>2.1104350000000001E-4</v>
      </c>
      <c r="DZ49" s="74">
        <v>2.0765000000000001E-4</v>
      </c>
      <c r="EA49" s="74">
        <v>2.0431099999999999E-4</v>
      </c>
      <c r="EB49" s="74">
        <v>2.0102569999999999E-4</v>
      </c>
      <c r="EC49" s="74">
        <v>1.977932E-4</v>
      </c>
      <c r="ED49" s="74">
        <v>1.9461249999999999E-4</v>
      </c>
      <c r="EE49" s="74">
        <v>1.91483E-4</v>
      </c>
      <c r="EF49" s="74">
        <v>1.8840379999999999E-4</v>
      </c>
      <c r="EG49" s="74">
        <v>1.8537410000000001E-4</v>
      </c>
      <c r="EH49" s="74">
        <v>1.8239299999999999E-4</v>
      </c>
      <c r="EI49" s="74">
        <v>1.7945990000000001E-4</v>
      </c>
      <c r="EJ49" s="74">
        <v>1.765739E-4</v>
      </c>
      <c r="EK49" s="74">
        <v>1.7373430000000001E-4</v>
      </c>
      <c r="EL49" s="74">
        <v>1.7094030000000001E-4</v>
      </c>
      <c r="EM49" s="74">
        <v>1.6819130000000001E-4</v>
      </c>
      <c r="EN49" s="74">
        <v>1.6548640000000001E-4</v>
      </c>
      <c r="EO49" s="74">
        <v>1.6282499999999999E-4</v>
      </c>
      <c r="EP49" s="74">
        <v>1.602064E-4</v>
      </c>
      <c r="EQ49" s="74">
        <v>1.5762990000000001E-4</v>
      </c>
      <c r="ER49" s="74">
        <v>1.5509479999999999E-4</v>
      </c>
      <c r="ES49" s="74">
        <v>1.526005E-4</v>
      </c>
      <c r="ET49" s="74">
        <v>1.501463E-4</v>
      </c>
      <c r="EU49" s="74">
        <v>1.4773149999999999E-4</v>
      </c>
      <c r="EV49" s="74">
        <v>1.4535549999999999E-4</v>
      </c>
      <c r="EW49" s="74">
        <v>1.430178E-4</v>
      </c>
      <c r="EX49" s="74">
        <v>1.4071759999999999E-4</v>
      </c>
      <c r="EY49" s="74">
        <v>1.3845439999999999E-4</v>
      </c>
      <c r="EZ49" s="74">
        <v>1.3622760000000001E-4</v>
      </c>
      <c r="FA49" s="74">
        <v>1.3403659999999999E-4</v>
      </c>
      <c r="FB49" s="74">
        <v>1.318809E-4</v>
      </c>
      <c r="FC49" s="74">
        <v>1.2975979999999999E-4</v>
      </c>
      <c r="FD49" s="74">
        <v>1.2767280000000001E-4</v>
      </c>
      <c r="FE49" s="74">
        <v>1.2561930000000001E-4</v>
      </c>
      <c r="FF49" s="74">
        <v>1.235989E-4</v>
      </c>
      <c r="FG49" s="74">
        <v>1.21611E-4</v>
      </c>
      <c r="FH49" s="74">
        <v>1.1965500000000001E-4</v>
      </c>
      <c r="FI49" s="74">
        <v>1.1773049999999999E-4</v>
      </c>
      <c r="FJ49" s="74">
        <v>1.15837E-4</v>
      </c>
      <c r="FK49" s="74">
        <v>1.139739E-4</v>
      </c>
      <c r="FL49" s="74">
        <v>1.121407E-4</v>
      </c>
      <c r="FM49" s="74">
        <v>1.103371E-4</v>
      </c>
      <c r="FN49" s="74">
        <v>1.085624E-4</v>
      </c>
      <c r="FO49" s="74">
        <v>1.068163E-4</v>
      </c>
      <c r="FP49" s="74">
        <v>1.050982E-4</v>
      </c>
      <c r="FQ49" s="74">
        <v>1.034078E-4</v>
      </c>
    </row>
    <row r="50" spans="1:173" x14ac:dyDescent="0.25">
      <c r="A50" s="76">
        <v>48</v>
      </c>
      <c r="B50" s="74">
        <v>1.6814172E-3</v>
      </c>
      <c r="C50" s="74">
        <v>1.6592139E-3</v>
      </c>
      <c r="D50" s="74">
        <v>1.6370568000000001E-3</v>
      </c>
      <c r="E50" s="74">
        <v>1.6149646E-3</v>
      </c>
      <c r="F50" s="74">
        <v>1.5929544000000001E-3</v>
      </c>
      <c r="G50" s="74">
        <v>1.5710419999999999E-3</v>
      </c>
      <c r="H50" s="74">
        <v>1.5492419999999999E-3</v>
      </c>
      <c r="I50" s="74">
        <v>1.5275676000000001E-3</v>
      </c>
      <c r="J50" s="74">
        <v>1.5060310999999999E-3</v>
      </c>
      <c r="K50" s="74">
        <v>1.4846436000000001E-3</v>
      </c>
      <c r="L50" s="74">
        <v>1.4634153999999999E-3</v>
      </c>
      <c r="M50" s="74">
        <v>1.4423556E-3</v>
      </c>
      <c r="N50" s="74">
        <v>1.4214725E-3</v>
      </c>
      <c r="O50" s="74">
        <v>1.4007738E-3</v>
      </c>
      <c r="P50" s="74">
        <v>1.3802662000000001E-3</v>
      </c>
      <c r="Q50" s="74">
        <v>1.3599557E-3</v>
      </c>
      <c r="R50" s="74">
        <v>1.3398478E-3</v>
      </c>
      <c r="S50" s="74">
        <v>1.3199472E-3</v>
      </c>
      <c r="T50" s="74">
        <v>1.3002580999999999E-3</v>
      </c>
      <c r="U50" s="74">
        <v>1.2807840999999999E-3</v>
      </c>
      <c r="V50" s="74">
        <v>1.2615284E-3</v>
      </c>
      <c r="W50" s="74">
        <v>1.2424936000000001E-3</v>
      </c>
      <c r="X50" s="74">
        <v>1.2236819E-3</v>
      </c>
      <c r="Y50" s="74">
        <v>1.2050953000000001E-3</v>
      </c>
      <c r="Z50" s="74">
        <v>1.1867351E-3</v>
      </c>
      <c r="AA50" s="74">
        <v>1.1686024000000001E-3</v>
      </c>
      <c r="AB50" s="74">
        <v>1.1506979999999999E-3</v>
      </c>
      <c r="AC50" s="74">
        <v>1.1330225E-3</v>
      </c>
      <c r="AD50" s="74">
        <v>1.1155759E-3</v>
      </c>
      <c r="AE50" s="74">
        <v>1.0983582000000001E-3</v>
      </c>
      <c r="AF50" s="74">
        <v>1.0813693000000001E-3</v>
      </c>
      <c r="AG50" s="74">
        <v>1.0646084E-3</v>
      </c>
      <c r="AH50" s="74">
        <v>1.0480750000000001E-3</v>
      </c>
      <c r="AI50" s="74">
        <v>1.0317682E-3</v>
      </c>
      <c r="AJ50" s="74">
        <v>1.0156869999999999E-3</v>
      </c>
      <c r="AK50" s="74">
        <v>9.9982999999999995E-4</v>
      </c>
      <c r="AL50" s="74">
        <v>9.841959999999999E-4</v>
      </c>
      <c r="AM50" s="74">
        <v>9.6878350000000003E-4</v>
      </c>
      <c r="AN50" s="74">
        <v>9.5359100000000005E-4</v>
      </c>
      <c r="AO50" s="74">
        <v>9.3861669999999999E-4</v>
      </c>
      <c r="AP50" s="74">
        <v>9.2385890000000004E-4</v>
      </c>
      <c r="AQ50" s="74">
        <v>9.0931560000000005E-4</v>
      </c>
      <c r="AR50" s="74">
        <v>8.9498500000000005E-4</v>
      </c>
      <c r="AS50" s="74">
        <v>8.8086510000000002E-4</v>
      </c>
      <c r="AT50" s="74">
        <v>8.6695369999999997E-4</v>
      </c>
      <c r="AU50" s="74">
        <v>8.5324879999999997E-4</v>
      </c>
      <c r="AV50" s="74">
        <v>8.3974820000000004E-4</v>
      </c>
      <c r="AW50" s="74">
        <v>8.2644960000000003E-4</v>
      </c>
      <c r="AX50" s="74">
        <v>8.1335079999999996E-4</v>
      </c>
      <c r="AY50" s="74">
        <v>8.0044960000000005E-4</v>
      </c>
      <c r="AZ50" s="74">
        <v>7.8774360000000002E-4</v>
      </c>
      <c r="BA50" s="74">
        <v>7.7523049999999997E-4</v>
      </c>
      <c r="BB50" s="74">
        <v>7.6290799999999997E-4</v>
      </c>
      <c r="BC50" s="74">
        <v>7.5077379999999999E-4</v>
      </c>
      <c r="BD50" s="74">
        <v>7.3882530000000002E-4</v>
      </c>
      <c r="BE50" s="74">
        <v>7.270604E-4</v>
      </c>
      <c r="BF50" s="74">
        <v>7.1547660000000003E-4</v>
      </c>
      <c r="BG50" s="74">
        <v>7.0407149999999997E-4</v>
      </c>
      <c r="BH50" s="74">
        <v>6.9284279999999999E-4</v>
      </c>
      <c r="BI50" s="74">
        <v>6.8178810000000005E-4</v>
      </c>
      <c r="BJ50" s="74">
        <v>6.7090509999999999E-4</v>
      </c>
      <c r="BK50" s="74">
        <v>6.601914E-4</v>
      </c>
      <c r="BL50" s="74">
        <v>6.4964459999999999E-4</v>
      </c>
      <c r="BM50" s="74">
        <v>6.3926249999999999E-4</v>
      </c>
      <c r="BN50" s="74">
        <v>6.2904270000000003E-4</v>
      </c>
      <c r="BO50" s="74">
        <v>6.189829E-4</v>
      </c>
      <c r="BP50" s="74">
        <v>6.090809E-4</v>
      </c>
      <c r="BQ50" s="74">
        <v>5.9933429999999997E-4</v>
      </c>
      <c r="BR50" s="74">
        <v>5.8974099999999996E-4</v>
      </c>
      <c r="BS50" s="74">
        <v>5.8029869999999995E-4</v>
      </c>
      <c r="BT50" s="74">
        <v>5.7100510000000001E-4</v>
      </c>
      <c r="BU50" s="74">
        <v>5.618582E-4</v>
      </c>
      <c r="BV50" s="74">
        <v>5.5285580000000005E-4</v>
      </c>
      <c r="BW50" s="74">
        <v>5.4399560000000001E-4</v>
      </c>
      <c r="BX50" s="74">
        <v>5.3527559999999997E-4</v>
      </c>
      <c r="BY50" s="74">
        <v>5.2669369999999997E-4</v>
      </c>
      <c r="BZ50" s="74">
        <v>5.1824779999999995E-4</v>
      </c>
      <c r="CA50" s="74">
        <v>5.0993589999999997E-4</v>
      </c>
      <c r="CB50" s="74">
        <v>5.0175589999999998E-4</v>
      </c>
      <c r="CC50" s="74">
        <v>4.9370589999999997E-4</v>
      </c>
      <c r="CD50" s="74">
        <v>4.8578370000000002E-4</v>
      </c>
      <c r="CE50" s="74">
        <v>4.7798760000000002E-4</v>
      </c>
      <c r="CF50" s="74">
        <v>4.703156E-4</v>
      </c>
      <c r="CG50" s="74">
        <v>4.6276569999999999E-4</v>
      </c>
      <c r="CH50" s="74">
        <v>4.5533610000000001E-4</v>
      </c>
      <c r="CI50" s="74">
        <v>4.4802489999999997E-4</v>
      </c>
      <c r="CJ50" s="74">
        <v>4.4083030000000001E-4</v>
      </c>
      <c r="CK50" s="74">
        <v>4.3375050000000001E-4</v>
      </c>
      <c r="CL50" s="74">
        <v>4.2678369999999999E-4</v>
      </c>
      <c r="CM50" s="74">
        <v>4.1992819999999998E-4</v>
      </c>
      <c r="CN50" s="74">
        <v>4.1318209999999998E-4</v>
      </c>
      <c r="CO50" s="74">
        <v>4.0654390000000002E-4</v>
      </c>
      <c r="CP50" s="74">
        <v>4.0001179999999998E-4</v>
      </c>
      <c r="CQ50" s="74">
        <v>3.9358410000000003E-4</v>
      </c>
      <c r="CR50" s="74">
        <v>3.8725929999999998E-4</v>
      </c>
      <c r="CS50" s="74">
        <v>3.8103570000000002E-4</v>
      </c>
      <c r="CT50" s="74">
        <v>3.749116E-4</v>
      </c>
      <c r="CU50" s="74">
        <v>3.6888570000000002E-4</v>
      </c>
      <c r="CV50" s="74">
        <v>3.6295620000000001E-4</v>
      </c>
      <c r="CW50" s="74">
        <v>3.5712169999999998E-4</v>
      </c>
      <c r="CX50" s="74">
        <v>3.5138070000000001E-4</v>
      </c>
      <c r="CY50" s="74">
        <v>3.4573170000000002E-4</v>
      </c>
      <c r="CZ50" s="74">
        <v>3.401732E-4</v>
      </c>
      <c r="DA50" s="74">
        <v>3.3470389999999998E-4</v>
      </c>
      <c r="DB50" s="74">
        <v>3.2932220000000002E-4</v>
      </c>
      <c r="DC50" s="74">
        <v>3.2402690000000003E-4</v>
      </c>
      <c r="DD50" s="74">
        <v>3.1881649999999999E-4</v>
      </c>
      <c r="DE50" s="74">
        <v>3.1368960000000001E-4</v>
      </c>
      <c r="DF50" s="74">
        <v>3.086451E-4</v>
      </c>
      <c r="DG50" s="74">
        <v>3.0368149999999999E-4</v>
      </c>
      <c r="DH50" s="74">
        <v>2.9879759999999999E-4</v>
      </c>
      <c r="DI50" s="74">
        <v>2.9399199999999997E-4</v>
      </c>
      <c r="DJ50" s="74">
        <v>2.8926359999999999E-4</v>
      </c>
      <c r="DK50" s="74">
        <v>2.846112E-4</v>
      </c>
      <c r="DL50" s="74">
        <v>2.8003339999999998E-4</v>
      </c>
      <c r="DM50" s="74">
        <v>2.7552909999999998E-4</v>
      </c>
      <c r="DN50" s="74">
        <v>2.710972E-4</v>
      </c>
      <c r="DO50" s="74">
        <v>2.6673650000000001E-4</v>
      </c>
      <c r="DP50" s="74">
        <v>2.6244590000000002E-4</v>
      </c>
      <c r="DQ50" s="74">
        <v>2.5822410000000002E-4</v>
      </c>
      <c r="DR50" s="74">
        <v>2.5407020000000003E-4</v>
      </c>
      <c r="DS50" s="74">
        <v>2.4998300000000001E-4</v>
      </c>
      <c r="DT50" s="74">
        <v>2.4596159999999999E-4</v>
      </c>
      <c r="DU50" s="74">
        <v>2.420047E-4</v>
      </c>
      <c r="DV50" s="74">
        <v>2.381114E-4</v>
      </c>
      <c r="DW50" s="74">
        <v>2.3428070000000001E-4</v>
      </c>
      <c r="DX50" s="74">
        <v>2.3051159999999999E-4</v>
      </c>
      <c r="DY50" s="74">
        <v>2.2680310000000001E-4</v>
      </c>
      <c r="DZ50" s="74">
        <v>2.231542E-4</v>
      </c>
      <c r="EA50" s="74">
        <v>2.1956389999999999E-4</v>
      </c>
      <c r="EB50" s="74">
        <v>2.1603139999999999E-4</v>
      </c>
      <c r="EC50" s="74">
        <v>2.125556E-4</v>
      </c>
      <c r="ED50" s="74">
        <v>2.091358E-4</v>
      </c>
      <c r="EE50" s="74">
        <v>2.0577090000000001E-4</v>
      </c>
      <c r="EF50" s="74">
        <v>2.0246009999999999E-4</v>
      </c>
      <c r="EG50" s="74">
        <v>1.9920260000000001E-4</v>
      </c>
      <c r="EH50" s="74">
        <v>1.959974E-4</v>
      </c>
      <c r="EI50" s="74">
        <v>1.928438E-4</v>
      </c>
      <c r="EJ50" s="74">
        <v>1.8974089999999999E-4</v>
      </c>
      <c r="EK50" s="74">
        <v>1.8668790000000001E-4</v>
      </c>
      <c r="EL50" s="74">
        <v>1.8368409999999999E-4</v>
      </c>
      <c r="EM50" s="74">
        <v>1.8072849999999999E-4</v>
      </c>
      <c r="EN50" s="74">
        <v>1.778204E-4</v>
      </c>
      <c r="EO50" s="74">
        <v>1.7495919999999999E-4</v>
      </c>
      <c r="EP50" s="74">
        <v>1.7214389999999999E-4</v>
      </c>
      <c r="EQ50" s="74">
        <v>1.6937399999999999E-4</v>
      </c>
      <c r="ER50" s="74">
        <v>1.666486E-4</v>
      </c>
      <c r="ES50" s="74">
        <v>1.63967E-4</v>
      </c>
      <c r="ET50" s="74">
        <v>1.6132860000000001E-4</v>
      </c>
      <c r="EU50" s="74">
        <v>1.5873260000000001E-4</v>
      </c>
      <c r="EV50" s="74">
        <v>1.5617840000000001E-4</v>
      </c>
      <c r="EW50" s="74">
        <v>1.536652E-4</v>
      </c>
      <c r="EX50" s="74">
        <v>1.5119250000000001E-4</v>
      </c>
      <c r="EY50" s="74">
        <v>1.487596E-4</v>
      </c>
      <c r="EZ50" s="74">
        <v>1.463658E-4</v>
      </c>
      <c r="FA50" s="74">
        <v>1.4401050000000001E-4</v>
      </c>
      <c r="FB50" s="74">
        <v>1.4169310000000001E-4</v>
      </c>
      <c r="FC50" s="74">
        <v>1.3941299999999999E-4</v>
      </c>
      <c r="FD50" s="74">
        <v>1.3716959999999999E-4</v>
      </c>
      <c r="FE50" s="74">
        <v>1.3496229999999999E-4</v>
      </c>
      <c r="FF50" s="74">
        <v>1.3279040000000001E-4</v>
      </c>
      <c r="FG50" s="74">
        <v>1.3065360000000001E-4</v>
      </c>
      <c r="FH50" s="74">
        <v>1.285511E-4</v>
      </c>
      <c r="FI50" s="74">
        <v>1.264824E-4</v>
      </c>
      <c r="FJ50" s="74">
        <v>1.24447E-4</v>
      </c>
      <c r="FK50" s="74">
        <v>1.2244440000000001E-4</v>
      </c>
      <c r="FL50" s="74">
        <v>1.20474E-4</v>
      </c>
      <c r="FM50" s="74">
        <v>1.185353E-4</v>
      </c>
      <c r="FN50" s="74">
        <v>1.1662779999999999E-4</v>
      </c>
      <c r="FO50" s="74">
        <v>1.14751E-4</v>
      </c>
      <c r="FP50" s="74">
        <v>1.129043E-4</v>
      </c>
      <c r="FQ50" s="74">
        <v>1.110874E-4</v>
      </c>
    </row>
    <row r="51" spans="1:173" x14ac:dyDescent="0.25">
      <c r="A51" s="76">
        <v>49</v>
      </c>
      <c r="B51" s="74">
        <v>1.8348666000000001E-3</v>
      </c>
      <c r="C51" s="74">
        <v>1.8111691000000001E-3</v>
      </c>
      <c r="D51" s="74">
        <v>1.7874899000000001E-3</v>
      </c>
      <c r="E51" s="74">
        <v>1.7638511999999999E-3</v>
      </c>
      <c r="F51" s="74">
        <v>1.7402731999999999E-3</v>
      </c>
      <c r="G51" s="74">
        <v>1.7167746999999999E-3</v>
      </c>
      <c r="H51" s="74">
        <v>1.693373E-3</v>
      </c>
      <c r="I51" s="74">
        <v>1.6700840000000001E-3</v>
      </c>
      <c r="J51" s="74">
        <v>1.6469225000000001E-3</v>
      </c>
      <c r="K51" s="74">
        <v>1.6239017999999999E-3</v>
      </c>
      <c r="L51" s="74">
        <v>1.6010341999999999E-3</v>
      </c>
      <c r="M51" s="74">
        <v>1.5783309000000001E-3</v>
      </c>
      <c r="N51" s="74">
        <v>1.5558021E-3</v>
      </c>
      <c r="O51" s="74">
        <v>1.533457E-3</v>
      </c>
      <c r="P51" s="74">
        <v>1.511304E-3</v>
      </c>
      <c r="Q51" s="74">
        <v>1.4893505999999999E-3</v>
      </c>
      <c r="R51" s="74">
        <v>1.4676035E-3</v>
      </c>
      <c r="S51" s="74">
        <v>1.4460688000000001E-3</v>
      </c>
      <c r="T51" s="74">
        <v>1.4247518E-3</v>
      </c>
      <c r="U51" s="74">
        <v>1.4036572000000001E-3</v>
      </c>
      <c r="V51" s="74">
        <v>1.3827889999999999E-3</v>
      </c>
      <c r="W51" s="74">
        <v>1.3621509E-3</v>
      </c>
      <c r="X51" s="74">
        <v>1.341746E-3</v>
      </c>
      <c r="Y51" s="74">
        <v>1.3215766999999999E-3</v>
      </c>
      <c r="Z51" s="74">
        <v>1.3016451E-3</v>
      </c>
      <c r="AA51" s="74">
        <v>1.2819532E-3</v>
      </c>
      <c r="AB51" s="74">
        <v>1.262502E-3</v>
      </c>
      <c r="AC51" s="74">
        <v>1.2432927E-3</v>
      </c>
      <c r="AD51" s="74">
        <v>1.2243258999999999E-3</v>
      </c>
      <c r="AE51" s="74">
        <v>1.2056019E-3</v>
      </c>
      <c r="AF51" s="74">
        <v>1.1871208999999999E-3</v>
      </c>
      <c r="AG51" s="74">
        <v>1.1688826E-3</v>
      </c>
      <c r="AH51" s="74">
        <v>1.1508866E-3</v>
      </c>
      <c r="AI51" s="74">
        <v>1.1331322999999999E-3</v>
      </c>
      <c r="AJ51" s="74">
        <v>1.1156189E-3</v>
      </c>
      <c r="AK51" s="74">
        <v>1.0983453E-3</v>
      </c>
      <c r="AL51" s="74">
        <v>1.0813104E-3</v>
      </c>
      <c r="AM51" s="74">
        <v>1.0645126999999999E-3</v>
      </c>
      <c r="AN51" s="74">
        <v>1.0479509000000001E-3</v>
      </c>
      <c r="AO51" s="74">
        <v>1.0316232E-3</v>
      </c>
      <c r="AP51" s="74">
        <v>1.0155281E-3</v>
      </c>
      <c r="AQ51" s="74">
        <v>9.9966360000000002E-4</v>
      </c>
      <c r="AR51" s="74">
        <v>9.8402790000000004E-4</v>
      </c>
      <c r="AS51" s="74">
        <v>9.6861880000000003E-4</v>
      </c>
      <c r="AT51" s="74">
        <v>9.5343439999999999E-4</v>
      </c>
      <c r="AU51" s="74">
        <v>9.3847250000000004E-4</v>
      </c>
      <c r="AV51" s="74">
        <v>9.2373089999999998E-4</v>
      </c>
      <c r="AW51" s="74">
        <v>9.0920720000000005E-4</v>
      </c>
      <c r="AX51" s="74">
        <v>8.9489929999999999E-4</v>
      </c>
      <c r="AY51" s="74">
        <v>8.8080470000000003E-4</v>
      </c>
      <c r="AZ51" s="74">
        <v>8.6692099999999999E-4</v>
      </c>
      <c r="BA51" s="74">
        <v>8.5324589999999996E-4</v>
      </c>
      <c r="BB51" s="74">
        <v>8.3977689999999996E-4</v>
      </c>
      <c r="BC51" s="74">
        <v>8.265115E-4</v>
      </c>
      <c r="BD51" s="74">
        <v>8.1344719999999998E-4</v>
      </c>
      <c r="BE51" s="74">
        <v>8.0058169999999999E-4</v>
      </c>
      <c r="BF51" s="74">
        <v>7.8791219999999995E-4</v>
      </c>
      <c r="BG51" s="74">
        <v>7.7543649999999996E-4</v>
      </c>
      <c r="BH51" s="74">
        <v>7.6315189999999998E-4</v>
      </c>
      <c r="BI51" s="74">
        <v>7.5105599999999995E-4</v>
      </c>
      <c r="BJ51" s="74">
        <v>7.3914619999999995E-4</v>
      </c>
      <c r="BK51" s="74">
        <v>7.2742010000000003E-4</v>
      </c>
      <c r="BL51" s="74">
        <v>7.158752E-4</v>
      </c>
      <c r="BM51" s="74">
        <v>7.0450899999999997E-4</v>
      </c>
      <c r="BN51" s="74">
        <v>6.9331899999999997E-4</v>
      </c>
      <c r="BO51" s="74">
        <v>6.8230280000000003E-4</v>
      </c>
      <c r="BP51" s="74">
        <v>6.7145789999999996E-4</v>
      </c>
      <c r="BQ51" s="74">
        <v>6.6078199999999995E-4</v>
      </c>
      <c r="BR51" s="74">
        <v>6.5027260000000001E-4</v>
      </c>
      <c r="BS51" s="74">
        <v>6.3992740000000002E-4</v>
      </c>
      <c r="BT51" s="74">
        <v>6.2974389999999997E-4</v>
      </c>
      <c r="BU51" s="74">
        <v>6.197199E-4</v>
      </c>
      <c r="BV51" s="74">
        <v>6.0985300000000004E-4</v>
      </c>
      <c r="BW51" s="74">
        <v>6.0014080000000004E-4</v>
      </c>
      <c r="BX51" s="74">
        <v>5.9058129999999996E-4</v>
      </c>
      <c r="BY51" s="74">
        <v>5.8117200000000003E-4</v>
      </c>
      <c r="BZ51" s="74">
        <v>5.7191070000000004E-4</v>
      </c>
      <c r="CA51" s="74">
        <v>5.6279530000000004E-4</v>
      </c>
      <c r="CB51" s="74">
        <v>5.5382360000000004E-4</v>
      </c>
      <c r="CC51" s="74">
        <v>5.4499330000000001E-4</v>
      </c>
      <c r="CD51" s="74">
        <v>5.3630249999999996E-4</v>
      </c>
      <c r="CE51" s="74">
        <v>5.2774889999999996E-4</v>
      </c>
      <c r="CF51" s="74">
        <v>5.1933049999999998E-4</v>
      </c>
      <c r="CG51" s="74">
        <v>5.1104519999999997E-4</v>
      </c>
      <c r="CH51" s="74">
        <v>5.0289099999999999E-4</v>
      </c>
      <c r="CI51" s="74">
        <v>4.9486590000000002E-4</v>
      </c>
      <c r="CJ51" s="74">
        <v>4.8696790000000002E-4</v>
      </c>
      <c r="CK51" s="74">
        <v>4.7919519999999998E-4</v>
      </c>
      <c r="CL51" s="74">
        <v>4.7154560000000001E-4</v>
      </c>
      <c r="CM51" s="74">
        <v>4.6401739999999997E-4</v>
      </c>
      <c r="CN51" s="74">
        <v>4.5660870000000002E-4</v>
      </c>
      <c r="CO51" s="74">
        <v>4.4931749999999998E-4</v>
      </c>
      <c r="CP51" s="74">
        <v>4.4214219999999998E-4</v>
      </c>
      <c r="CQ51" s="74">
        <v>4.350809E-4</v>
      </c>
      <c r="CR51" s="74">
        <v>4.281318E-4</v>
      </c>
      <c r="CS51" s="74">
        <v>4.2129320000000001E-4</v>
      </c>
      <c r="CT51" s="74">
        <v>4.145633E-4</v>
      </c>
      <c r="CU51" s="74">
        <v>4.0794049999999998E-4</v>
      </c>
      <c r="CV51" s="74">
        <v>4.0142310000000002E-4</v>
      </c>
      <c r="CW51" s="74">
        <v>3.9500940000000001E-4</v>
      </c>
      <c r="CX51" s="74">
        <v>3.8869780000000002E-4</v>
      </c>
      <c r="CY51" s="74">
        <v>3.8248669999999999E-4</v>
      </c>
      <c r="CZ51" s="74">
        <v>3.763746E-4</v>
      </c>
      <c r="DA51" s="74">
        <v>3.7035980000000001E-4</v>
      </c>
      <c r="DB51" s="74">
        <v>3.6444089999999998E-4</v>
      </c>
      <c r="DC51" s="74">
        <v>3.5861630000000002E-4</v>
      </c>
      <c r="DD51" s="74">
        <v>3.5288449999999999E-4</v>
      </c>
      <c r="DE51" s="74">
        <v>3.472441E-4</v>
      </c>
      <c r="DF51" s="74">
        <v>3.4169369999999998E-4</v>
      </c>
      <c r="DG51" s="74">
        <v>3.3623179999999999E-4</v>
      </c>
      <c r="DH51" s="74">
        <v>3.3085699999999999E-4</v>
      </c>
      <c r="DI51" s="74">
        <v>3.255679E-4</v>
      </c>
      <c r="DJ51" s="74">
        <v>3.2036320000000001E-4</v>
      </c>
      <c r="DK51" s="74">
        <v>3.152416E-4</v>
      </c>
      <c r="DL51" s="74">
        <v>3.1020169999999999E-4</v>
      </c>
      <c r="DM51" s="74">
        <v>3.052423E-4</v>
      </c>
      <c r="DN51" s="74">
        <v>3.0036199999999998E-4</v>
      </c>
      <c r="DO51" s="74">
        <v>2.9555960000000002E-4</v>
      </c>
      <c r="DP51" s="74">
        <v>2.9083389999999998E-4</v>
      </c>
      <c r="DQ51" s="74">
        <v>2.8618369999999999E-4</v>
      </c>
      <c r="DR51" s="74">
        <v>2.8160769999999998E-4</v>
      </c>
      <c r="DS51" s="74">
        <v>2.7710480000000002E-4</v>
      </c>
      <c r="DT51" s="74">
        <v>2.7267380000000003E-4</v>
      </c>
      <c r="DU51" s="74">
        <v>2.6831359999999999E-4</v>
      </c>
      <c r="DV51" s="74">
        <v>2.64023E-4</v>
      </c>
      <c r="DW51" s="74">
        <v>2.5980090000000001E-4</v>
      </c>
      <c r="DX51" s="74">
        <v>2.5564640000000003E-4</v>
      </c>
      <c r="DY51" s="74">
        <v>2.5155810000000001E-4</v>
      </c>
      <c r="DZ51" s="74">
        <v>2.4753520000000002E-4</v>
      </c>
      <c r="EA51" s="74">
        <v>2.435766E-4</v>
      </c>
      <c r="EB51" s="74">
        <v>2.3968129999999999E-4</v>
      </c>
      <c r="EC51" s="74">
        <v>2.358482E-4</v>
      </c>
      <c r="ED51" s="74">
        <v>2.320763E-4</v>
      </c>
      <c r="EE51" s="74">
        <v>2.2836469999999999E-4</v>
      </c>
      <c r="EF51" s="74">
        <v>2.2471249999999999E-4</v>
      </c>
      <c r="EG51" s="74">
        <v>2.2111860000000001E-4</v>
      </c>
      <c r="EH51" s="74">
        <v>2.1758220000000001E-4</v>
      </c>
      <c r="EI51" s="74">
        <v>2.141023E-4</v>
      </c>
      <c r="EJ51" s="74">
        <v>2.10678E-4</v>
      </c>
      <c r="EK51" s="74">
        <v>2.0730839999999999E-4</v>
      </c>
      <c r="EL51" s="74">
        <v>2.039927E-4</v>
      </c>
      <c r="EM51" s="74">
        <v>2.0073009999999999E-4</v>
      </c>
      <c r="EN51" s="74">
        <v>1.9751950000000001E-4</v>
      </c>
      <c r="EO51" s="74">
        <v>1.943604E-4</v>
      </c>
      <c r="EP51" s="74">
        <v>1.912517E-4</v>
      </c>
      <c r="EQ51" s="74">
        <v>1.881927E-4</v>
      </c>
      <c r="ER51" s="74">
        <v>1.851826E-4</v>
      </c>
      <c r="ES51" s="74">
        <v>1.822207E-4</v>
      </c>
      <c r="ET51" s="74">
        <v>1.7930609999999999E-4</v>
      </c>
      <c r="EU51" s="74">
        <v>1.7643809999999999E-4</v>
      </c>
      <c r="EV51" s="74">
        <v>1.73616E-4</v>
      </c>
      <c r="EW51" s="74">
        <v>1.70839E-4</v>
      </c>
      <c r="EX51" s="74">
        <v>1.6810640000000001E-4</v>
      </c>
      <c r="EY51" s="74">
        <v>1.6541750000000001E-4</v>
      </c>
      <c r="EZ51" s="74">
        <v>1.6277159999999999E-4</v>
      </c>
      <c r="FA51" s="74">
        <v>1.60168E-4</v>
      </c>
      <c r="FB51" s="74">
        <v>1.57606E-4</v>
      </c>
      <c r="FC51" s="74">
        <v>1.5508500000000001E-4</v>
      </c>
      <c r="FD51" s="74">
        <v>1.5260440000000001E-4</v>
      </c>
      <c r="FE51" s="74">
        <v>1.5016340000000001E-4</v>
      </c>
      <c r="FF51" s="74">
        <v>1.477614E-4</v>
      </c>
      <c r="FG51" s="74">
        <v>1.4539779999999999E-4</v>
      </c>
      <c r="FH51" s="74">
        <v>1.4307210000000001E-4</v>
      </c>
      <c r="FI51" s="74">
        <v>1.4078349999999999E-4</v>
      </c>
      <c r="FJ51" s="74">
        <v>1.3853159999999999E-4</v>
      </c>
      <c r="FK51" s="74">
        <v>1.3631560000000001E-4</v>
      </c>
      <c r="FL51" s="74">
        <v>1.341351E-4</v>
      </c>
      <c r="FM51" s="74">
        <v>1.3198950000000001E-4</v>
      </c>
      <c r="FN51" s="74">
        <v>1.2987820000000001E-4</v>
      </c>
      <c r="FO51" s="74">
        <v>1.2780070000000001E-4</v>
      </c>
      <c r="FP51" s="74">
        <v>1.257563E-4</v>
      </c>
      <c r="FQ51" s="74">
        <v>1.2374470000000001E-4</v>
      </c>
    </row>
    <row r="52" spans="1:173" x14ac:dyDescent="0.25">
      <c r="A52" s="76">
        <v>50</v>
      </c>
      <c r="B52" s="74">
        <v>2.0074028E-3</v>
      </c>
      <c r="C52" s="74">
        <v>1.9827216E-3</v>
      </c>
      <c r="D52" s="74">
        <v>1.9579872000000001E-3</v>
      </c>
      <c r="E52" s="74">
        <v>1.9332274E-3</v>
      </c>
      <c r="F52" s="74">
        <v>1.908468E-3</v>
      </c>
      <c r="G52" s="74">
        <v>1.8837330000000001E-3</v>
      </c>
      <c r="H52" s="74">
        <v>1.8590446E-3</v>
      </c>
      <c r="I52" s="74">
        <v>1.8344233000000001E-3</v>
      </c>
      <c r="J52" s="74">
        <v>1.8098881E-3</v>
      </c>
      <c r="K52" s="74">
        <v>1.7854565999999999E-3</v>
      </c>
      <c r="L52" s="74">
        <v>1.7611447999999999E-3</v>
      </c>
      <c r="M52" s="74">
        <v>1.7369676000000001E-3</v>
      </c>
      <c r="N52" s="74">
        <v>1.7129386E-3</v>
      </c>
      <c r="O52" s="74">
        <v>1.6890701E-3</v>
      </c>
      <c r="P52" s="74">
        <v>1.6653734000000001E-3</v>
      </c>
      <c r="Q52" s="74">
        <v>1.6418590000000001E-3</v>
      </c>
      <c r="R52" s="74">
        <v>1.6185360000000001E-3</v>
      </c>
      <c r="S52" s="74">
        <v>1.595413E-3</v>
      </c>
      <c r="T52" s="74">
        <v>1.5724974999999999E-3</v>
      </c>
      <c r="U52" s="74">
        <v>1.5497963000000001E-3</v>
      </c>
      <c r="V52" s="74">
        <v>1.5273156E-3</v>
      </c>
      <c r="W52" s="74">
        <v>1.5050605999999999E-3</v>
      </c>
      <c r="X52" s="74">
        <v>1.4830361999999999E-3</v>
      </c>
      <c r="Y52" s="74">
        <v>1.4612465E-3</v>
      </c>
      <c r="Z52" s="74">
        <v>1.4396951E-3</v>
      </c>
      <c r="AA52" s="74">
        <v>1.4183850000000001E-3</v>
      </c>
      <c r="AB52" s="74">
        <v>1.3973188999999999E-3</v>
      </c>
      <c r="AC52" s="74">
        <v>1.3764989E-3</v>
      </c>
      <c r="AD52" s="74">
        <v>1.3559266999999999E-3</v>
      </c>
      <c r="AE52" s="74">
        <v>1.3356036000000001E-3</v>
      </c>
      <c r="AF52" s="74">
        <v>1.3155307000000001E-3</v>
      </c>
      <c r="AG52" s="74">
        <v>1.2957086E-3</v>
      </c>
      <c r="AH52" s="74">
        <v>1.2761376000000001E-3</v>
      </c>
      <c r="AI52" s="74">
        <v>1.2568178E-3</v>
      </c>
      <c r="AJ52" s="74">
        <v>1.237749E-3</v>
      </c>
      <c r="AK52" s="74">
        <v>1.2189307E-3</v>
      </c>
      <c r="AL52" s="74">
        <v>1.2003624000000001E-3</v>
      </c>
      <c r="AM52" s="74">
        <v>1.1820431000000001E-3</v>
      </c>
      <c r="AN52" s="74">
        <v>1.1639718E-3</v>
      </c>
      <c r="AO52" s="74">
        <v>1.1461473E-3</v>
      </c>
      <c r="AP52" s="74">
        <v>1.1285682E-3</v>
      </c>
      <c r="AQ52" s="74">
        <v>1.1112329000000001E-3</v>
      </c>
      <c r="AR52" s="74">
        <v>1.0941398999999999E-3</v>
      </c>
      <c r="AS52" s="74">
        <v>1.0772874E-3</v>
      </c>
      <c r="AT52" s="74">
        <v>1.0606735E-3</v>
      </c>
      <c r="AU52" s="74">
        <v>1.0442962E-3</v>
      </c>
      <c r="AV52" s="74">
        <v>1.0281534999999999E-3</v>
      </c>
      <c r="AW52" s="74">
        <v>1.0122432E-3</v>
      </c>
      <c r="AX52" s="74">
        <v>9.9656320000000007E-4</v>
      </c>
      <c r="AY52" s="74">
        <v>9.8111120000000007E-4</v>
      </c>
      <c r="AZ52" s="74">
        <v>9.6588480000000003E-4</v>
      </c>
      <c r="BA52" s="74">
        <v>9.5088170000000001E-4</v>
      </c>
      <c r="BB52" s="74">
        <v>9.3609960000000001E-4</v>
      </c>
      <c r="BC52" s="74">
        <v>9.215359E-4</v>
      </c>
      <c r="BD52" s="74">
        <v>9.0718820000000003E-4</v>
      </c>
      <c r="BE52" s="74">
        <v>8.93054E-4</v>
      </c>
      <c r="BF52" s="74">
        <v>8.7913080000000005E-4</v>
      </c>
      <c r="BG52" s="74">
        <v>8.6541600000000004E-4</v>
      </c>
      <c r="BH52" s="74">
        <v>8.5190709999999998E-4</v>
      </c>
      <c r="BI52" s="74">
        <v>8.386016E-4</v>
      </c>
      <c r="BJ52" s="74">
        <v>8.2549679999999995E-4</v>
      </c>
      <c r="BK52" s="74">
        <v>8.1259029999999996E-4</v>
      </c>
      <c r="BL52" s="74">
        <v>7.998794E-4</v>
      </c>
      <c r="BM52" s="74">
        <v>7.8736159999999997E-4</v>
      </c>
      <c r="BN52" s="74">
        <v>7.7503439999999999E-4</v>
      </c>
      <c r="BO52" s="74">
        <v>7.6289520000000005E-4</v>
      </c>
      <c r="BP52" s="74">
        <v>7.5094150000000004E-4</v>
      </c>
      <c r="BQ52" s="74">
        <v>7.3917069999999995E-4</v>
      </c>
      <c r="BR52" s="74">
        <v>7.2758030000000002E-4</v>
      </c>
      <c r="BS52" s="74">
        <v>7.1616780000000003E-4</v>
      </c>
      <c r="BT52" s="74">
        <v>7.0493089999999997E-4</v>
      </c>
      <c r="BU52" s="74">
        <v>6.938669E-4</v>
      </c>
      <c r="BV52" s="74">
        <v>6.8297340000000005E-4</v>
      </c>
      <c r="BW52" s="74">
        <v>6.722481E-4</v>
      </c>
      <c r="BX52" s="74">
        <v>6.616886E-4</v>
      </c>
      <c r="BY52" s="74">
        <v>6.5129230000000003E-4</v>
      </c>
      <c r="BZ52" s="74">
        <v>6.4105710000000003E-4</v>
      </c>
      <c r="CA52" s="74">
        <v>6.3098039999999998E-4</v>
      </c>
      <c r="CB52" s="74">
        <v>6.2106019999999995E-4</v>
      </c>
      <c r="CC52" s="74">
        <v>6.1129390000000004E-4</v>
      </c>
      <c r="CD52" s="74">
        <v>6.0167949999999999E-4</v>
      </c>
      <c r="CE52" s="74">
        <v>5.9221450000000004E-4</v>
      </c>
      <c r="CF52" s="74">
        <v>5.8289690000000005E-4</v>
      </c>
      <c r="CG52" s="74">
        <v>5.7372439999999999E-4</v>
      </c>
      <c r="CH52" s="74">
        <v>5.6469490000000001E-4</v>
      </c>
      <c r="CI52" s="74">
        <v>5.5580620000000001E-4</v>
      </c>
      <c r="CJ52" s="74">
        <v>5.4705629999999997E-4</v>
      </c>
      <c r="CK52" s="74">
        <v>5.3844289999999996E-4</v>
      </c>
      <c r="CL52" s="74">
        <v>5.2996420000000002E-4</v>
      </c>
      <c r="CM52" s="74">
        <v>5.2161790000000003E-4</v>
      </c>
      <c r="CN52" s="74">
        <v>5.134022E-4</v>
      </c>
      <c r="CO52" s="74">
        <v>5.0531510000000003E-4</v>
      </c>
      <c r="CP52" s="74">
        <v>4.9735450000000004E-4</v>
      </c>
      <c r="CQ52" s="74">
        <v>4.8951859999999997E-4</v>
      </c>
      <c r="CR52" s="74">
        <v>4.8180549999999998E-4</v>
      </c>
      <c r="CS52" s="74">
        <v>4.7421319999999998E-4</v>
      </c>
      <c r="CT52" s="74">
        <v>4.6673999999999999E-4</v>
      </c>
      <c r="CU52" s="74">
        <v>4.5938389999999998E-4</v>
      </c>
      <c r="CV52" s="74">
        <v>4.521433E-4</v>
      </c>
      <c r="CW52" s="74">
        <v>4.450163E-4</v>
      </c>
      <c r="CX52" s="74">
        <v>4.380012E-4</v>
      </c>
      <c r="CY52" s="74">
        <v>4.3109620000000002E-4</v>
      </c>
      <c r="CZ52" s="74">
        <v>4.2429959999999999E-4</v>
      </c>
      <c r="DA52" s="74">
        <v>4.1760989999999997E-4</v>
      </c>
      <c r="DB52" s="74">
        <v>4.1102519999999999E-4</v>
      </c>
      <c r="DC52" s="74">
        <v>4.0454409999999999E-4</v>
      </c>
      <c r="DD52" s="74">
        <v>3.9816480000000001E-4</v>
      </c>
      <c r="DE52" s="74">
        <v>3.9188580000000002E-4</v>
      </c>
      <c r="DF52" s="74">
        <v>3.8570560000000001E-4</v>
      </c>
      <c r="DG52" s="74">
        <v>3.7962260000000002E-4</v>
      </c>
      <c r="DH52" s="74">
        <v>3.736352E-4</v>
      </c>
      <c r="DI52" s="74">
        <v>3.6774209999999998E-4</v>
      </c>
      <c r="DJ52" s="74">
        <v>3.6194169999999998E-4</v>
      </c>
      <c r="DK52" s="74">
        <v>3.5623270000000002E-4</v>
      </c>
      <c r="DL52" s="74">
        <v>3.5061340000000003E-4</v>
      </c>
      <c r="DM52" s="74">
        <v>3.450827E-4</v>
      </c>
      <c r="DN52" s="74">
        <v>3.3963899999999998E-4</v>
      </c>
      <c r="DO52" s="74">
        <v>3.342811E-4</v>
      </c>
      <c r="DP52" s="74">
        <v>3.2900749999999998E-4</v>
      </c>
      <c r="DQ52" s="74">
        <v>3.2381700000000001E-4</v>
      </c>
      <c r="DR52" s="74">
        <v>3.1870830000000001E-4</v>
      </c>
      <c r="DS52" s="74">
        <v>3.1367999999999999E-4</v>
      </c>
      <c r="DT52" s="74">
        <v>3.0873100000000002E-4</v>
      </c>
      <c r="DU52" s="74">
        <v>3.038599E-4</v>
      </c>
      <c r="DV52" s="74">
        <v>2.9906559999999998E-4</v>
      </c>
      <c r="DW52" s="74">
        <v>2.943469E-4</v>
      </c>
      <c r="DX52" s="74">
        <v>2.8970249999999998E-4</v>
      </c>
      <c r="DY52" s="74">
        <v>2.8513129999999999E-4</v>
      </c>
      <c r="DZ52" s="74">
        <v>2.8063220000000002E-4</v>
      </c>
      <c r="EA52" s="74">
        <v>2.76204E-4</v>
      </c>
      <c r="EB52" s="74">
        <v>2.7184559999999998E-4</v>
      </c>
      <c r="EC52" s="74">
        <v>2.6755589999999998E-4</v>
      </c>
      <c r="ED52" s="74">
        <v>2.6333390000000002E-4</v>
      </c>
      <c r="EE52" s="74">
        <v>2.5917840000000002E-4</v>
      </c>
      <c r="EF52" s="74">
        <v>2.550885E-4</v>
      </c>
      <c r="EG52" s="74">
        <v>2.5106299999999999E-4</v>
      </c>
      <c r="EH52" s="74">
        <v>2.47101E-4</v>
      </c>
      <c r="EI52" s="74">
        <v>2.432015E-4</v>
      </c>
      <c r="EJ52" s="74">
        <v>2.3936350000000001E-4</v>
      </c>
      <c r="EK52" s="74">
        <v>2.3558610000000001E-4</v>
      </c>
      <c r="EL52" s="74">
        <v>2.318682E-4</v>
      </c>
      <c r="EM52" s="74">
        <v>2.2820889999999999E-4</v>
      </c>
      <c r="EN52" s="74">
        <v>2.2460739999999999E-4</v>
      </c>
      <c r="EO52" s="74">
        <v>2.210627E-4</v>
      </c>
      <c r="EP52" s="74">
        <v>2.1757389999999999E-4</v>
      </c>
      <c r="EQ52" s="74">
        <v>2.1414010000000001E-4</v>
      </c>
      <c r="ER52" s="74">
        <v>2.107605E-4</v>
      </c>
      <c r="ES52" s="74">
        <v>2.0743420000000001E-4</v>
      </c>
      <c r="ET52" s="74">
        <v>2.041604E-4</v>
      </c>
      <c r="EU52" s="74">
        <v>2.0093819999999999E-4</v>
      </c>
      <c r="EV52" s="74">
        <v>1.977669E-4</v>
      </c>
      <c r="EW52" s="74">
        <v>1.9464560000000001E-4</v>
      </c>
      <c r="EX52" s="74">
        <v>1.9157359999999999E-4</v>
      </c>
      <c r="EY52" s="74">
        <v>1.8855E-4</v>
      </c>
      <c r="EZ52" s="74">
        <v>1.8557409999999999E-4</v>
      </c>
      <c r="FA52" s="74">
        <v>1.8264520000000001E-4</v>
      </c>
      <c r="FB52" s="74">
        <v>1.7976250000000001E-4</v>
      </c>
      <c r="FC52" s="74">
        <v>1.7692519999999999E-4</v>
      </c>
      <c r="FD52" s="74">
        <v>1.7413279999999999E-4</v>
      </c>
      <c r="FE52" s="74">
        <v>1.7138440000000001E-4</v>
      </c>
      <c r="FF52" s="74">
        <v>1.686794E-4</v>
      </c>
      <c r="FG52" s="74">
        <v>1.6601699999999999E-4</v>
      </c>
      <c r="FH52" s="74">
        <v>1.633967E-4</v>
      </c>
      <c r="FI52" s="74">
        <v>1.608177E-4</v>
      </c>
      <c r="FJ52" s="74">
        <v>1.5827939999999999E-4</v>
      </c>
      <c r="FK52" s="74">
        <v>1.5578120000000001E-4</v>
      </c>
      <c r="FL52" s="74">
        <v>1.5332240000000001E-4</v>
      </c>
      <c r="FM52" s="74">
        <v>1.5090239999999999E-4</v>
      </c>
      <c r="FN52" s="74">
        <v>1.4852060000000001E-4</v>
      </c>
      <c r="FO52" s="74">
        <v>1.4617640000000001E-4</v>
      </c>
      <c r="FP52" s="74">
        <v>1.4386910000000001E-4</v>
      </c>
      <c r="FQ52" s="74">
        <v>1.4159829999999999E-4</v>
      </c>
    </row>
    <row r="53" spans="1:173" x14ac:dyDescent="0.25">
      <c r="A53" s="76">
        <v>51</v>
      </c>
      <c r="B53" s="74">
        <v>2.2703956999999999E-3</v>
      </c>
      <c r="C53" s="74">
        <v>2.2432555000000002E-3</v>
      </c>
      <c r="D53" s="74">
        <v>2.2160607E-3</v>
      </c>
      <c r="E53" s="74">
        <v>2.1888404000000002E-3</v>
      </c>
      <c r="F53" s="74">
        <v>2.1616219000000002E-3</v>
      </c>
      <c r="G53" s="74">
        <v>2.1344303000000002E-3</v>
      </c>
      <c r="H53" s="74">
        <v>2.1072892000000001E-3</v>
      </c>
      <c r="I53" s="74">
        <v>2.0802199999999998E-3</v>
      </c>
      <c r="J53" s="74">
        <v>2.0532429000000001E-3</v>
      </c>
      <c r="K53" s="74">
        <v>2.0263764E-3</v>
      </c>
      <c r="L53" s="74">
        <v>1.9996374E-3</v>
      </c>
      <c r="M53" s="74">
        <v>1.9730416999999998E-3</v>
      </c>
      <c r="N53" s="74">
        <v>1.9466036000000001E-3</v>
      </c>
      <c r="O53" s="74">
        <v>1.9203362E-3</v>
      </c>
      <c r="P53" s="74">
        <v>1.8942515E-3</v>
      </c>
      <c r="Q53" s="74">
        <v>1.8683606000000001E-3</v>
      </c>
      <c r="R53" s="74">
        <v>1.8426733000000001E-3</v>
      </c>
      <c r="S53" s="74">
        <v>1.8171986000000001E-3</v>
      </c>
      <c r="T53" s="74">
        <v>1.7919445999999999E-3</v>
      </c>
      <c r="U53" s="74">
        <v>1.7669186999999999E-3</v>
      </c>
      <c r="V53" s="74">
        <v>1.7421273000000001E-3</v>
      </c>
      <c r="W53" s="74">
        <v>1.7175762E-3</v>
      </c>
      <c r="X53" s="74">
        <v>1.6932706E-3</v>
      </c>
      <c r="Y53" s="74">
        <v>1.6692149999999999E-3</v>
      </c>
      <c r="Z53" s="74">
        <v>1.6454131999999999E-3</v>
      </c>
      <c r="AA53" s="74">
        <v>1.6218686E-3</v>
      </c>
      <c r="AB53" s="74">
        <v>1.5985840999999999E-3</v>
      </c>
      <c r="AC53" s="74">
        <v>1.5755621E-3</v>
      </c>
      <c r="AD53" s="74">
        <v>1.5528044E-3</v>
      </c>
      <c r="AE53" s="74">
        <v>1.5303128000000001E-3</v>
      </c>
      <c r="AF53" s="74">
        <v>1.5080881999999999E-3</v>
      </c>
      <c r="AG53" s="74">
        <v>1.4861315999999999E-3</v>
      </c>
      <c r="AH53" s="74">
        <v>1.4644434000000001E-3</v>
      </c>
      <c r="AI53" s="74">
        <v>1.4430237999999999E-3</v>
      </c>
      <c r="AJ53" s="74">
        <v>1.4218727E-3</v>
      </c>
      <c r="AK53" s="74">
        <v>1.4009897999999999E-3</v>
      </c>
      <c r="AL53" s="74">
        <v>1.3803744999999999E-3</v>
      </c>
      <c r="AM53" s="74">
        <v>1.3600259E-3</v>
      </c>
      <c r="AN53" s="74">
        <v>1.3399432E-3</v>
      </c>
      <c r="AO53" s="74">
        <v>1.3201250999999999E-3</v>
      </c>
      <c r="AP53" s="74">
        <v>1.3005702000000001E-3</v>
      </c>
      <c r="AQ53" s="74">
        <v>1.2812771E-3</v>
      </c>
      <c r="AR53" s="74">
        <v>1.2622442000000001E-3</v>
      </c>
      <c r="AS53" s="74">
        <v>1.2434696000000001E-3</v>
      </c>
      <c r="AT53" s="74">
        <v>1.2249514999999999E-3</v>
      </c>
      <c r="AU53" s="74">
        <v>1.2066879E-3</v>
      </c>
      <c r="AV53" s="74">
        <v>1.1886767999999999E-3</v>
      </c>
      <c r="AW53" s="74">
        <v>1.1709158999999999E-3</v>
      </c>
      <c r="AX53" s="74">
        <v>1.1534029999999999E-3</v>
      </c>
      <c r="AY53" s="74">
        <v>1.1361358E-3</v>
      </c>
      <c r="AZ53" s="74">
        <v>1.119112E-3</v>
      </c>
      <c r="BA53" s="74">
        <v>1.1023291E-3</v>
      </c>
      <c r="BB53" s="74">
        <v>1.0857846E-3</v>
      </c>
      <c r="BC53" s="74">
        <v>1.0694761E-3</v>
      </c>
      <c r="BD53" s="74">
        <v>1.0534009E-3</v>
      </c>
      <c r="BE53" s="74">
        <v>1.0375566E-3</v>
      </c>
      <c r="BF53" s="74">
        <v>1.0219405E-3</v>
      </c>
      <c r="BG53" s="74">
        <v>1.0065499999999999E-3</v>
      </c>
      <c r="BH53" s="74">
        <v>9.9138239999999999E-4</v>
      </c>
      <c r="BI53" s="74">
        <v>9.7643519999999996E-4</v>
      </c>
      <c r="BJ53" s="74">
        <v>9.6170559999999997E-4</v>
      </c>
      <c r="BK53" s="74">
        <v>9.4719100000000001E-4</v>
      </c>
      <c r="BL53" s="74">
        <v>9.3288880000000005E-4</v>
      </c>
      <c r="BM53" s="74">
        <v>9.187962E-4</v>
      </c>
      <c r="BN53" s="74">
        <v>9.0491059999999997E-4</v>
      </c>
      <c r="BO53" s="74">
        <v>8.9122940000000003E-4</v>
      </c>
      <c r="BP53" s="74">
        <v>8.7774990000000002E-4</v>
      </c>
      <c r="BQ53" s="74">
        <v>8.6446950000000004E-4</v>
      </c>
      <c r="BR53" s="74">
        <v>8.5138550000000003E-4</v>
      </c>
      <c r="BS53" s="74">
        <v>8.384954E-4</v>
      </c>
      <c r="BT53" s="74">
        <v>8.2579650000000001E-4</v>
      </c>
      <c r="BU53" s="74">
        <v>8.1328620000000005E-4</v>
      </c>
      <c r="BV53" s="74">
        <v>8.0096210000000004E-4</v>
      </c>
      <c r="BW53" s="74">
        <v>7.8882150000000005E-4</v>
      </c>
      <c r="BX53" s="74">
        <v>7.7686189999999998E-4</v>
      </c>
      <c r="BY53" s="74">
        <v>7.650809E-4</v>
      </c>
      <c r="BZ53" s="74">
        <v>7.5347589999999996E-4</v>
      </c>
      <c r="CA53" s="74">
        <v>7.4204450000000003E-4</v>
      </c>
      <c r="CB53" s="74">
        <v>7.3078420000000002E-4</v>
      </c>
      <c r="CC53" s="74">
        <v>7.1969269999999999E-4</v>
      </c>
      <c r="CD53" s="74">
        <v>7.0876749999999997E-4</v>
      </c>
      <c r="CE53" s="74">
        <v>6.9800630000000003E-4</v>
      </c>
      <c r="CF53" s="74">
        <v>6.8740670000000002E-4</v>
      </c>
      <c r="CG53" s="74">
        <v>6.7696650000000004E-4</v>
      </c>
      <c r="CH53" s="74">
        <v>6.6668330000000005E-4</v>
      </c>
      <c r="CI53" s="74">
        <v>6.565548E-4</v>
      </c>
      <c r="CJ53" s="74">
        <v>6.4657899999999999E-4</v>
      </c>
      <c r="CK53" s="74">
        <v>6.3675340000000002E-4</v>
      </c>
      <c r="CL53" s="74">
        <v>6.2707599999999996E-4</v>
      </c>
      <c r="CM53" s="74">
        <v>6.1754449999999999E-4</v>
      </c>
      <c r="CN53" s="74">
        <v>6.0815689999999998E-4</v>
      </c>
      <c r="CO53" s="74">
        <v>5.9891109999999997E-4</v>
      </c>
      <c r="CP53" s="74">
        <v>5.8980489999999996E-4</v>
      </c>
      <c r="CQ53" s="74">
        <v>5.8083639999999997E-4</v>
      </c>
      <c r="CR53" s="74">
        <v>5.7200339999999999E-4</v>
      </c>
      <c r="CS53" s="74">
        <v>5.6330400000000004E-4</v>
      </c>
      <c r="CT53" s="74">
        <v>5.547363E-4</v>
      </c>
      <c r="CU53" s="74">
        <v>5.4629820000000003E-4</v>
      </c>
      <c r="CV53" s="74">
        <v>5.3798789999999995E-4</v>
      </c>
      <c r="CW53" s="74">
        <v>5.2980340000000005E-4</v>
      </c>
      <c r="CX53" s="74">
        <v>5.2174290000000004E-4</v>
      </c>
      <c r="CY53" s="74">
        <v>5.1380459999999996E-4</v>
      </c>
      <c r="CZ53" s="74">
        <v>5.059865E-4</v>
      </c>
      <c r="DA53" s="74">
        <v>4.9828700000000004E-4</v>
      </c>
      <c r="DB53" s="74">
        <v>4.907043E-4</v>
      </c>
      <c r="DC53" s="74">
        <v>4.8323659999999999E-4</v>
      </c>
      <c r="DD53" s="74">
        <v>4.7588209999999999E-4</v>
      </c>
      <c r="DE53" s="74">
        <v>4.6863930000000002E-4</v>
      </c>
      <c r="DF53" s="74">
        <v>4.6150640000000001E-4</v>
      </c>
      <c r="DG53" s="74">
        <v>4.5448169999999998E-4</v>
      </c>
      <c r="DH53" s="74">
        <v>4.4756370000000002E-4</v>
      </c>
      <c r="DI53" s="74">
        <v>4.4075080000000001E-4</v>
      </c>
      <c r="DJ53" s="74">
        <v>4.3404130000000002E-4</v>
      </c>
      <c r="DK53" s="74">
        <v>4.2743369999999998E-4</v>
      </c>
      <c r="DL53" s="74">
        <v>4.2092650000000002E-4</v>
      </c>
      <c r="DM53" s="74">
        <v>4.1451820000000002E-4</v>
      </c>
      <c r="DN53" s="74">
        <v>4.0820720000000002E-4</v>
      </c>
      <c r="DO53" s="74">
        <v>4.0199220000000001E-4</v>
      </c>
      <c r="DP53" s="74">
        <v>3.9587159999999999E-4</v>
      </c>
      <c r="DQ53" s="74">
        <v>3.8984410000000001E-4</v>
      </c>
      <c r="DR53" s="74">
        <v>3.8390819999999998E-4</v>
      </c>
      <c r="DS53" s="74">
        <v>3.7806249999999998E-4</v>
      </c>
      <c r="DT53" s="74">
        <v>3.7230569999999999E-4</v>
      </c>
      <c r="DU53" s="74">
        <v>3.666365E-4</v>
      </c>
      <c r="DV53" s="74">
        <v>3.6105350000000002E-4</v>
      </c>
      <c r="DW53" s="74">
        <v>3.5555539999999999E-4</v>
      </c>
      <c r="DX53" s="74">
        <v>3.5014090000000001E-4</v>
      </c>
      <c r="DY53" s="74">
        <v>3.448088E-4</v>
      </c>
      <c r="DZ53" s="74">
        <v>3.3955779999999999E-4</v>
      </c>
      <c r="EA53" s="74">
        <v>3.3438659999999998E-4</v>
      </c>
      <c r="EB53" s="74">
        <v>3.2929420000000001E-4</v>
      </c>
      <c r="EC53" s="74">
        <v>3.2427919999999998E-4</v>
      </c>
      <c r="ED53" s="74">
        <v>3.1934059999999998E-4</v>
      </c>
      <c r="EE53" s="74">
        <v>3.144771E-4</v>
      </c>
      <c r="EF53" s="74">
        <v>3.0968759999999999E-4</v>
      </c>
      <c r="EG53" s="74">
        <v>3.0497089999999998E-4</v>
      </c>
      <c r="EH53" s="74">
        <v>3.0032609999999999E-4</v>
      </c>
      <c r="EI53" s="74">
        <v>2.9575199999999998E-4</v>
      </c>
      <c r="EJ53" s="74">
        <v>2.9124750000000002E-4</v>
      </c>
      <c r="EK53" s="74">
        <v>2.868115E-4</v>
      </c>
      <c r="EL53" s="74">
        <v>2.8244309999999999E-4</v>
      </c>
      <c r="EM53" s="74">
        <v>2.7814110000000001E-4</v>
      </c>
      <c r="EN53" s="74">
        <v>2.7390470000000002E-4</v>
      </c>
      <c r="EO53" s="74">
        <v>2.6973269999999998E-4</v>
      </c>
      <c r="EP53" s="74">
        <v>2.656243E-4</v>
      </c>
      <c r="EQ53" s="74">
        <v>2.6157840000000002E-4</v>
      </c>
      <c r="ER53" s="74">
        <v>2.5759410000000002E-4</v>
      </c>
      <c r="ES53" s="74">
        <v>2.5367050000000001E-4</v>
      </c>
      <c r="ET53" s="74">
        <v>2.4980659999999997E-4</v>
      </c>
      <c r="EU53" s="74">
        <v>2.4600149999999999E-4</v>
      </c>
      <c r="EV53" s="74">
        <v>2.4225430000000001E-4</v>
      </c>
      <c r="EW53" s="74">
        <v>2.385643E-4</v>
      </c>
      <c r="EX53" s="74">
        <v>2.349304E-4</v>
      </c>
      <c r="EY53" s="74">
        <v>2.313518E-4</v>
      </c>
      <c r="EZ53" s="74">
        <v>2.2782769999999999E-4</v>
      </c>
      <c r="FA53" s="74">
        <v>2.243573E-4</v>
      </c>
      <c r="FB53" s="74">
        <v>2.209398E-4</v>
      </c>
      <c r="FC53" s="74">
        <v>2.1757429999999999E-4</v>
      </c>
      <c r="FD53" s="74">
        <v>2.1426E-4</v>
      </c>
      <c r="FE53" s="74">
        <v>2.1099620000000001E-4</v>
      </c>
      <c r="FF53" s="74">
        <v>2.077821E-4</v>
      </c>
      <c r="FG53" s="74">
        <v>2.0461700000000001E-4</v>
      </c>
      <c r="FH53" s="74">
        <v>2.0149999999999999E-4</v>
      </c>
      <c r="FI53" s="74">
        <v>1.984306E-4</v>
      </c>
      <c r="FJ53" s="74">
        <v>1.9540780000000001E-4</v>
      </c>
      <c r="FK53" s="74">
        <v>1.9243109999999999E-4</v>
      </c>
      <c r="FL53" s="74">
        <v>1.8949980000000001E-4</v>
      </c>
      <c r="FM53" s="74">
        <v>1.866131E-4</v>
      </c>
      <c r="FN53" s="74">
        <v>1.837703E-4</v>
      </c>
      <c r="FO53" s="74">
        <v>1.8097090000000001E-4</v>
      </c>
      <c r="FP53" s="74">
        <v>1.7821410000000001E-4</v>
      </c>
      <c r="FQ53" s="74">
        <v>1.7549920000000001E-4</v>
      </c>
    </row>
    <row r="54" spans="1:173" x14ac:dyDescent="0.25">
      <c r="A54" s="76">
        <v>52</v>
      </c>
      <c r="B54" s="74">
        <v>2.4818686000000001E-3</v>
      </c>
      <c r="C54" s="74">
        <v>2.4507794999999999E-3</v>
      </c>
      <c r="D54" s="74">
        <v>2.4197108000000001E-3</v>
      </c>
      <c r="E54" s="74">
        <v>2.3886905999999999E-3</v>
      </c>
      <c r="F54" s="74">
        <v>2.3577445999999999E-3</v>
      </c>
      <c r="G54" s="74">
        <v>2.3268969E-3</v>
      </c>
      <c r="H54" s="74">
        <v>2.2961692999999999E-3</v>
      </c>
      <c r="I54" s="74">
        <v>2.2655825000000001E-3</v>
      </c>
      <c r="J54" s="74">
        <v>2.2351548999999999E-3</v>
      </c>
      <c r="K54" s="74">
        <v>2.2049039000000001E-3</v>
      </c>
      <c r="L54" s="74">
        <v>2.1748450999999999E-3</v>
      </c>
      <c r="M54" s="74">
        <v>2.1449929E-3</v>
      </c>
      <c r="N54" s="74">
        <v>2.1153604999999999E-3</v>
      </c>
      <c r="O54" s="74">
        <v>2.0859596999999999E-3</v>
      </c>
      <c r="P54" s="74">
        <v>2.0568013000000001E-3</v>
      </c>
      <c r="Q54" s="74">
        <v>2.027895E-3</v>
      </c>
      <c r="R54" s="74">
        <v>1.9992496E-3</v>
      </c>
      <c r="S54" s="74">
        <v>1.9708729000000001E-3</v>
      </c>
      <c r="T54" s="74">
        <v>1.9427719999999999E-3</v>
      </c>
      <c r="U54" s="74">
        <v>1.9149528E-3</v>
      </c>
      <c r="V54" s="74">
        <v>1.887421E-3</v>
      </c>
      <c r="W54" s="74">
        <v>1.8601811000000001E-3</v>
      </c>
      <c r="X54" s="74">
        <v>1.8332373E-3</v>
      </c>
      <c r="Y54" s="74">
        <v>1.806593E-3</v>
      </c>
      <c r="Z54" s="74">
        <v>1.7802511999999999E-3</v>
      </c>
      <c r="AA54" s="74">
        <v>1.7542141000000001E-3</v>
      </c>
      <c r="AB54" s="74">
        <v>1.7284837999999999E-3</v>
      </c>
      <c r="AC54" s="74">
        <v>1.7030617000000001E-3</v>
      </c>
      <c r="AD54" s="74">
        <v>1.6779487000000001E-3</v>
      </c>
      <c r="AE54" s="74">
        <v>1.6531455999999999E-3</v>
      </c>
      <c r="AF54" s="74">
        <v>1.6286524999999999E-3</v>
      </c>
      <c r="AG54" s="74">
        <v>1.6044696000000001E-3</v>
      </c>
      <c r="AH54" s="74">
        <v>1.5805964E-3</v>
      </c>
      <c r="AI54" s="74">
        <v>1.5570321999999999E-3</v>
      </c>
      <c r="AJ54" s="74">
        <v>1.5337763E-3</v>
      </c>
      <c r="AK54" s="74">
        <v>1.5108274000000001E-3</v>
      </c>
      <c r="AL54" s="74">
        <v>1.4881842999999999E-3</v>
      </c>
      <c r="AM54" s="74">
        <v>1.4658453E-3</v>
      </c>
      <c r="AN54" s="74">
        <v>1.4438089000000001E-3</v>
      </c>
      <c r="AO54" s="74">
        <v>1.422073E-3</v>
      </c>
      <c r="AP54" s="74">
        <v>1.4006356000000001E-3</v>
      </c>
      <c r="AQ54" s="74">
        <v>1.3794946E-3</v>
      </c>
      <c r="AR54" s="74">
        <v>1.3586477E-3</v>
      </c>
      <c r="AS54" s="74">
        <v>1.3380924000000001E-3</v>
      </c>
      <c r="AT54" s="74">
        <v>1.3178262000000001E-3</v>
      </c>
      <c r="AU54" s="74">
        <v>1.2978465E-3</v>
      </c>
      <c r="AV54" s="74">
        <v>1.2781507000000001E-3</v>
      </c>
      <c r="AW54" s="74">
        <v>1.2587359000000001E-3</v>
      </c>
      <c r="AX54" s="74">
        <v>1.2395993E-3</v>
      </c>
      <c r="AY54" s="74">
        <v>1.2207381999999999E-3</v>
      </c>
      <c r="AZ54" s="74">
        <v>1.2021493999999999E-3</v>
      </c>
      <c r="BA54" s="74">
        <v>1.1838300999999999E-3</v>
      </c>
      <c r="BB54" s="74">
        <v>1.1657773000000001E-3</v>
      </c>
      <c r="BC54" s="74">
        <v>1.1479878999999999E-3</v>
      </c>
      <c r="BD54" s="74">
        <v>1.1304589000000001E-3</v>
      </c>
      <c r="BE54" s="74">
        <v>1.1131871999999999E-3</v>
      </c>
      <c r="BF54" s="74">
        <v>1.0961696999999999E-3</v>
      </c>
      <c r="BG54" s="74">
        <v>1.0794032999999999E-3</v>
      </c>
      <c r="BH54" s="74">
        <v>1.0628848999999999E-3</v>
      </c>
      <c r="BI54" s="74">
        <v>1.0466113999999999E-3</v>
      </c>
      <c r="BJ54" s="74">
        <v>1.0305796E-3</v>
      </c>
      <c r="BK54" s="74">
        <v>1.0147864999999999E-3</v>
      </c>
      <c r="BL54" s="74">
        <v>9.9922899999999992E-4</v>
      </c>
      <c r="BM54" s="74">
        <v>9.8390400000000007E-4</v>
      </c>
      <c r="BN54" s="74">
        <v>9.6880839999999996E-4</v>
      </c>
      <c r="BO54" s="74">
        <v>9.5393910000000004E-4</v>
      </c>
      <c r="BP54" s="74">
        <v>9.3929319999999997E-4</v>
      </c>
      <c r="BQ54" s="74">
        <v>9.2486749999999996E-4</v>
      </c>
      <c r="BR54" s="74">
        <v>9.1065899999999997E-4</v>
      </c>
      <c r="BS54" s="74">
        <v>8.9666479999999998E-4</v>
      </c>
      <c r="BT54" s="74">
        <v>8.8288189999999995E-4</v>
      </c>
      <c r="BU54" s="74">
        <v>8.6930739999999996E-4</v>
      </c>
      <c r="BV54" s="74">
        <v>8.5593829999999998E-4</v>
      </c>
      <c r="BW54" s="74">
        <v>8.4277180000000003E-4</v>
      </c>
      <c r="BX54" s="74">
        <v>8.2980490000000005E-4</v>
      </c>
      <c r="BY54" s="74">
        <v>8.1703479999999996E-4</v>
      </c>
      <c r="BZ54" s="74">
        <v>8.0445880000000003E-4</v>
      </c>
      <c r="CA54" s="74">
        <v>7.9207400000000003E-4</v>
      </c>
      <c r="CB54" s="74">
        <v>7.7987770000000002E-4</v>
      </c>
      <c r="CC54" s="74">
        <v>7.6786710000000002E-4</v>
      </c>
      <c r="CD54" s="74">
        <v>7.560396E-4</v>
      </c>
      <c r="CE54" s="74">
        <v>7.443924E-4</v>
      </c>
      <c r="CF54" s="74">
        <v>7.3292310000000005E-4</v>
      </c>
      <c r="CG54" s="74">
        <v>7.2162889999999996E-4</v>
      </c>
      <c r="CH54" s="74">
        <v>7.1050720000000005E-4</v>
      </c>
      <c r="CI54" s="74">
        <v>6.9955560000000002E-4</v>
      </c>
      <c r="CJ54" s="74">
        <v>6.8877149999999998E-4</v>
      </c>
      <c r="CK54" s="74">
        <v>6.7815249999999996E-4</v>
      </c>
      <c r="CL54" s="74">
        <v>6.6769609999999999E-4</v>
      </c>
      <c r="CM54" s="74">
        <v>6.5739979999999997E-4</v>
      </c>
      <c r="CN54" s="74">
        <v>6.4726140000000002E-4</v>
      </c>
      <c r="CO54" s="74">
        <v>6.3727840000000005E-4</v>
      </c>
      <c r="CP54" s="74">
        <v>6.2744850000000002E-4</v>
      </c>
      <c r="CQ54" s="74">
        <v>6.1776940000000003E-4</v>
      </c>
      <c r="CR54" s="74">
        <v>6.0823880000000004E-4</v>
      </c>
      <c r="CS54" s="74">
        <v>5.9885470000000003E-4</v>
      </c>
      <c r="CT54" s="74">
        <v>5.8961460000000001E-4</v>
      </c>
      <c r="CU54" s="74">
        <v>5.8051649999999995E-4</v>
      </c>
      <c r="CV54" s="74">
        <v>5.7155819999999997E-4</v>
      </c>
      <c r="CW54" s="74">
        <v>5.6273759999999999E-4</v>
      </c>
      <c r="CX54" s="74">
        <v>5.5405259999999996E-4</v>
      </c>
      <c r="CY54" s="74">
        <v>5.4550119999999995E-4</v>
      </c>
      <c r="CZ54" s="74">
        <v>5.3708130000000001E-4</v>
      </c>
      <c r="DA54" s="74">
        <v>5.2879100000000003E-4</v>
      </c>
      <c r="DB54" s="74">
        <v>5.2062820000000004E-4</v>
      </c>
      <c r="DC54" s="74">
        <v>5.1259109999999999E-4</v>
      </c>
      <c r="DD54" s="74">
        <v>5.0467769999999995E-4</v>
      </c>
      <c r="DE54" s="74">
        <v>4.9688620000000005E-4</v>
      </c>
      <c r="DF54" s="74">
        <v>4.8921469999999999E-4</v>
      </c>
      <c r="DG54" s="74">
        <v>4.8166129999999998E-4</v>
      </c>
      <c r="DH54" s="74">
        <v>4.7422430000000003E-4</v>
      </c>
      <c r="DI54" s="74">
        <v>4.6690179999999998E-4</v>
      </c>
      <c r="DJ54" s="74">
        <v>4.596922E-4</v>
      </c>
      <c r="DK54" s="74">
        <v>4.5259370000000002E-4</v>
      </c>
      <c r="DL54" s="74">
        <v>4.4560459999999999E-4</v>
      </c>
      <c r="DM54" s="74">
        <v>4.3872330000000001E-4</v>
      </c>
      <c r="DN54" s="74">
        <v>4.3194799999999998E-4</v>
      </c>
      <c r="DO54" s="74">
        <v>4.2527720000000001E-4</v>
      </c>
      <c r="DP54" s="74">
        <v>4.1870930000000001E-4</v>
      </c>
      <c r="DQ54" s="74">
        <v>4.1224270000000002E-4</v>
      </c>
      <c r="DR54" s="74">
        <v>4.0587570000000001E-4</v>
      </c>
      <c r="DS54" s="74">
        <v>3.9960700000000001E-4</v>
      </c>
      <c r="DT54" s="74">
        <v>3.9343499999999998E-4</v>
      </c>
      <c r="DU54" s="74">
        <v>3.8735819999999999E-4</v>
      </c>
      <c r="DV54" s="74">
        <v>3.813752E-4</v>
      </c>
      <c r="DW54" s="74">
        <v>3.7548440000000001E-4</v>
      </c>
      <c r="DX54" s="74">
        <v>3.6968459999999999E-4</v>
      </c>
      <c r="DY54" s="74">
        <v>3.639742E-4</v>
      </c>
      <c r="DZ54" s="74">
        <v>3.5835199999999999E-4</v>
      </c>
      <c r="EA54" s="74">
        <v>3.5281659999999998E-4</v>
      </c>
      <c r="EB54" s="74">
        <v>3.473665E-4</v>
      </c>
      <c r="EC54" s="74">
        <v>3.4200060000000001E-4</v>
      </c>
      <c r="ED54" s="74">
        <v>3.367175E-4</v>
      </c>
      <c r="EE54" s="74">
        <v>3.3151600000000002E-4</v>
      </c>
      <c r="EF54" s="74">
        <v>3.263947E-4</v>
      </c>
      <c r="EG54" s="74">
        <v>3.213526E-4</v>
      </c>
      <c r="EH54" s="74">
        <v>3.1638819999999998E-4</v>
      </c>
      <c r="EI54" s="74">
        <v>3.1150049999999999E-4</v>
      </c>
      <c r="EJ54" s="74">
        <v>3.066883E-4</v>
      </c>
      <c r="EK54" s="74">
        <v>3.0195029999999999E-4</v>
      </c>
      <c r="EL54" s="74">
        <v>2.9728550000000001E-4</v>
      </c>
      <c r="EM54" s="74">
        <v>2.926928E-4</v>
      </c>
      <c r="EN54" s="74">
        <v>2.8817090000000001E-4</v>
      </c>
      <c r="EO54" s="74">
        <v>2.8371890000000001E-4</v>
      </c>
      <c r="EP54" s="74">
        <v>2.7933560000000001E-4</v>
      </c>
      <c r="EQ54" s="74">
        <v>2.7502000000000001E-4</v>
      </c>
      <c r="ER54" s="74">
        <v>2.7077109999999998E-4</v>
      </c>
      <c r="ES54" s="74">
        <v>2.6658779999999999E-4</v>
      </c>
      <c r="ET54" s="74">
        <v>2.6246899999999998E-4</v>
      </c>
      <c r="EU54" s="74">
        <v>2.5841390000000002E-4</v>
      </c>
      <c r="EV54" s="74">
        <v>2.5442139999999998E-4</v>
      </c>
      <c r="EW54" s="74">
        <v>2.5049060000000001E-4</v>
      </c>
      <c r="EX54" s="74">
        <v>2.4662049999999997E-4</v>
      </c>
      <c r="EY54" s="74">
        <v>2.428102E-4</v>
      </c>
      <c r="EZ54" s="74">
        <v>2.390587E-4</v>
      </c>
      <c r="FA54" s="74">
        <v>2.353651E-4</v>
      </c>
      <c r="FB54" s="74">
        <v>2.3172859999999999E-4</v>
      </c>
      <c r="FC54" s="74">
        <v>2.2814830000000001E-4</v>
      </c>
      <c r="FD54" s="74">
        <v>2.2462329999999999E-4</v>
      </c>
      <c r="FE54" s="74">
        <v>2.2115270000000001E-4</v>
      </c>
      <c r="FF54" s="74">
        <v>2.1773579999999999E-4</v>
      </c>
      <c r="FG54" s="74">
        <v>2.143716E-4</v>
      </c>
      <c r="FH54" s="74">
        <v>2.1105939999999999E-4</v>
      </c>
      <c r="FI54" s="74">
        <v>2.077983E-4</v>
      </c>
      <c r="FJ54" s="74">
        <v>2.0458769999999999E-4</v>
      </c>
      <c r="FK54" s="74">
        <v>2.0142660000000001E-4</v>
      </c>
      <c r="FL54" s="74">
        <v>1.9831429999999999E-4</v>
      </c>
      <c r="FM54" s="74">
        <v>1.9525019999999999E-4</v>
      </c>
      <c r="FN54" s="74">
        <v>1.9223330000000001E-4</v>
      </c>
      <c r="FO54" s="74">
        <v>1.8926309999999999E-4</v>
      </c>
      <c r="FP54" s="74">
        <v>1.8633880000000001E-4</v>
      </c>
      <c r="FQ54" s="74">
        <v>1.8345960000000001E-4</v>
      </c>
    </row>
    <row r="55" spans="1:173" x14ac:dyDescent="0.25">
      <c r="A55" s="76">
        <v>53</v>
      </c>
      <c r="B55" s="74">
        <v>2.6658505000000002E-3</v>
      </c>
      <c r="C55" s="74">
        <v>2.6344544999999998E-3</v>
      </c>
      <c r="D55" s="74">
        <v>2.6029725E-3</v>
      </c>
      <c r="E55" s="74">
        <v>2.5714395999999998E-3</v>
      </c>
      <c r="F55" s="74">
        <v>2.5398884999999999E-3</v>
      </c>
      <c r="G55" s="74">
        <v>2.5083497999999998E-3</v>
      </c>
      <c r="H55" s="74">
        <v>2.4768517999999998E-3</v>
      </c>
      <c r="I55" s="74">
        <v>2.4454205E-3</v>
      </c>
      <c r="J55" s="74">
        <v>2.4140805E-3</v>
      </c>
      <c r="K55" s="74">
        <v>2.3828539000000002E-3</v>
      </c>
      <c r="L55" s="74">
        <v>2.3517616000000002E-3</v>
      </c>
      <c r="M55" s="74">
        <v>2.3208224999999999E-3</v>
      </c>
      <c r="N55" s="74">
        <v>2.2900542000000002E-3</v>
      </c>
      <c r="O55" s="74">
        <v>2.2594727E-3</v>
      </c>
      <c r="P55" s="74">
        <v>2.2290928000000001E-3</v>
      </c>
      <c r="Q55" s="74">
        <v>2.1989277000000001E-3</v>
      </c>
      <c r="R55" s="74">
        <v>2.1689896999999999E-3</v>
      </c>
      <c r="S55" s="74">
        <v>2.1392899999999999E-3</v>
      </c>
      <c r="T55" s="74">
        <v>2.1098383999999999E-3</v>
      </c>
      <c r="U55" s="74">
        <v>2.080644E-3</v>
      </c>
      <c r="V55" s="74">
        <v>2.0517148999999999E-3</v>
      </c>
      <c r="W55" s="74">
        <v>2.0230584E-3</v>
      </c>
      <c r="X55" s="74">
        <v>1.9946808999999999E-3</v>
      </c>
      <c r="Y55" s="74">
        <v>1.966588E-3</v>
      </c>
      <c r="Z55" s="74">
        <v>1.9387847000000001E-3</v>
      </c>
      <c r="AA55" s="74">
        <v>1.9112752999999999E-3</v>
      </c>
      <c r="AB55" s="74">
        <v>1.8840635E-3</v>
      </c>
      <c r="AC55" s="74">
        <v>1.8571524000000001E-3</v>
      </c>
      <c r="AD55" s="74">
        <v>1.8305446999999999E-3</v>
      </c>
      <c r="AE55" s="74">
        <v>1.8042423000000001E-3</v>
      </c>
      <c r="AF55" s="74">
        <v>1.7782471E-3</v>
      </c>
      <c r="AG55" s="74">
        <v>1.7525601E-3</v>
      </c>
      <c r="AH55" s="74">
        <v>1.7271823E-3</v>
      </c>
      <c r="AI55" s="74">
        <v>1.702114E-3</v>
      </c>
      <c r="AJ55" s="74">
        <v>1.6773554999999999E-3</v>
      </c>
      <c r="AK55" s="74">
        <v>1.6529064999999999E-3</v>
      </c>
      <c r="AL55" s="74">
        <v>1.6287666E-3</v>
      </c>
      <c r="AM55" s="74">
        <v>1.6049351000000001E-3</v>
      </c>
      <c r="AN55" s="74">
        <v>1.5814109E-3</v>
      </c>
      <c r="AO55" s="74">
        <v>1.558193E-3</v>
      </c>
      <c r="AP55" s="74">
        <v>1.5352797999999999E-3</v>
      </c>
      <c r="AQ55" s="74">
        <v>1.5126698E-3</v>
      </c>
      <c r="AR55" s="74">
        <v>1.4903612E-3</v>
      </c>
      <c r="AS55" s="74">
        <v>1.4683522000000001E-3</v>
      </c>
      <c r="AT55" s="74">
        <v>1.4466405999999999E-3</v>
      </c>
      <c r="AU55" s="74">
        <v>1.4252244E-3</v>
      </c>
      <c r="AV55" s="74">
        <v>1.4041011000000001E-3</v>
      </c>
      <c r="AW55" s="74">
        <v>1.3832683999999999E-3</v>
      </c>
      <c r="AX55" s="74">
        <v>1.3627237E-3</v>
      </c>
      <c r="AY55" s="74">
        <v>1.3424646E-3</v>
      </c>
      <c r="AZ55" s="74">
        <v>1.3224882E-3</v>
      </c>
      <c r="BA55" s="74">
        <v>1.3027920000000001E-3</v>
      </c>
      <c r="BB55" s="74">
        <v>1.283373E-3</v>
      </c>
      <c r="BC55" s="74">
        <v>1.2642285E-3</v>
      </c>
      <c r="BD55" s="74">
        <v>1.2453556000000001E-3</v>
      </c>
      <c r="BE55" s="74">
        <v>1.2267513E-3</v>
      </c>
      <c r="BF55" s="74">
        <v>1.2084127000000001E-3</v>
      </c>
      <c r="BG55" s="74">
        <v>1.1903368E-3</v>
      </c>
      <c r="BH55" s="74">
        <v>1.1725206E-3</v>
      </c>
      <c r="BI55" s="74">
        <v>1.1549609999999999E-3</v>
      </c>
      <c r="BJ55" s="74">
        <v>1.1376551E-3</v>
      </c>
      <c r="BK55" s="74">
        <v>1.1205996999999999E-3</v>
      </c>
      <c r="BL55" s="74">
        <v>1.1037919000000001E-3</v>
      </c>
      <c r="BM55" s="74">
        <v>1.0872284999999999E-3</v>
      </c>
      <c r="BN55" s="74">
        <v>1.0709064999999999E-3</v>
      </c>
      <c r="BO55" s="74">
        <v>1.0548229000000001E-3</v>
      </c>
      <c r="BP55" s="74">
        <v>1.0389746E-3</v>
      </c>
      <c r="BQ55" s="74">
        <v>1.0233586E-3</v>
      </c>
      <c r="BR55" s="74">
        <v>1.0079719E-3</v>
      </c>
      <c r="BS55" s="74">
        <v>9.9281140000000005E-4</v>
      </c>
      <c r="BT55" s="74">
        <v>9.7787419999999996E-4</v>
      </c>
      <c r="BU55" s="74">
        <v>9.6315720000000004E-4</v>
      </c>
      <c r="BV55" s="74">
        <v>9.4865759999999998E-4</v>
      </c>
      <c r="BW55" s="74">
        <v>9.3437230000000004E-4</v>
      </c>
      <c r="BX55" s="74">
        <v>9.2029860000000005E-4</v>
      </c>
      <c r="BY55" s="74">
        <v>9.0643340000000003E-4</v>
      </c>
      <c r="BZ55" s="74">
        <v>8.9277390000000001E-4</v>
      </c>
      <c r="CA55" s="74">
        <v>8.793173E-4</v>
      </c>
      <c r="CB55" s="74">
        <v>8.6606070000000001E-4</v>
      </c>
      <c r="CC55" s="74">
        <v>8.5300139999999996E-4</v>
      </c>
      <c r="CD55" s="74">
        <v>8.4013649999999996E-4</v>
      </c>
      <c r="CE55" s="74">
        <v>8.2746339999999999E-4</v>
      </c>
      <c r="CF55" s="74">
        <v>8.1497939999999999E-4</v>
      </c>
      <c r="CG55" s="74">
        <v>8.0268169999999999E-4</v>
      </c>
      <c r="CH55" s="74">
        <v>7.9056769999999996E-4</v>
      </c>
      <c r="CI55" s="74">
        <v>7.786348E-4</v>
      </c>
      <c r="CJ55" s="74">
        <v>7.6688030000000005E-4</v>
      </c>
      <c r="CK55" s="74">
        <v>7.5530180000000005E-4</v>
      </c>
      <c r="CL55" s="74">
        <v>7.4389669999999999E-4</v>
      </c>
      <c r="CM55" s="74">
        <v>7.3266249999999998E-4</v>
      </c>
      <c r="CN55" s="74">
        <v>7.2159660000000001E-4</v>
      </c>
      <c r="CO55" s="74">
        <v>7.1069679999999997E-4</v>
      </c>
      <c r="CP55" s="74">
        <v>6.9996040000000004E-4</v>
      </c>
      <c r="CQ55" s="74">
        <v>6.8938530000000004E-4</v>
      </c>
      <c r="CR55" s="74">
        <v>6.7896890000000004E-4</v>
      </c>
      <c r="CS55" s="74">
        <v>6.687091E-4</v>
      </c>
      <c r="CT55" s="74">
        <v>6.5860340000000004E-4</v>
      </c>
      <c r="CU55" s="74">
        <v>6.4864969999999997E-4</v>
      </c>
      <c r="CV55" s="74">
        <v>6.3884569999999999E-4</v>
      </c>
      <c r="CW55" s="74">
        <v>6.2918909999999998E-4</v>
      </c>
      <c r="CX55" s="74">
        <v>6.1967789999999999E-4</v>
      </c>
      <c r="CY55" s="74">
        <v>6.1030990000000005E-4</v>
      </c>
      <c r="CZ55" s="74">
        <v>6.0108290000000005E-4</v>
      </c>
      <c r="DA55" s="74">
        <v>5.9199480000000004E-4</v>
      </c>
      <c r="DB55" s="74">
        <v>5.8304370000000002E-4</v>
      </c>
      <c r="DC55" s="74">
        <v>5.7422750000000002E-4</v>
      </c>
      <c r="DD55" s="74">
        <v>5.655441E-4</v>
      </c>
      <c r="DE55" s="74">
        <v>5.5699169999999998E-4</v>
      </c>
      <c r="DF55" s="74">
        <v>5.4856809999999996E-4</v>
      </c>
      <c r="DG55" s="74">
        <v>5.4027169999999996E-4</v>
      </c>
      <c r="DH55" s="74">
        <v>5.3210029999999997E-4</v>
      </c>
      <c r="DI55" s="74">
        <v>5.2405219999999996E-4</v>
      </c>
      <c r="DJ55" s="74">
        <v>5.1612559999999997E-4</v>
      </c>
      <c r="DK55" s="74">
        <v>5.083186E-4</v>
      </c>
      <c r="DL55" s="74">
        <v>5.0062939999999997E-4</v>
      </c>
      <c r="DM55" s="74">
        <v>4.9305629999999996E-4</v>
      </c>
      <c r="DN55" s="74">
        <v>4.855975E-4</v>
      </c>
      <c r="DO55" s="74">
        <v>4.7825130000000001E-4</v>
      </c>
      <c r="DP55" s="74">
        <v>4.7101599999999999E-4</v>
      </c>
      <c r="DQ55" s="74">
        <v>4.6389009999999999E-4</v>
      </c>
      <c r="DR55" s="74">
        <v>4.5687169999999999E-4</v>
      </c>
      <c r="DS55" s="74">
        <v>4.4995940000000002E-4</v>
      </c>
      <c r="DT55" s="74">
        <v>4.4315149999999998E-4</v>
      </c>
      <c r="DU55" s="74">
        <v>4.3644639999999998E-4</v>
      </c>
      <c r="DV55" s="74">
        <v>4.2984270000000002E-4</v>
      </c>
      <c r="DW55" s="74">
        <v>4.2333870000000001E-4</v>
      </c>
      <c r="DX55" s="74">
        <v>4.1693310000000001E-4</v>
      </c>
      <c r="DY55" s="74">
        <v>4.1062420000000002E-4</v>
      </c>
      <c r="DZ55" s="74">
        <v>4.0441069999999998E-4</v>
      </c>
      <c r="EA55" s="74">
        <v>3.9829120000000001E-4</v>
      </c>
      <c r="EB55" s="74">
        <v>3.922641E-4</v>
      </c>
      <c r="EC55" s="74">
        <v>3.863281E-4</v>
      </c>
      <c r="ED55" s="74">
        <v>3.8048189999999999E-4</v>
      </c>
      <c r="EE55" s="74">
        <v>3.7472409999999998E-4</v>
      </c>
      <c r="EF55" s="74">
        <v>3.6905329999999999E-4</v>
      </c>
      <c r="EG55" s="74">
        <v>3.6346829999999998E-4</v>
      </c>
      <c r="EH55" s="74">
        <v>3.5796770000000002E-4</v>
      </c>
      <c r="EI55" s="74">
        <v>3.5255030000000003E-4</v>
      </c>
      <c r="EJ55" s="74">
        <v>3.4721490000000002E-4</v>
      </c>
      <c r="EK55" s="74">
        <v>3.4196010000000002E-4</v>
      </c>
      <c r="EL55" s="74">
        <v>3.3678480000000002E-4</v>
      </c>
      <c r="EM55" s="74">
        <v>3.316878E-4</v>
      </c>
      <c r="EN55" s="74">
        <v>3.2666789999999998E-4</v>
      </c>
      <c r="EO55" s="74">
        <v>3.2172389999999998E-4</v>
      </c>
      <c r="EP55" s="74">
        <v>3.1685470000000001E-4</v>
      </c>
      <c r="EQ55" s="74">
        <v>3.1205909999999998E-4</v>
      </c>
      <c r="ER55" s="74">
        <v>3.0733609999999999E-4</v>
      </c>
      <c r="ES55" s="74">
        <v>3.0268450000000001E-4</v>
      </c>
      <c r="ET55" s="74">
        <v>2.9810330000000002E-4</v>
      </c>
      <c r="EU55" s="74">
        <v>2.9359139999999998E-4</v>
      </c>
      <c r="EV55" s="74">
        <v>2.8914780000000002E-4</v>
      </c>
      <c r="EW55" s="74">
        <v>2.8477139999999999E-4</v>
      </c>
      <c r="EX55" s="74">
        <v>2.8046119999999998E-4</v>
      </c>
      <c r="EY55" s="74">
        <v>2.7621619999999999E-4</v>
      </c>
      <c r="EZ55" s="74">
        <v>2.7203539999999998E-4</v>
      </c>
      <c r="FA55" s="74">
        <v>2.6791789999999998E-4</v>
      </c>
      <c r="FB55" s="74">
        <v>2.6386269999999998E-4</v>
      </c>
      <c r="FC55" s="74">
        <v>2.5986889999999999E-4</v>
      </c>
      <c r="FD55" s="74">
        <v>2.559355E-4</v>
      </c>
      <c r="FE55" s="74">
        <v>2.5206160000000003E-4</v>
      </c>
      <c r="FF55" s="74">
        <v>2.4824629999999997E-4</v>
      </c>
      <c r="FG55" s="74">
        <v>2.4448880000000001E-4</v>
      </c>
      <c r="FH55" s="74">
        <v>2.4078810000000001E-4</v>
      </c>
      <c r="FI55" s="74">
        <v>2.3714339999999999E-4</v>
      </c>
      <c r="FJ55" s="74">
        <v>2.3355389999999999E-4</v>
      </c>
      <c r="FK55" s="74">
        <v>2.3001869999999999E-4</v>
      </c>
      <c r="FL55" s="74">
        <v>2.2653699999999999E-4</v>
      </c>
      <c r="FM55" s="74">
        <v>2.2310799999999999E-4</v>
      </c>
      <c r="FN55" s="74">
        <v>2.1973089999999999E-4</v>
      </c>
      <c r="FO55" s="74">
        <v>2.1640489999999999E-4</v>
      </c>
      <c r="FP55" s="74">
        <v>2.1312920000000001E-4</v>
      </c>
      <c r="FQ55" s="74">
        <v>2.0990310000000001E-4</v>
      </c>
    </row>
    <row r="56" spans="1:173" x14ac:dyDescent="0.25">
      <c r="A56" s="76">
        <v>54</v>
      </c>
      <c r="B56" s="74">
        <v>2.9175533999999999E-3</v>
      </c>
      <c r="C56" s="74">
        <v>2.8811594E-3</v>
      </c>
      <c r="D56" s="74">
        <v>2.8448477E-3</v>
      </c>
      <c r="E56" s="74">
        <v>2.8086458000000001E-3</v>
      </c>
      <c r="F56" s="74">
        <v>2.7725788000000002E-3</v>
      </c>
      <c r="G56" s="74">
        <v>2.7366699E-3</v>
      </c>
      <c r="H56" s="74">
        <v>2.7009406E-3</v>
      </c>
      <c r="I56" s="74">
        <v>2.6654106000000002E-3</v>
      </c>
      <c r="J56" s="74">
        <v>2.6300977999999999E-3</v>
      </c>
      <c r="K56" s="74">
        <v>2.5950187E-3</v>
      </c>
      <c r="L56" s="74">
        <v>2.5601884999999999E-3</v>
      </c>
      <c r="M56" s="74">
        <v>2.5256209E-3</v>
      </c>
      <c r="N56" s="74">
        <v>2.4913281000000002E-3</v>
      </c>
      <c r="O56" s="74">
        <v>2.4573215999999999E-3</v>
      </c>
      <c r="P56" s="74">
        <v>2.4236115000000002E-3</v>
      </c>
      <c r="Q56" s="74">
        <v>2.3902067E-3</v>
      </c>
      <c r="R56" s="74">
        <v>2.3571155000000001E-3</v>
      </c>
      <c r="S56" s="74">
        <v>2.3243450999999998E-3</v>
      </c>
      <c r="T56" s="74">
        <v>2.2919017000000001E-3</v>
      </c>
      <c r="U56" s="74">
        <v>2.2597910000000001E-3</v>
      </c>
      <c r="V56" s="74">
        <v>2.2280179E-3</v>
      </c>
      <c r="W56" s="74">
        <v>2.1965863E-3</v>
      </c>
      <c r="X56" s="74">
        <v>2.1654998999999999E-3</v>
      </c>
      <c r="Y56" s="74">
        <v>2.1347614999999999E-3</v>
      </c>
      <c r="Z56" s="74">
        <v>2.1043733999999998E-3</v>
      </c>
      <c r="AA56" s="74">
        <v>2.0743376000000001E-3</v>
      </c>
      <c r="AB56" s="74">
        <v>2.0446552999999999E-3</v>
      </c>
      <c r="AC56" s="74">
        <v>2.0153275000000001E-3</v>
      </c>
      <c r="AD56" s="74">
        <v>1.9863545999999998E-3</v>
      </c>
      <c r="AE56" s="74">
        <v>1.9577369000000002E-3</v>
      </c>
      <c r="AF56" s="74">
        <v>1.929474E-3</v>
      </c>
      <c r="AG56" s="74">
        <v>1.9015653999999999E-3</v>
      </c>
      <c r="AH56" s="74">
        <v>1.8740103000000001E-3</v>
      </c>
      <c r="AI56" s="74">
        <v>1.8468076E-3</v>
      </c>
      <c r="AJ56" s="74">
        <v>1.8199558999999999E-3</v>
      </c>
      <c r="AK56" s="74">
        <v>1.7934534999999999E-3</v>
      </c>
      <c r="AL56" s="74">
        <v>1.7672988000000001E-3</v>
      </c>
      <c r="AM56" s="74">
        <v>1.7414895999999999E-3</v>
      </c>
      <c r="AN56" s="74">
        <v>1.7160238E-3</v>
      </c>
      <c r="AO56" s="74">
        <v>1.690899E-3</v>
      </c>
      <c r="AP56" s="74">
        <v>1.6661129000000001E-3</v>
      </c>
      <c r="AQ56" s="74">
        <v>1.6416626000000001E-3</v>
      </c>
      <c r="AR56" s="74">
        <v>1.6175456E-3</v>
      </c>
      <c r="AS56" s="74">
        <v>1.5937588999999999E-3</v>
      </c>
      <c r="AT56" s="74">
        <v>1.5702997000000001E-3</v>
      </c>
      <c r="AU56" s="74">
        <v>1.5471648E-3</v>
      </c>
      <c r="AV56" s="74">
        <v>1.5243513000000001E-3</v>
      </c>
      <c r="AW56" s="74">
        <v>1.5018557999999999E-3</v>
      </c>
      <c r="AX56" s="74">
        <v>1.4796752E-3</v>
      </c>
      <c r="AY56" s="74">
        <v>1.4578063E-3</v>
      </c>
      <c r="AZ56" s="74">
        <v>1.4362456E-3</v>
      </c>
      <c r="BA56" s="74">
        <v>1.4149898E-3</v>
      </c>
      <c r="BB56" s="74">
        <v>1.3940355E-3</v>
      </c>
      <c r="BC56" s="74">
        <v>1.3733793E-3</v>
      </c>
      <c r="BD56" s="74">
        <v>1.3530178E-3</v>
      </c>
      <c r="BE56" s="74">
        <v>1.3329475000000001E-3</v>
      </c>
      <c r="BF56" s="74">
        <v>1.3131649E-3</v>
      </c>
      <c r="BG56" s="74">
        <v>1.2936665999999999E-3</v>
      </c>
      <c r="BH56" s="74">
        <v>1.2744491E-3</v>
      </c>
      <c r="BI56" s="74">
        <v>1.2555089000000001E-3</v>
      </c>
      <c r="BJ56" s="74">
        <v>1.2368425999999999E-3</v>
      </c>
      <c r="BK56" s="74">
        <v>1.2184467E-3</v>
      </c>
      <c r="BL56" s="74">
        <v>1.2003176E-3</v>
      </c>
      <c r="BM56" s="74">
        <v>1.1824521000000001E-3</v>
      </c>
      <c r="BN56" s="74">
        <v>1.1648467E-3</v>
      </c>
      <c r="BO56" s="74">
        <v>1.1474979E-3</v>
      </c>
      <c r="BP56" s="74">
        <v>1.1304024999999999E-3</v>
      </c>
      <c r="BQ56" s="74">
        <v>1.1135569E-3</v>
      </c>
      <c r="BR56" s="74">
        <v>1.0969579000000001E-3</v>
      </c>
      <c r="BS56" s="74">
        <v>1.0806022E-3</v>
      </c>
      <c r="BT56" s="74">
        <v>1.0644864E-3</v>
      </c>
      <c r="BU56" s="74">
        <v>1.0486072999999999E-3</v>
      </c>
      <c r="BV56" s="74">
        <v>1.0329617E-3</v>
      </c>
      <c r="BW56" s="74">
        <v>1.0175462999999999E-3</v>
      </c>
      <c r="BX56" s="74">
        <v>1.0023580000000001E-3</v>
      </c>
      <c r="BY56" s="74">
        <v>9.8739349999999999E-4</v>
      </c>
      <c r="BZ56" s="74">
        <v>9.726499E-4</v>
      </c>
      <c r="CA56" s="74">
        <v>9.5812399999999998E-4</v>
      </c>
      <c r="CB56" s="74">
        <v>9.4381269999999995E-4</v>
      </c>
      <c r="CC56" s="74">
        <v>9.2971299999999998E-4</v>
      </c>
      <c r="CD56" s="74">
        <v>9.1582199999999995E-4</v>
      </c>
      <c r="CE56" s="74">
        <v>9.0213659999999998E-4</v>
      </c>
      <c r="CF56" s="74">
        <v>8.8865400000000001E-4</v>
      </c>
      <c r="CG56" s="74">
        <v>8.7537119999999996E-4</v>
      </c>
      <c r="CH56" s="74">
        <v>8.6228539999999999E-4</v>
      </c>
      <c r="CI56" s="74">
        <v>8.4939379999999999E-4</v>
      </c>
      <c r="CJ56" s="74">
        <v>8.3669359999999999E-4</v>
      </c>
      <c r="CK56" s="74">
        <v>8.2418200000000002E-4</v>
      </c>
      <c r="CL56" s="74">
        <v>8.1185630000000001E-4</v>
      </c>
      <c r="CM56" s="74">
        <v>7.9971389999999995E-4</v>
      </c>
      <c r="CN56" s="74">
        <v>7.8775199999999996E-4</v>
      </c>
      <c r="CO56" s="74">
        <v>7.7596800000000004E-4</v>
      </c>
      <c r="CP56" s="74">
        <v>7.6435939999999996E-4</v>
      </c>
      <c r="CQ56" s="74">
        <v>7.5292369999999998E-4</v>
      </c>
      <c r="CR56" s="74">
        <v>7.4165820000000003E-4</v>
      </c>
      <c r="CS56" s="74">
        <v>7.3056049999999995E-4</v>
      </c>
      <c r="CT56" s="74">
        <v>7.196282E-4</v>
      </c>
      <c r="CU56" s="74">
        <v>7.0885879999999998E-4</v>
      </c>
      <c r="CV56" s="74">
        <v>6.9824999999999998E-4</v>
      </c>
      <c r="CW56" s="74">
        <v>6.8779940000000003E-4</v>
      </c>
      <c r="CX56" s="74">
        <v>6.7750459999999998E-4</v>
      </c>
      <c r="CY56" s="74">
        <v>6.6736339999999995E-4</v>
      </c>
      <c r="CZ56" s="74">
        <v>6.573735E-4</v>
      </c>
      <c r="DA56" s="74">
        <v>6.4753279999999998E-4</v>
      </c>
      <c r="DB56" s="74">
        <v>6.3783890000000004E-4</v>
      </c>
      <c r="DC56" s="74">
        <v>6.282897E-4</v>
      </c>
      <c r="DD56" s="74">
        <v>6.1888320000000004E-4</v>
      </c>
      <c r="DE56" s="74">
        <v>6.0961710000000005E-4</v>
      </c>
      <c r="DF56" s="74">
        <v>6.0048939999999998E-4</v>
      </c>
      <c r="DG56" s="74">
        <v>5.9149810000000001E-4</v>
      </c>
      <c r="DH56" s="74">
        <v>5.8264120000000002E-4</v>
      </c>
      <c r="DI56" s="74">
        <v>5.7391660000000004E-4</v>
      </c>
      <c r="DJ56" s="74">
        <v>5.6532230000000004E-4</v>
      </c>
      <c r="DK56" s="74">
        <v>5.5685659999999998E-4</v>
      </c>
      <c r="DL56" s="74">
        <v>5.4851740000000002E-4</v>
      </c>
      <c r="DM56" s="74">
        <v>5.4030280000000005E-4</v>
      </c>
      <c r="DN56" s="74">
        <v>5.3221110000000002E-4</v>
      </c>
      <c r="DO56" s="74">
        <v>5.2424039999999996E-4</v>
      </c>
      <c r="DP56" s="74">
        <v>5.1638889999999998E-4</v>
      </c>
      <c r="DQ56" s="74">
        <v>5.0865480000000004E-4</v>
      </c>
      <c r="DR56" s="74">
        <v>5.0103639999999998E-4</v>
      </c>
      <c r="DS56" s="74">
        <v>4.9353190000000005E-4</v>
      </c>
      <c r="DT56" s="74">
        <v>4.8613980000000002E-4</v>
      </c>
      <c r="DU56" s="74">
        <v>4.7885819999999999E-4</v>
      </c>
      <c r="DV56" s="74">
        <v>4.7168550000000002E-4</v>
      </c>
      <c r="DW56" s="74">
        <v>4.6462020000000002E-4</v>
      </c>
      <c r="DX56" s="74">
        <v>4.5766060000000002E-4</v>
      </c>
      <c r="DY56" s="74">
        <v>4.5080510000000001E-4</v>
      </c>
      <c r="DZ56" s="74">
        <v>4.440523E-4</v>
      </c>
      <c r="EA56" s="74">
        <v>4.3740050000000001E-4</v>
      </c>
      <c r="EB56" s="74">
        <v>4.3084820000000002E-4</v>
      </c>
      <c r="EC56" s="74">
        <v>4.2439410000000001E-4</v>
      </c>
      <c r="ED56" s="74">
        <v>4.180365E-4</v>
      </c>
      <c r="EE56" s="74">
        <v>4.1177409999999998E-4</v>
      </c>
      <c r="EF56" s="74">
        <v>4.0560550000000003E-4</v>
      </c>
      <c r="EG56" s="74">
        <v>3.9952919999999999E-4</v>
      </c>
      <c r="EH56" s="74">
        <v>3.9354389999999998E-4</v>
      </c>
      <c r="EI56" s="74">
        <v>3.8764810000000002E-4</v>
      </c>
      <c r="EJ56" s="74">
        <v>3.8184070000000001E-4</v>
      </c>
      <c r="EK56" s="74">
        <v>3.7612019999999998E-4</v>
      </c>
      <c r="EL56" s="74">
        <v>3.7048540000000002E-4</v>
      </c>
      <c r="EM56" s="74">
        <v>3.6493490000000001E-4</v>
      </c>
      <c r="EN56" s="74">
        <v>3.5946749999999999E-4</v>
      </c>
      <c r="EO56" s="74">
        <v>3.5408199999999998E-4</v>
      </c>
      <c r="EP56" s="74">
        <v>3.487772E-4</v>
      </c>
      <c r="EQ56" s="74">
        <v>3.4355179999999999E-4</v>
      </c>
      <c r="ER56" s="74">
        <v>3.3840459999999998E-4</v>
      </c>
      <c r="ES56" s="74">
        <v>3.3333460000000001E-4</v>
      </c>
      <c r="ET56" s="74">
        <v>3.2834040000000002E-4</v>
      </c>
      <c r="EU56" s="74">
        <v>3.2342109999999999E-4</v>
      </c>
      <c r="EV56" s="74">
        <v>3.1857540000000001E-4</v>
      </c>
      <c r="EW56" s="74">
        <v>3.1380230000000001E-4</v>
      </c>
      <c r="EX56" s="74">
        <v>3.091007E-4</v>
      </c>
      <c r="EY56" s="74">
        <v>3.0446949999999998E-4</v>
      </c>
      <c r="EZ56" s="74">
        <v>2.9990769999999999E-4</v>
      </c>
      <c r="FA56" s="74">
        <v>2.9541419999999999E-4</v>
      </c>
      <c r="FB56" s="74">
        <v>2.90988E-4</v>
      </c>
      <c r="FC56" s="74">
        <v>2.8662810000000001E-4</v>
      </c>
      <c r="FD56" s="74">
        <v>2.8233350000000002E-4</v>
      </c>
      <c r="FE56" s="74">
        <v>2.7810330000000002E-4</v>
      </c>
      <c r="FF56" s="74">
        <v>2.7393639999999999E-4</v>
      </c>
      <c r="FG56" s="74">
        <v>2.6983189999999998E-4</v>
      </c>
      <c r="FH56" s="74">
        <v>2.6578890000000002E-4</v>
      </c>
      <c r="FI56" s="74">
        <v>2.6180650000000001E-4</v>
      </c>
      <c r="FJ56" s="74">
        <v>2.5788370000000001E-4</v>
      </c>
      <c r="FK56" s="74">
        <v>2.5401969999999999E-4</v>
      </c>
      <c r="FL56" s="74">
        <v>2.5021359999999999E-4</v>
      </c>
      <c r="FM56" s="74">
        <v>2.4646450000000001E-4</v>
      </c>
      <c r="FN56" s="74">
        <v>2.4277160000000001E-4</v>
      </c>
      <c r="FO56" s="74">
        <v>2.391339E-4</v>
      </c>
      <c r="FP56" s="74">
        <v>2.3555080000000001E-4</v>
      </c>
      <c r="FQ56" s="74">
        <v>2.3202140000000001E-4</v>
      </c>
    </row>
    <row r="57" spans="1:173" x14ac:dyDescent="0.25">
      <c r="A57" s="76">
        <v>55</v>
      </c>
      <c r="B57" s="74">
        <v>3.1851316000000001E-3</v>
      </c>
      <c r="C57" s="74">
        <v>3.1477108E-3</v>
      </c>
      <c r="D57" s="74">
        <v>3.1102517999999999E-3</v>
      </c>
      <c r="E57" s="74">
        <v>3.0727905999999999E-3</v>
      </c>
      <c r="F57" s="74">
        <v>3.0353608999999998E-3</v>
      </c>
      <c r="G57" s="74">
        <v>2.9979941E-3</v>
      </c>
      <c r="H57" s="74">
        <v>2.9607191000000001E-3</v>
      </c>
      <c r="I57" s="74">
        <v>2.9235626E-3</v>
      </c>
      <c r="J57" s="74">
        <v>2.8865495000000001E-3</v>
      </c>
      <c r="K57" s="74">
        <v>2.8497026000000002E-3</v>
      </c>
      <c r="L57" s="74">
        <v>2.8130428999999998E-3</v>
      </c>
      <c r="M57" s="74">
        <v>2.7765896000000001E-3</v>
      </c>
      <c r="N57" s="74">
        <v>2.7403606E-3</v>
      </c>
      <c r="O57" s="74">
        <v>2.704372E-3</v>
      </c>
      <c r="P57" s="74">
        <v>2.6686385999999999E-3</v>
      </c>
      <c r="Q57" s="74">
        <v>2.6331738999999998E-3</v>
      </c>
      <c r="R57" s="74">
        <v>2.5979900000000001E-3</v>
      </c>
      <c r="S57" s="74">
        <v>2.5630980000000002E-3</v>
      </c>
      <c r="T57" s="74">
        <v>2.5285079E-3</v>
      </c>
      <c r="U57" s="74">
        <v>2.4942286E-3</v>
      </c>
      <c r="V57" s="74">
        <v>2.4602679999999998E-3</v>
      </c>
      <c r="W57" s="74">
        <v>2.4266332000000002E-3</v>
      </c>
      <c r="X57" s="74">
        <v>2.3933304000000001E-3</v>
      </c>
      <c r="Y57" s="74">
        <v>2.3603651000000002E-3</v>
      </c>
      <c r="Z57" s="74">
        <v>2.3277420999999999E-3</v>
      </c>
      <c r="AA57" s="74">
        <v>2.2954653000000001E-3</v>
      </c>
      <c r="AB57" s="74">
        <v>2.2635381999999999E-3</v>
      </c>
      <c r="AC57" s="74">
        <v>2.2319636999999998E-3</v>
      </c>
      <c r="AD57" s="74">
        <v>2.2007440000000001E-3</v>
      </c>
      <c r="AE57" s="74">
        <v>2.1698809000000002E-3</v>
      </c>
      <c r="AF57" s="74">
        <v>2.1393757E-3</v>
      </c>
      <c r="AG57" s="74">
        <v>2.1092293999999999E-3</v>
      </c>
      <c r="AH57" s="74">
        <v>2.0794423E-3</v>
      </c>
      <c r="AI57" s="74">
        <v>2.0500145999999999E-3</v>
      </c>
      <c r="AJ57" s="74">
        <v>2.0209461000000001E-3</v>
      </c>
      <c r="AK57" s="74">
        <v>1.9922362000000002E-3</v>
      </c>
      <c r="AL57" s="74">
        <v>1.9638839999999999E-3</v>
      </c>
      <c r="AM57" s="74">
        <v>1.9358884999999999E-3</v>
      </c>
      <c r="AN57" s="74">
        <v>1.9082482E-3</v>
      </c>
      <c r="AO57" s="74">
        <v>1.8809615E-3</v>
      </c>
      <c r="AP57" s="74">
        <v>1.8540268E-3</v>
      </c>
      <c r="AQ57" s="74">
        <v>1.8274418E-3</v>
      </c>
      <c r="AR57" s="74">
        <v>1.8012046E-3</v>
      </c>
      <c r="AS57" s="74">
        <v>1.7753127E-3</v>
      </c>
      <c r="AT57" s="74">
        <v>1.7497636999999999E-3</v>
      </c>
      <c r="AU57" s="74">
        <v>1.7245549E-3</v>
      </c>
      <c r="AV57" s="74">
        <v>1.6996838000000001E-3</v>
      </c>
      <c r="AW57" s="74">
        <v>1.6751473E-3</v>
      </c>
      <c r="AX57" s="74">
        <v>1.6509426000000001E-3</v>
      </c>
      <c r="AY57" s="74">
        <v>1.6270667E-3</v>
      </c>
      <c r="AZ57" s="74">
        <v>1.6035165000000001E-3</v>
      </c>
      <c r="BA57" s="74">
        <v>1.5802888000000001E-3</v>
      </c>
      <c r="BB57" s="74">
        <v>1.5573805000000001E-3</v>
      </c>
      <c r="BC57" s="74">
        <v>1.5347882000000001E-3</v>
      </c>
      <c r="BD57" s="74">
        <v>1.5125086000000001E-3</v>
      </c>
      <c r="BE57" s="74">
        <v>1.4905383999999999E-3</v>
      </c>
      <c r="BF57" s="74">
        <v>1.4688743000000001E-3</v>
      </c>
      <c r="BG57" s="74">
        <v>1.4475128E-3</v>
      </c>
      <c r="BH57" s="74">
        <v>1.4264504E-3</v>
      </c>
      <c r="BI57" s="74">
        <v>1.4056838000000001E-3</v>
      </c>
      <c r="BJ57" s="74">
        <v>1.3852095E-3</v>
      </c>
      <c r="BK57" s="74">
        <v>1.3650240000000001E-3</v>
      </c>
      <c r="BL57" s="74">
        <v>1.3451239E-3</v>
      </c>
      <c r="BM57" s="74">
        <v>1.3255056E-3</v>
      </c>
      <c r="BN57" s="74">
        <v>1.3061659000000001E-3</v>
      </c>
      <c r="BO57" s="74">
        <v>1.2871010999999999E-3</v>
      </c>
      <c r="BP57" s="74">
        <v>1.2683078E-3</v>
      </c>
      <c r="BQ57" s="74">
        <v>1.2497827000000001E-3</v>
      </c>
      <c r="BR57" s="74">
        <v>1.2315223E-3</v>
      </c>
      <c r="BS57" s="74">
        <v>1.2135232000000001E-3</v>
      </c>
      <c r="BT57" s="74">
        <v>1.1957820000000001E-3</v>
      </c>
      <c r="BU57" s="74">
        <v>1.1782953000000001E-3</v>
      </c>
      <c r="BV57" s="74">
        <v>1.1610597999999999E-3</v>
      </c>
      <c r="BW57" s="74">
        <v>1.1440723E-3</v>
      </c>
      <c r="BX57" s="74">
        <v>1.1273292999999999E-3</v>
      </c>
      <c r="BY57" s="74">
        <v>1.1108277E-3</v>
      </c>
      <c r="BZ57" s="74">
        <v>1.0945640999999999E-3</v>
      </c>
      <c r="CA57" s="74">
        <v>1.0785355E-3</v>
      </c>
      <c r="CB57" s="74">
        <v>1.0627385000000001E-3</v>
      </c>
      <c r="CC57" s="74">
        <v>1.0471701000000001E-3</v>
      </c>
      <c r="CD57" s="74">
        <v>1.0318271E-3</v>
      </c>
      <c r="CE57" s="74">
        <v>1.0167064E-3</v>
      </c>
      <c r="CF57" s="74">
        <v>1.0018048999999999E-3</v>
      </c>
      <c r="CG57" s="74">
        <v>9.8711970000000008E-4</v>
      </c>
      <c r="CH57" s="74">
        <v>9.7264780000000004E-4</v>
      </c>
      <c r="CI57" s="74">
        <v>9.5838599999999998E-4</v>
      </c>
      <c r="CJ57" s="74">
        <v>9.4433159999999996E-4</v>
      </c>
      <c r="CK57" s="74">
        <v>9.3048169999999995E-4</v>
      </c>
      <c r="CL57" s="74">
        <v>9.1683330000000003E-4</v>
      </c>
      <c r="CM57" s="74">
        <v>9.0338359999999999E-4</v>
      </c>
      <c r="CN57" s="74">
        <v>8.9012990000000001E-4</v>
      </c>
      <c r="CO57" s="74">
        <v>8.7706929999999995E-4</v>
      </c>
      <c r="CP57" s="74">
        <v>8.6419909999999999E-4</v>
      </c>
      <c r="CQ57" s="74">
        <v>8.5151669999999999E-4</v>
      </c>
      <c r="CR57" s="74">
        <v>8.3901940000000001E-4</v>
      </c>
      <c r="CS57" s="74">
        <v>8.2670439999999997E-4</v>
      </c>
      <c r="CT57" s="74">
        <v>8.1456930000000001E-4</v>
      </c>
      <c r="CU57" s="74">
        <v>8.0261139999999998E-4</v>
      </c>
      <c r="CV57" s="74">
        <v>7.9082830000000003E-4</v>
      </c>
      <c r="CW57" s="74">
        <v>7.7921740000000005E-4</v>
      </c>
      <c r="CX57" s="74">
        <v>7.6777620000000003E-4</v>
      </c>
      <c r="CY57" s="74">
        <v>7.5650239999999996E-4</v>
      </c>
      <c r="CZ57" s="74">
        <v>7.4539340000000004E-4</v>
      </c>
      <c r="DA57" s="74">
        <v>7.3444700000000005E-4</v>
      </c>
      <c r="DB57" s="74">
        <v>7.2366080000000005E-4</v>
      </c>
      <c r="DC57" s="74">
        <v>7.1303250000000001E-4</v>
      </c>
      <c r="DD57" s="74">
        <v>7.0255980000000001E-4</v>
      </c>
      <c r="DE57" s="74">
        <v>6.9224040000000003E-4</v>
      </c>
      <c r="DF57" s="74">
        <v>6.820722E-4</v>
      </c>
      <c r="DG57" s="74">
        <v>6.7205300000000004E-4</v>
      </c>
      <c r="DH57" s="74">
        <v>6.6218050000000001E-4</v>
      </c>
      <c r="DI57" s="74">
        <v>6.524527E-4</v>
      </c>
      <c r="DJ57" s="74">
        <v>6.4286750000000004E-4</v>
      </c>
      <c r="DK57" s="74">
        <v>6.3342279999999997E-4</v>
      </c>
      <c r="DL57" s="74">
        <v>6.2411650000000003E-4</v>
      </c>
      <c r="DM57" s="74">
        <v>6.1494670000000003E-4</v>
      </c>
      <c r="DN57" s="74">
        <v>6.0591140000000002E-4</v>
      </c>
      <c r="DO57" s="74">
        <v>5.9700859999999999E-4</v>
      </c>
      <c r="DP57" s="74">
        <v>5.882363E-4</v>
      </c>
      <c r="DQ57" s="74">
        <v>5.795927E-4</v>
      </c>
      <c r="DR57" s="74">
        <v>5.7107600000000001E-4</v>
      </c>
      <c r="DS57" s="74">
        <v>5.6268409999999996E-4</v>
      </c>
      <c r="DT57" s="74">
        <v>5.544155E-4</v>
      </c>
      <c r="DU57" s="74">
        <v>5.4626809999999996E-4</v>
      </c>
      <c r="DV57" s="74">
        <v>5.3824039999999997E-4</v>
      </c>
      <c r="DW57" s="74">
        <v>5.303304E-4</v>
      </c>
      <c r="DX57" s="74">
        <v>5.2253659999999997E-4</v>
      </c>
      <c r="DY57" s="74">
        <v>5.148571E-4</v>
      </c>
      <c r="DZ57" s="74">
        <v>5.072904E-4</v>
      </c>
      <c r="EA57" s="74">
        <v>4.9983479999999995E-4</v>
      </c>
      <c r="EB57" s="74">
        <v>4.9248860000000001E-4</v>
      </c>
      <c r="EC57" s="74">
        <v>4.852503E-4</v>
      </c>
      <c r="ED57" s="74">
        <v>4.7811830000000003E-4</v>
      </c>
      <c r="EE57" s="74">
        <v>4.7109099999999998E-4</v>
      </c>
      <c r="EF57" s="74">
        <v>4.641669E-4</v>
      </c>
      <c r="EG57" s="74">
        <v>4.573445E-4</v>
      </c>
      <c r="EH57" s="74">
        <v>4.5062230000000002E-4</v>
      </c>
      <c r="EI57" s="74">
        <v>4.4399890000000001E-4</v>
      </c>
      <c r="EJ57" s="74">
        <v>4.3747270000000002E-4</v>
      </c>
      <c r="EK57" s="74">
        <v>4.3104230000000002E-4</v>
      </c>
      <c r="EL57" s="74">
        <v>4.2470650000000002E-4</v>
      </c>
      <c r="EM57" s="74">
        <v>4.1846370000000002E-4</v>
      </c>
      <c r="EN57" s="74">
        <v>4.1231260000000001E-4</v>
      </c>
      <c r="EO57" s="74">
        <v>4.062518E-4</v>
      </c>
      <c r="EP57" s="74">
        <v>4.0028010000000002E-4</v>
      </c>
      <c r="EQ57" s="74">
        <v>3.943962E-4</v>
      </c>
      <c r="ER57" s="74">
        <v>3.8859860000000002E-4</v>
      </c>
      <c r="ES57" s="74">
        <v>3.8288629999999997E-4</v>
      </c>
      <c r="ET57" s="74">
        <v>3.7725790000000002E-4</v>
      </c>
      <c r="EU57" s="74">
        <v>3.7171220000000002E-4</v>
      </c>
      <c r="EV57" s="74">
        <v>3.6624789999999997E-4</v>
      </c>
      <c r="EW57" s="74">
        <v>3.6086400000000002E-4</v>
      </c>
      <c r="EX57" s="74">
        <v>3.5555919999999999E-4</v>
      </c>
      <c r="EY57" s="74">
        <v>3.5033230000000001E-4</v>
      </c>
      <c r="EZ57" s="74">
        <v>3.4518219999999999E-4</v>
      </c>
      <c r="FA57" s="74">
        <v>3.4010790000000001E-4</v>
      </c>
      <c r="FB57" s="74">
        <v>3.3510799999999998E-4</v>
      </c>
      <c r="FC57" s="74">
        <v>3.301817E-4</v>
      </c>
      <c r="FD57" s="74">
        <v>3.2532779999999999E-4</v>
      </c>
      <c r="FE57" s="74">
        <v>3.2054510000000002E-4</v>
      </c>
      <c r="FF57" s="74">
        <v>3.158328E-4</v>
      </c>
      <c r="FG57" s="74">
        <v>3.1118969999999999E-4</v>
      </c>
      <c r="FH57" s="74">
        <v>3.0661490000000001E-4</v>
      </c>
      <c r="FI57" s="74">
        <v>3.0210730000000002E-4</v>
      </c>
      <c r="FJ57" s="74">
        <v>2.9766599999999998E-4</v>
      </c>
      <c r="FK57" s="74">
        <v>2.932899E-4</v>
      </c>
      <c r="FL57" s="74">
        <v>2.8897809999999999E-4</v>
      </c>
      <c r="FM57" s="74">
        <v>2.8472980000000001E-4</v>
      </c>
      <c r="FN57" s="74">
        <v>2.8054380000000002E-4</v>
      </c>
      <c r="FO57" s="74">
        <v>2.764194E-4</v>
      </c>
      <c r="FP57" s="74">
        <v>2.7235559999999999E-4</v>
      </c>
      <c r="FQ57" s="74">
        <v>2.6835150000000001E-4</v>
      </c>
    </row>
    <row r="58" spans="1:173" x14ac:dyDescent="0.25">
      <c r="A58" s="76">
        <v>56</v>
      </c>
      <c r="B58" s="74">
        <v>3.4574832E-3</v>
      </c>
      <c r="C58" s="74">
        <v>3.4146011999999998E-3</v>
      </c>
      <c r="D58" s="74">
        <v>3.3718368999999999E-3</v>
      </c>
      <c r="E58" s="74">
        <v>3.3292204000000001E-3</v>
      </c>
      <c r="F58" s="74">
        <v>3.2867793999999998E-3</v>
      </c>
      <c r="G58" s="74">
        <v>3.2445394E-3</v>
      </c>
      <c r="H58" s="74">
        <v>3.2025239E-3</v>
      </c>
      <c r="I58" s="74">
        <v>3.1607545000000002E-3</v>
      </c>
      <c r="J58" s="74">
        <v>3.1192508999999999E-3</v>
      </c>
      <c r="K58" s="74">
        <v>3.0780311999999998E-3</v>
      </c>
      <c r="L58" s="74">
        <v>3.0371118000000002E-3</v>
      </c>
      <c r="M58" s="74">
        <v>2.9965076E-3</v>
      </c>
      <c r="N58" s="74">
        <v>2.9562323000000001E-3</v>
      </c>
      <c r="O58" s="74">
        <v>2.9162980999999999E-3</v>
      </c>
      <c r="P58" s="74">
        <v>2.8767159E-3</v>
      </c>
      <c r="Q58" s="74">
        <v>2.8374954999999999E-3</v>
      </c>
      <c r="R58" s="74">
        <v>2.7986459000000001E-3</v>
      </c>
      <c r="S58" s="74">
        <v>2.7601747E-3</v>
      </c>
      <c r="T58" s="74">
        <v>2.7220888E-3</v>
      </c>
      <c r="U58" s="74">
        <v>2.6843940000000001E-3</v>
      </c>
      <c r="V58" s="74">
        <v>2.6470956000000001E-3</v>
      </c>
      <c r="W58" s="74">
        <v>2.6101980000000002E-3</v>
      </c>
      <c r="X58" s="74">
        <v>2.5737046999999998E-3</v>
      </c>
      <c r="Y58" s="74">
        <v>2.5376188E-3</v>
      </c>
      <c r="Z58" s="74">
        <v>2.5019426999999999E-3</v>
      </c>
      <c r="AA58" s="74">
        <v>2.4666782E-3</v>
      </c>
      <c r="AB58" s="74">
        <v>2.4318267E-3</v>
      </c>
      <c r="AC58" s="74">
        <v>2.3973889000000002E-3</v>
      </c>
      <c r="AD58" s="74">
        <v>2.3633652000000002E-3</v>
      </c>
      <c r="AE58" s="74">
        <v>2.3297554999999999E-3</v>
      </c>
      <c r="AF58" s="74">
        <v>2.2965594999999998E-3</v>
      </c>
      <c r="AG58" s="74">
        <v>2.2637762E-3</v>
      </c>
      <c r="AH58" s="74">
        <v>2.2314047E-3</v>
      </c>
      <c r="AI58" s="74">
        <v>2.1994433999999998E-3</v>
      </c>
      <c r="AJ58" s="74">
        <v>2.1678906999999998E-3</v>
      </c>
      <c r="AK58" s="74">
        <v>2.1367447000000001E-3</v>
      </c>
      <c r="AL58" s="74">
        <v>2.106003E-3</v>
      </c>
      <c r="AM58" s="74">
        <v>2.0756633999999999E-3</v>
      </c>
      <c r="AN58" s="74">
        <v>2.0457231999999998E-3</v>
      </c>
      <c r="AO58" s="74">
        <v>2.0161797000000001E-3</v>
      </c>
      <c r="AP58" s="74">
        <v>1.9870299999999999E-3</v>
      </c>
      <c r="AQ58" s="74">
        <v>1.9582709000000001E-3</v>
      </c>
      <c r="AR58" s="74">
        <v>1.9298992E-3</v>
      </c>
      <c r="AS58" s="74">
        <v>1.9019117000000001E-3</v>
      </c>
      <c r="AT58" s="74">
        <v>1.8743048999999999E-3</v>
      </c>
      <c r="AU58" s="74">
        <v>1.8470753E-3</v>
      </c>
      <c r="AV58" s="74">
        <v>1.8202191999999999E-3</v>
      </c>
      <c r="AW58" s="74">
        <v>1.793733E-3</v>
      </c>
      <c r="AX58" s="74">
        <v>1.7676129999999999E-3</v>
      </c>
      <c r="AY58" s="74">
        <v>1.7418552999999999E-3</v>
      </c>
      <c r="AZ58" s="74">
        <v>1.7164560999999999E-3</v>
      </c>
      <c r="BA58" s="74">
        <v>1.6914116000000001E-3</v>
      </c>
      <c r="BB58" s="74">
        <v>1.6667177000000001E-3</v>
      </c>
      <c r="BC58" s="74">
        <v>1.6423704999999999E-3</v>
      </c>
      <c r="BD58" s="74">
        <v>1.6183661E-3</v>
      </c>
      <c r="BE58" s="74">
        <v>1.5947006000000001E-3</v>
      </c>
      <c r="BF58" s="74">
        <v>1.5713698E-3</v>
      </c>
      <c r="BG58" s="74">
        <v>1.5483697E-3</v>
      </c>
      <c r="BH58" s="74">
        <v>1.5256965E-3</v>
      </c>
      <c r="BI58" s="74">
        <v>1.5033461000000001E-3</v>
      </c>
      <c r="BJ58" s="74">
        <v>1.4813144E-3</v>
      </c>
      <c r="BK58" s="74">
        <v>1.4595974999999999E-3</v>
      </c>
      <c r="BL58" s="74">
        <v>1.4381915000000001E-3</v>
      </c>
      <c r="BM58" s="74">
        <v>1.4170923000000001E-3</v>
      </c>
      <c r="BN58" s="74">
        <v>1.3962961E-3</v>
      </c>
      <c r="BO58" s="74">
        <v>1.3757988E-3</v>
      </c>
      <c r="BP58" s="74">
        <v>1.3555966999999999E-3</v>
      </c>
      <c r="BQ58" s="74">
        <v>1.3356857000000001E-3</v>
      </c>
      <c r="BR58" s="74">
        <v>1.3160622000000001E-3</v>
      </c>
      <c r="BS58" s="74">
        <v>1.2967222E-3</v>
      </c>
      <c r="BT58" s="74">
        <v>1.2776619999999999E-3</v>
      </c>
      <c r="BU58" s="74">
        <v>1.2588778000000001E-3</v>
      </c>
      <c r="BV58" s="74">
        <v>1.2403658000000001E-3</v>
      </c>
      <c r="BW58" s="74">
        <v>1.2221224999999999E-3</v>
      </c>
      <c r="BX58" s="74">
        <v>1.2041440000000001E-3</v>
      </c>
      <c r="BY58" s="74">
        <v>1.1864269000000001E-3</v>
      </c>
      <c r="BZ58" s="74">
        <v>1.1689674000000001E-3</v>
      </c>
      <c r="CA58" s="74">
        <v>1.1517621E-3</v>
      </c>
      <c r="CB58" s="74">
        <v>1.1348074E-3</v>
      </c>
      <c r="CC58" s="74">
        <v>1.1180998000000001E-3</v>
      </c>
      <c r="CD58" s="74">
        <v>1.1016359E-3</v>
      </c>
      <c r="CE58" s="74">
        <v>1.0854122999999999E-3</v>
      </c>
      <c r="CF58" s="74">
        <v>1.0694255999999999E-3</v>
      </c>
      <c r="CG58" s="74">
        <v>1.0536724E-3</v>
      </c>
      <c r="CH58" s="74">
        <v>1.0381495999999999E-3</v>
      </c>
      <c r="CI58" s="74">
        <v>1.0228537E-3</v>
      </c>
      <c r="CJ58" s="74">
        <v>1.0077816999999999E-3</v>
      </c>
      <c r="CK58" s="74">
        <v>9.9293030000000004E-4</v>
      </c>
      <c r="CL58" s="74">
        <v>9.7829649999999998E-4</v>
      </c>
      <c r="CM58" s="74">
        <v>9.6387700000000003E-4</v>
      </c>
      <c r="CN58" s="74">
        <v>9.4966880000000003E-4</v>
      </c>
      <c r="CO58" s="74">
        <v>9.3566899999999998E-4</v>
      </c>
      <c r="CP58" s="74">
        <v>9.218745E-4</v>
      </c>
      <c r="CQ58" s="74">
        <v>9.0828239999999998E-4</v>
      </c>
      <c r="CR58" s="74">
        <v>8.9488969999999997E-4</v>
      </c>
      <c r="CS58" s="74">
        <v>8.8169370000000004E-4</v>
      </c>
      <c r="CT58" s="74">
        <v>8.6869140000000002E-4</v>
      </c>
      <c r="CU58" s="74">
        <v>8.5588009999999998E-4</v>
      </c>
      <c r="CV58" s="74">
        <v>8.4325709999999996E-4</v>
      </c>
      <c r="CW58" s="74">
        <v>8.3081949999999996E-4</v>
      </c>
      <c r="CX58" s="74">
        <v>8.1856479999999998E-4</v>
      </c>
      <c r="CY58" s="74">
        <v>8.0649020000000005E-4</v>
      </c>
      <c r="CZ58" s="74">
        <v>7.9459319999999997E-4</v>
      </c>
      <c r="DA58" s="74">
        <v>7.8287110000000001E-4</v>
      </c>
      <c r="DB58" s="74">
        <v>7.713215E-4</v>
      </c>
      <c r="DC58" s="74">
        <v>7.5994180000000004E-4</v>
      </c>
      <c r="DD58" s="74">
        <v>7.4872960000000005E-4</v>
      </c>
      <c r="DE58" s="74">
        <v>7.3768239999999995E-4</v>
      </c>
      <c r="DF58" s="74">
        <v>7.267978E-4</v>
      </c>
      <c r="DG58" s="74">
        <v>7.1607349999999997E-4</v>
      </c>
      <c r="DH58" s="74">
        <v>7.0550699999999997E-4</v>
      </c>
      <c r="DI58" s="74">
        <v>6.9509620000000004E-4</v>
      </c>
      <c r="DJ58" s="74">
        <v>6.8483870000000003E-4</v>
      </c>
      <c r="DK58" s="74">
        <v>6.747322E-4</v>
      </c>
      <c r="DL58" s="74">
        <v>6.6477470000000005E-4</v>
      </c>
      <c r="DM58" s="74">
        <v>6.5496390000000003E-4</v>
      </c>
      <c r="DN58" s="74">
        <v>6.4529759999999996E-4</v>
      </c>
      <c r="DO58" s="74">
        <v>6.3577369999999998E-4</v>
      </c>
      <c r="DP58" s="74">
        <v>6.2639019999999996E-4</v>
      </c>
      <c r="DQ58" s="74">
        <v>6.1714500000000004E-4</v>
      </c>
      <c r="DR58" s="74">
        <v>6.0803609999999998E-4</v>
      </c>
      <c r="DS58" s="74">
        <v>5.9906140000000004E-4</v>
      </c>
      <c r="DT58" s="74">
        <v>5.9021910000000004E-4</v>
      </c>
      <c r="DU58" s="74">
        <v>5.8150710000000002E-4</v>
      </c>
      <c r="DV58" s="74">
        <v>5.7292360000000002E-4</v>
      </c>
      <c r="DW58" s="74">
        <v>5.644666E-4</v>
      </c>
      <c r="DX58" s="74">
        <v>5.5613430000000001E-4</v>
      </c>
      <c r="DY58" s="74">
        <v>5.4792489999999996E-4</v>
      </c>
      <c r="DZ58" s="74">
        <v>5.3983660000000001E-4</v>
      </c>
      <c r="EA58" s="74">
        <v>5.3186749999999995E-4</v>
      </c>
      <c r="EB58" s="74">
        <v>5.2401599999999998E-4</v>
      </c>
      <c r="EC58" s="74">
        <v>5.1628030000000003E-4</v>
      </c>
      <c r="ED58" s="74">
        <v>5.0865869999999996E-4</v>
      </c>
      <c r="EE58" s="74">
        <v>5.0114949999999995E-4</v>
      </c>
      <c r="EF58" s="74">
        <v>4.9375109999999999E-4</v>
      </c>
      <c r="EG58" s="74">
        <v>4.8646190000000003E-4</v>
      </c>
      <c r="EH58" s="74">
        <v>4.7928009999999999E-4</v>
      </c>
      <c r="EI58" s="74">
        <v>4.7220440000000002E-4</v>
      </c>
      <c r="EJ58" s="74">
        <v>4.6523300000000001E-4</v>
      </c>
      <c r="EK58" s="74">
        <v>4.5836450000000001E-4</v>
      </c>
      <c r="EL58" s="74">
        <v>4.5159729999999997E-4</v>
      </c>
      <c r="EM58" s="74">
        <v>4.4493000000000001E-4</v>
      </c>
      <c r="EN58" s="74">
        <v>4.3836109999999999E-4</v>
      </c>
      <c r="EO58" s="74">
        <v>4.318891E-4</v>
      </c>
      <c r="EP58" s="74">
        <v>4.255126E-4</v>
      </c>
      <c r="EQ58" s="74">
        <v>4.192302E-4</v>
      </c>
      <c r="ER58" s="74">
        <v>4.130405E-4</v>
      </c>
      <c r="ES58" s="74">
        <v>4.0694219999999999E-4</v>
      </c>
      <c r="ET58" s="74">
        <v>4.0093380000000002E-4</v>
      </c>
      <c r="EU58" s="74">
        <v>3.9501409999999999E-4</v>
      </c>
      <c r="EV58" s="74">
        <v>3.891818E-4</v>
      </c>
      <c r="EW58" s="74">
        <v>3.8343559999999999E-4</v>
      </c>
      <c r="EX58" s="74">
        <v>3.7777420000000001E-4</v>
      </c>
      <c r="EY58" s="74">
        <v>3.7219640000000001E-4</v>
      </c>
      <c r="EZ58" s="74">
        <v>3.6670080000000002E-4</v>
      </c>
      <c r="FA58" s="74">
        <v>3.6128640000000002E-4</v>
      </c>
      <c r="FB58" s="74">
        <v>3.559519E-4</v>
      </c>
      <c r="FC58" s="74">
        <v>3.5069620000000002E-4</v>
      </c>
      <c r="FD58" s="74">
        <v>3.4551800000000001E-4</v>
      </c>
      <c r="FE58" s="74">
        <v>3.4041630000000001E-4</v>
      </c>
      <c r="FF58" s="74">
        <v>3.3538980000000001E-4</v>
      </c>
      <c r="FG58" s="74">
        <v>3.3043759999999998E-4</v>
      </c>
      <c r="FH58" s="74">
        <v>3.255585E-4</v>
      </c>
      <c r="FI58" s="74">
        <v>3.2075130000000003E-4</v>
      </c>
      <c r="FJ58" s="74">
        <v>3.1601520000000002E-4</v>
      </c>
      <c r="FK58" s="74">
        <v>3.1134899999999999E-4</v>
      </c>
      <c r="FL58" s="74">
        <v>3.0675160000000001E-4</v>
      </c>
      <c r="FM58" s="74">
        <v>3.0222209999999997E-4</v>
      </c>
      <c r="FN58" s="74">
        <v>2.9775949999999999E-4</v>
      </c>
      <c r="FO58" s="74">
        <v>2.9336279999999998E-4</v>
      </c>
      <c r="FP58" s="74">
        <v>2.8903099999999998E-4</v>
      </c>
      <c r="FQ58" s="74">
        <v>2.8476309999999998E-4</v>
      </c>
    </row>
    <row r="59" spans="1:173" x14ac:dyDescent="0.25">
      <c r="A59" s="76">
        <v>57</v>
      </c>
      <c r="B59" s="74">
        <v>3.7646581999999998E-3</v>
      </c>
      <c r="C59" s="74">
        <v>3.7183596999999999E-3</v>
      </c>
      <c r="D59" s="74">
        <v>3.6721545000000001E-3</v>
      </c>
      <c r="E59" s="74">
        <v>3.6260776999999999E-3</v>
      </c>
      <c r="F59" s="74">
        <v>3.5801614999999998E-3</v>
      </c>
      <c r="G59" s="74">
        <v>3.5344358000000001E-3</v>
      </c>
      <c r="H59" s="74">
        <v>3.4889280000000001E-3</v>
      </c>
      <c r="I59" s="74">
        <v>3.4436634000000002E-3</v>
      </c>
      <c r="J59" s="74">
        <v>3.3986652E-3</v>
      </c>
      <c r="K59" s="74">
        <v>3.3539545999999999E-3</v>
      </c>
      <c r="L59" s="74">
        <v>3.3095511E-3</v>
      </c>
      <c r="M59" s="74">
        <v>3.2654723999999999E-3</v>
      </c>
      <c r="N59" s="74">
        <v>3.2217346000000002E-3</v>
      </c>
      <c r="O59" s="74">
        <v>3.1783521000000002E-3</v>
      </c>
      <c r="P59" s="74">
        <v>3.1353382000000002E-3</v>
      </c>
      <c r="Q59" s="74">
        <v>3.0927047000000002E-3</v>
      </c>
      <c r="R59" s="74">
        <v>3.0504620999999999E-3</v>
      </c>
      <c r="S59" s="74">
        <v>3.0086199E-3</v>
      </c>
      <c r="T59" s="74">
        <v>2.9671864999999999E-3</v>
      </c>
      <c r="U59" s="74">
        <v>2.9261691000000002E-3</v>
      </c>
      <c r="V59" s="74">
        <v>2.8855741000000002E-3</v>
      </c>
      <c r="W59" s="74">
        <v>2.8454069999999999E-3</v>
      </c>
      <c r="X59" s="74">
        <v>2.8056725000000001E-3</v>
      </c>
      <c r="Y59" s="74">
        <v>2.7663746E-3</v>
      </c>
      <c r="Z59" s="74">
        <v>2.7275163999999998E-3</v>
      </c>
      <c r="AA59" s="74">
        <v>2.6891005E-3</v>
      </c>
      <c r="AB59" s="74">
        <v>2.6511288999999999E-3</v>
      </c>
      <c r="AC59" s="74">
        <v>2.6136028999999999E-3</v>
      </c>
      <c r="AD59" s="74">
        <v>2.5765232999999999E-3</v>
      </c>
      <c r="AE59" s="74">
        <v>2.5398906000000001E-3</v>
      </c>
      <c r="AF59" s="74">
        <v>2.5037047000000001E-3</v>
      </c>
      <c r="AG59" s="74">
        <v>2.4679649999999999E-3</v>
      </c>
      <c r="AH59" s="74">
        <v>2.4326706999999999E-3</v>
      </c>
      <c r="AI59" s="74">
        <v>2.3978205999999999E-3</v>
      </c>
      <c r="AJ59" s="74">
        <v>2.3634131E-3</v>
      </c>
      <c r="AK59" s="74">
        <v>2.3294462999999999E-3</v>
      </c>
      <c r="AL59" s="74">
        <v>2.2959181000000001E-3</v>
      </c>
      <c r="AM59" s="74">
        <v>2.2628262E-3</v>
      </c>
      <c r="AN59" s="74">
        <v>2.2301678999999998E-3</v>
      </c>
      <c r="AO59" s="74">
        <v>2.1979403999999999E-3</v>
      </c>
      <c r="AP59" s="74">
        <v>2.1661406999999998E-3</v>
      </c>
      <c r="AQ59" s="74">
        <v>2.1347657000000001E-3</v>
      </c>
      <c r="AR59" s="74">
        <v>2.103812E-3</v>
      </c>
      <c r="AS59" s="74">
        <v>2.0732760999999998E-3</v>
      </c>
      <c r="AT59" s="74">
        <v>2.0431543999999999E-3</v>
      </c>
      <c r="AU59" s="74">
        <v>2.0134432999999998E-3</v>
      </c>
      <c r="AV59" s="74">
        <v>1.9841388000000001E-3</v>
      </c>
      <c r="AW59" s="74">
        <v>1.9552371999999999E-3</v>
      </c>
      <c r="AX59" s="74">
        <v>1.9267344E-3</v>
      </c>
      <c r="AY59" s="74">
        <v>1.8986262999999999E-3</v>
      </c>
      <c r="AZ59" s="74">
        <v>1.870909E-3</v>
      </c>
      <c r="BA59" s="74">
        <v>1.8435781E-3</v>
      </c>
      <c r="BB59" s="74">
        <v>1.8166294999999999E-3</v>
      </c>
      <c r="BC59" s="74">
        <v>1.7900590000000001E-3</v>
      </c>
      <c r="BD59" s="74">
        <v>1.7638622E-3</v>
      </c>
      <c r="BE59" s="74">
        <v>1.738035E-3</v>
      </c>
      <c r="BF59" s="74">
        <v>1.7125729E-3</v>
      </c>
      <c r="BG59" s="74">
        <v>1.6874717000000001E-3</v>
      </c>
      <c r="BH59" s="74">
        <v>1.6627270999999999E-3</v>
      </c>
      <c r="BI59" s="74">
        <v>1.6383347E-3</v>
      </c>
      <c r="BJ59" s="74">
        <v>1.6142902000000001E-3</v>
      </c>
      <c r="BK59" s="74">
        <v>1.5905892E-3</v>
      </c>
      <c r="BL59" s="74">
        <v>1.5672276E-3</v>
      </c>
      <c r="BM59" s="74">
        <v>1.5442009E-3</v>
      </c>
      <c r="BN59" s="74">
        <v>1.5215049E-3</v>
      </c>
      <c r="BO59" s="74">
        <v>1.4991354000000001E-3</v>
      </c>
      <c r="BP59" s="74">
        <v>1.4770880999999999E-3</v>
      </c>
      <c r="BQ59" s="74">
        <v>1.4553586999999999E-3</v>
      </c>
      <c r="BR59" s="74">
        <v>1.4339432000000001E-3</v>
      </c>
      <c r="BS59" s="74">
        <v>1.4128374E-3</v>
      </c>
      <c r="BT59" s="74">
        <v>1.3920371000000001E-3</v>
      </c>
      <c r="BU59" s="74">
        <v>1.3715381999999999E-3</v>
      </c>
      <c r="BV59" s="74">
        <v>1.3513367999999999E-3</v>
      </c>
      <c r="BW59" s="74">
        <v>1.3314285999999999E-3</v>
      </c>
      <c r="BX59" s="74">
        <v>1.3118099E-3</v>
      </c>
      <c r="BY59" s="74">
        <v>1.2924765E-3</v>
      </c>
      <c r="BZ59" s="74">
        <v>1.2734247E-3</v>
      </c>
      <c r="CA59" s="74">
        <v>1.2546504000000001E-3</v>
      </c>
      <c r="CB59" s="74">
        <v>1.2361499000000001E-3</v>
      </c>
      <c r="CC59" s="74">
        <v>1.2179194E-3</v>
      </c>
      <c r="CD59" s="74">
        <v>1.1999551E-3</v>
      </c>
      <c r="CE59" s="74">
        <v>1.1822533E-3</v>
      </c>
      <c r="CF59" s="74">
        <v>1.1648104E-3</v>
      </c>
      <c r="CG59" s="74">
        <v>1.1476225E-3</v>
      </c>
      <c r="CH59" s="74">
        <v>1.1306863E-3</v>
      </c>
      <c r="CI59" s="74">
        <v>1.1139981E-3</v>
      </c>
      <c r="CJ59" s="74">
        <v>1.0975545000000001E-3</v>
      </c>
      <c r="CK59" s="74">
        <v>1.0813518E-3</v>
      </c>
      <c r="CL59" s="74">
        <v>1.0653868E-3</v>
      </c>
      <c r="CM59" s="74">
        <v>1.0496559999999999E-3</v>
      </c>
      <c r="CN59" s="74">
        <v>1.0341561999999999E-3</v>
      </c>
      <c r="CO59" s="74">
        <v>1.0188839E-3</v>
      </c>
      <c r="CP59" s="74">
        <v>1.0038359000000001E-3</v>
      </c>
      <c r="CQ59" s="74">
        <v>9.890089999999999E-4</v>
      </c>
      <c r="CR59" s="74">
        <v>9.7440009999999997E-4</v>
      </c>
      <c r="CS59" s="74">
        <v>9.6000589999999998E-4</v>
      </c>
      <c r="CT59" s="74">
        <v>9.4582349999999999E-4</v>
      </c>
      <c r="CU59" s="74">
        <v>9.3184970000000002E-4</v>
      </c>
      <c r="CV59" s="74">
        <v>9.1808150000000002E-4</v>
      </c>
      <c r="CW59" s="74">
        <v>9.0451590000000003E-4</v>
      </c>
      <c r="CX59" s="74">
        <v>8.9115009999999998E-4</v>
      </c>
      <c r="CY59" s="74">
        <v>8.7798110000000004E-4</v>
      </c>
      <c r="CZ59" s="74">
        <v>8.6500610000000001E-4</v>
      </c>
      <c r="DA59" s="74">
        <v>8.5222219999999999E-4</v>
      </c>
      <c r="DB59" s="74">
        <v>8.3962670000000002E-4</v>
      </c>
      <c r="DC59" s="74">
        <v>8.2721680000000003E-4</v>
      </c>
      <c r="DD59" s="74">
        <v>8.1498979999999996E-4</v>
      </c>
      <c r="DE59" s="74">
        <v>8.0294299999999997E-4</v>
      </c>
      <c r="DF59" s="74">
        <v>7.9107389999999997E-4</v>
      </c>
      <c r="DG59" s="74">
        <v>7.7937989999999995E-4</v>
      </c>
      <c r="DH59" s="74">
        <v>7.6785829999999995E-4</v>
      </c>
      <c r="DI59" s="74">
        <v>7.5650670000000002E-4</v>
      </c>
      <c r="DJ59" s="74">
        <v>7.4532250000000004E-4</v>
      </c>
      <c r="DK59" s="74">
        <v>7.3430329999999995E-4</v>
      </c>
      <c r="DL59" s="74">
        <v>7.2344680000000004E-4</v>
      </c>
      <c r="DM59" s="74">
        <v>7.1275050000000001E-4</v>
      </c>
      <c r="DN59" s="74">
        <v>7.0221210000000005E-4</v>
      </c>
      <c r="DO59" s="74">
        <v>6.9182919999999999E-4</v>
      </c>
      <c r="DP59" s="74">
        <v>6.8159959999999995E-4</v>
      </c>
      <c r="DQ59" s="74">
        <v>6.7152100000000001E-4</v>
      </c>
      <c r="DR59" s="74">
        <v>6.615913E-4</v>
      </c>
      <c r="DS59" s="74">
        <v>6.5180819999999999E-4</v>
      </c>
      <c r="DT59" s="74">
        <v>6.4216950000000001E-4</v>
      </c>
      <c r="DU59" s="74">
        <v>6.3267320000000001E-4</v>
      </c>
      <c r="DV59" s="74">
        <v>6.2331720000000004E-4</v>
      </c>
      <c r="DW59" s="74">
        <v>6.1409940000000003E-4</v>
      </c>
      <c r="DX59" s="74">
        <v>6.0501770000000003E-4</v>
      </c>
      <c r="DY59" s="74">
        <v>5.9607020000000004E-4</v>
      </c>
      <c r="DZ59" s="74">
        <v>5.8725490000000003E-4</v>
      </c>
      <c r="EA59" s="74">
        <v>5.7856979999999997E-4</v>
      </c>
      <c r="EB59" s="74">
        <v>5.7001299999999997E-4</v>
      </c>
      <c r="EC59" s="74">
        <v>5.6158270000000005E-4</v>
      </c>
      <c r="ED59" s="74">
        <v>5.5327700000000002E-4</v>
      </c>
      <c r="EE59" s="74">
        <v>5.4509399999999998E-4</v>
      </c>
      <c r="EF59" s="74">
        <v>5.3703189999999997E-4</v>
      </c>
      <c r="EG59" s="74">
        <v>5.2908899999999995E-4</v>
      </c>
      <c r="EH59" s="74">
        <v>5.2126349999999995E-4</v>
      </c>
      <c r="EI59" s="74">
        <v>5.1355360000000002E-4</v>
      </c>
      <c r="EJ59" s="74">
        <v>5.0595770000000004E-4</v>
      </c>
      <c r="EK59" s="74">
        <v>4.9847409999999998E-4</v>
      </c>
      <c r="EL59" s="74">
        <v>4.9110110000000001E-4</v>
      </c>
      <c r="EM59" s="74">
        <v>4.8383710000000002E-4</v>
      </c>
      <c r="EN59" s="74">
        <v>4.7668040000000002E-4</v>
      </c>
      <c r="EO59" s="74">
        <v>4.6962959999999999E-4</v>
      </c>
      <c r="EP59" s="74">
        <v>4.6268299999999997E-4</v>
      </c>
      <c r="EQ59" s="74">
        <v>4.5583910000000002E-4</v>
      </c>
      <c r="ER59" s="74">
        <v>4.4909639999999999E-4</v>
      </c>
      <c r="ES59" s="74">
        <v>4.4245329999999998E-4</v>
      </c>
      <c r="ET59" s="74">
        <v>4.359085E-4</v>
      </c>
      <c r="EU59" s="74">
        <v>4.2946050000000001E-4</v>
      </c>
      <c r="EV59" s="74">
        <v>4.2310779999999999E-4</v>
      </c>
      <c r="EW59" s="74">
        <v>4.1684900000000001E-4</v>
      </c>
      <c r="EX59" s="74">
        <v>4.106828E-4</v>
      </c>
      <c r="EY59" s="74">
        <v>4.0460769999999999E-4</v>
      </c>
      <c r="EZ59" s="74">
        <v>3.9862250000000001E-4</v>
      </c>
      <c r="FA59" s="74">
        <v>3.9272580000000002E-4</v>
      </c>
      <c r="FB59" s="74">
        <v>3.869163E-4</v>
      </c>
      <c r="FC59" s="74">
        <v>3.8119260000000002E-4</v>
      </c>
      <c r="FD59" s="74">
        <v>3.7555370000000001E-4</v>
      </c>
      <c r="FE59" s="74">
        <v>3.699981E-4</v>
      </c>
      <c r="FF59" s="74">
        <v>3.6452469999999999E-4</v>
      </c>
      <c r="FG59" s="74">
        <v>3.5913219999999998E-4</v>
      </c>
      <c r="FH59" s="74">
        <v>3.5381950000000002E-4</v>
      </c>
      <c r="FI59" s="74">
        <v>3.4858529999999999E-4</v>
      </c>
      <c r="FJ59" s="74">
        <v>3.4342859999999999E-4</v>
      </c>
      <c r="FK59" s="74">
        <v>3.3834810000000001E-4</v>
      </c>
      <c r="FL59" s="74">
        <v>3.333427E-4</v>
      </c>
      <c r="FM59" s="74">
        <v>3.284114E-4</v>
      </c>
      <c r="FN59" s="74">
        <v>3.2355300000000002E-4</v>
      </c>
      <c r="FO59" s="74">
        <v>3.1876650000000001E-4</v>
      </c>
      <c r="FP59" s="74">
        <v>3.1405069999999998E-4</v>
      </c>
      <c r="FQ59" s="74">
        <v>3.094048E-4</v>
      </c>
    </row>
    <row r="60" spans="1:173" x14ac:dyDescent="0.25">
      <c r="A60" s="76">
        <v>58</v>
      </c>
      <c r="B60" s="74">
        <v>4.1156524000000002E-3</v>
      </c>
      <c r="C60" s="74">
        <v>4.0647362000000003E-3</v>
      </c>
      <c r="D60" s="74">
        <v>4.0138672E-3</v>
      </c>
      <c r="E60" s="74">
        <v>3.9630891999999996E-3</v>
      </c>
      <c r="F60" s="74">
        <v>3.9124425999999997E-3</v>
      </c>
      <c r="G60" s="74">
        <v>3.8619648000000001E-3</v>
      </c>
      <c r="H60" s="74">
        <v>3.8116905000000001E-3</v>
      </c>
      <c r="I60" s="74">
        <v>3.7616513000000001E-3</v>
      </c>
      <c r="J60" s="74">
        <v>3.7118767E-3</v>
      </c>
      <c r="K60" s="74">
        <v>3.6623934E-3</v>
      </c>
      <c r="L60" s="74">
        <v>3.6132260999999998E-3</v>
      </c>
      <c r="M60" s="74">
        <v>3.5643973000000001E-3</v>
      </c>
      <c r="N60" s="74">
        <v>3.5159274E-3</v>
      </c>
      <c r="O60" s="74">
        <v>3.4678350999999999E-3</v>
      </c>
      <c r="P60" s="74">
        <v>3.4201371999999998E-3</v>
      </c>
      <c r="Q60" s="74">
        <v>3.3728489999999998E-3</v>
      </c>
      <c r="R60" s="74">
        <v>3.3259841000000002E-3</v>
      </c>
      <c r="S60" s="74">
        <v>3.2795547999999999E-3</v>
      </c>
      <c r="T60" s="74">
        <v>3.2335720000000001E-3</v>
      </c>
      <c r="U60" s="74">
        <v>3.1880453000000001E-3</v>
      </c>
      <c r="V60" s="74">
        <v>3.1429832999999999E-3</v>
      </c>
      <c r="W60" s="74">
        <v>3.0983932000000001E-3</v>
      </c>
      <c r="X60" s="74">
        <v>3.0542815E-3</v>
      </c>
      <c r="Y60" s="74">
        <v>3.0106536000000001E-3</v>
      </c>
      <c r="Z60" s="74">
        <v>2.9675140000000001E-3</v>
      </c>
      <c r="AA60" s="74">
        <v>2.9248665000000001E-3</v>
      </c>
      <c r="AB60" s="74">
        <v>2.8827139000000002E-3</v>
      </c>
      <c r="AC60" s="74">
        <v>2.8410585999999998E-3</v>
      </c>
      <c r="AD60" s="74">
        <v>2.7999021E-3</v>
      </c>
      <c r="AE60" s="74">
        <v>2.7592454000000002E-3</v>
      </c>
      <c r="AF60" s="74">
        <v>2.7190890000000001E-3</v>
      </c>
      <c r="AG60" s="74">
        <v>2.6794328000000001E-3</v>
      </c>
      <c r="AH60" s="74">
        <v>2.6402762000000001E-3</v>
      </c>
      <c r="AI60" s="74">
        <v>2.6016182000000001E-3</v>
      </c>
      <c r="AJ60" s="74">
        <v>2.5634573E-3</v>
      </c>
      <c r="AK60" s="74">
        <v>2.5257919000000002E-3</v>
      </c>
      <c r="AL60" s="74">
        <v>2.4886196999999999E-3</v>
      </c>
      <c r="AM60" s="74">
        <v>2.4519384E-3</v>
      </c>
      <c r="AN60" s="74">
        <v>2.4157451E-3</v>
      </c>
      <c r="AO60" s="74">
        <v>2.3800370000000002E-3</v>
      </c>
      <c r="AP60" s="74">
        <v>2.3448106999999999E-3</v>
      </c>
      <c r="AQ60" s="74">
        <v>2.3100628000000002E-3</v>
      </c>
      <c r="AR60" s="74">
        <v>2.2757898000000001E-3</v>
      </c>
      <c r="AS60" s="74">
        <v>2.2419876000000002E-3</v>
      </c>
      <c r="AT60" s="74">
        <v>2.2086524999999999E-3</v>
      </c>
      <c r="AU60" s="74">
        <v>2.1757801E-3</v>
      </c>
      <c r="AV60" s="74">
        <v>2.1433664E-3</v>
      </c>
      <c r="AW60" s="74">
        <v>2.1114068E-3</v>
      </c>
      <c r="AX60" s="74">
        <v>2.0798969999999998E-3</v>
      </c>
      <c r="AY60" s="74">
        <v>2.0488324000000001E-3</v>
      </c>
      <c r="AZ60" s="74">
        <v>2.0182083000000002E-3</v>
      </c>
      <c r="BA60" s="74">
        <v>1.9880201000000001E-3</v>
      </c>
      <c r="BB60" s="74">
        <v>1.9582629E-3</v>
      </c>
      <c r="BC60" s="74">
        <v>1.928932E-3</v>
      </c>
      <c r="BD60" s="74">
        <v>1.9000224E-3</v>
      </c>
      <c r="BE60" s="74">
        <v>1.8715295E-3</v>
      </c>
      <c r="BF60" s="74">
        <v>1.8434481E-3</v>
      </c>
      <c r="BG60" s="74">
        <v>1.8157735000000001E-3</v>
      </c>
      <c r="BH60" s="74">
        <v>1.7885005999999999E-3</v>
      </c>
      <c r="BI60" s="74">
        <v>1.7616246E-3</v>
      </c>
      <c r="BJ60" s="74">
        <v>1.7351405E-3</v>
      </c>
      <c r="BK60" s="74">
        <v>1.7090433E-3</v>
      </c>
      <c r="BL60" s="74">
        <v>1.6833282000000001E-3</v>
      </c>
      <c r="BM60" s="74">
        <v>1.6579902000000001E-3</v>
      </c>
      <c r="BN60" s="74">
        <v>1.6330244E-3</v>
      </c>
      <c r="BO60" s="74">
        <v>1.608426E-3</v>
      </c>
      <c r="BP60" s="74">
        <v>1.5841900999999999E-3</v>
      </c>
      <c r="BQ60" s="74">
        <v>1.5603119999999999E-3</v>
      </c>
      <c r="BR60" s="74">
        <v>1.5367867000000001E-3</v>
      </c>
      <c r="BS60" s="74">
        <v>1.5136094999999999E-3</v>
      </c>
      <c r="BT60" s="74">
        <v>1.4907758E-3</v>
      </c>
      <c r="BU60" s="74">
        <v>1.4682808E-3</v>
      </c>
      <c r="BV60" s="74">
        <v>1.4461198000000001E-3</v>
      </c>
      <c r="BW60" s="74">
        <v>1.4242883E-3</v>
      </c>
      <c r="BX60" s="74">
        <v>1.4027817000000001E-3</v>
      </c>
      <c r="BY60" s="74">
        <v>1.3815953999999999E-3</v>
      </c>
      <c r="BZ60" s="74">
        <v>1.3607249999999999E-3</v>
      </c>
      <c r="CA60" s="74">
        <v>1.3401660000000001E-3</v>
      </c>
      <c r="CB60" s="74">
        <v>1.3199139999999999E-3</v>
      </c>
      <c r="CC60" s="74">
        <v>1.2999646E-3</v>
      </c>
      <c r="CD60" s="74">
        <v>1.2803137E-3</v>
      </c>
      <c r="CE60" s="74">
        <v>1.2609568E-3</v>
      </c>
      <c r="CF60" s="74">
        <v>1.2418898E-3</v>
      </c>
      <c r="CG60" s="74">
        <v>1.2231085E-3</v>
      </c>
      <c r="CH60" s="74">
        <v>1.2046088000000001E-3</v>
      </c>
      <c r="CI60" s="74">
        <v>1.1863866E-3</v>
      </c>
      <c r="CJ60" s="74">
        <v>1.1684379999999999E-3</v>
      </c>
      <c r="CK60" s="74">
        <v>1.1507589000000001E-3</v>
      </c>
      <c r="CL60" s="74">
        <v>1.1333453999999999E-3</v>
      </c>
      <c r="CM60" s="74">
        <v>1.1161936999999999E-3</v>
      </c>
      <c r="CN60" s="74">
        <v>1.0992999000000001E-3</v>
      </c>
      <c r="CO60" s="74">
        <v>1.0826601999999999E-3</v>
      </c>
      <c r="CP60" s="74">
        <v>1.0662709999999999E-3</v>
      </c>
      <c r="CQ60" s="74">
        <v>1.0501285E-3</v>
      </c>
      <c r="CR60" s="74">
        <v>1.0342291E-3</v>
      </c>
      <c r="CS60" s="74">
        <v>1.0185693000000001E-3</v>
      </c>
      <c r="CT60" s="74">
        <v>1.0031454999999999E-3</v>
      </c>
      <c r="CU60" s="74">
        <v>9.8795409999999991E-4</v>
      </c>
      <c r="CV60" s="74">
        <v>9.7299189999999996E-4</v>
      </c>
      <c r="CW60" s="74">
        <v>9.5825529999999997E-4</v>
      </c>
      <c r="CX60" s="74">
        <v>9.4374110000000004E-4</v>
      </c>
      <c r="CY60" s="74">
        <v>9.2944589999999997E-4</v>
      </c>
      <c r="CZ60" s="74">
        <v>9.1536639999999995E-4</v>
      </c>
      <c r="DA60" s="74">
        <v>9.014995E-4</v>
      </c>
      <c r="DB60" s="74">
        <v>8.8784210000000005E-4</v>
      </c>
      <c r="DC60" s="74">
        <v>8.7439090000000004E-4</v>
      </c>
      <c r="DD60" s="74">
        <v>8.6114290000000005E-4</v>
      </c>
      <c r="DE60" s="74">
        <v>8.4809499999999999E-4</v>
      </c>
      <c r="DF60" s="74">
        <v>8.3524439999999999E-4</v>
      </c>
      <c r="DG60" s="74">
        <v>8.2258790000000004E-4</v>
      </c>
      <c r="DH60" s="74">
        <v>8.1012279999999998E-4</v>
      </c>
      <c r="DI60" s="74">
        <v>7.9784620000000002E-4</v>
      </c>
      <c r="DJ60" s="74">
        <v>7.8575520000000003E-4</v>
      </c>
      <c r="DK60" s="74">
        <v>7.7384700000000003E-4</v>
      </c>
      <c r="DL60" s="74">
        <v>7.6211889999999998E-4</v>
      </c>
      <c r="DM60" s="74">
        <v>7.5056829999999995E-4</v>
      </c>
      <c r="DN60" s="74">
        <v>7.3919239999999998E-4</v>
      </c>
      <c r="DO60" s="74">
        <v>7.2798860000000004E-4</v>
      </c>
      <c r="DP60" s="74">
        <v>7.169543E-4</v>
      </c>
      <c r="DQ60" s="74">
        <v>7.0608710000000002E-4</v>
      </c>
      <c r="DR60" s="74">
        <v>6.9538420000000002E-4</v>
      </c>
      <c r="DS60" s="74">
        <v>6.848434E-4</v>
      </c>
      <c r="DT60" s="74">
        <v>6.7446219999999998E-4</v>
      </c>
      <c r="DU60" s="74">
        <v>6.6423809999999997E-4</v>
      </c>
      <c r="DV60" s="74">
        <v>6.5416879999999995E-4</v>
      </c>
      <c r="DW60" s="74">
        <v>6.4425189999999996E-4</v>
      </c>
      <c r="DX60" s="74">
        <v>6.3448520000000002E-4</v>
      </c>
      <c r="DY60" s="74">
        <v>6.2486639999999999E-4</v>
      </c>
      <c r="DZ60" s="74">
        <v>6.1539329999999999E-4</v>
      </c>
      <c r="EA60" s="74">
        <v>6.0606359999999999E-4</v>
      </c>
      <c r="EB60" s="74">
        <v>5.9687520000000003E-4</v>
      </c>
      <c r="EC60" s="74">
        <v>5.8782599999999995E-4</v>
      </c>
      <c r="ED60" s="74">
        <v>5.789139E-4</v>
      </c>
      <c r="EE60" s="74">
        <v>5.7013680000000001E-4</v>
      </c>
      <c r="EF60" s="74">
        <v>5.6149260000000001E-4</v>
      </c>
      <c r="EG60" s="74">
        <v>5.5297940000000002E-4</v>
      </c>
      <c r="EH60" s="74">
        <v>5.4459509999999997E-4</v>
      </c>
      <c r="EI60" s="74">
        <v>5.3633789999999999E-4</v>
      </c>
      <c r="EJ60" s="74">
        <v>5.2820579999999996E-4</v>
      </c>
      <c r="EK60" s="74">
        <v>5.2019689999999999E-4</v>
      </c>
      <c r="EL60" s="74">
        <v>5.1230939999999999E-4</v>
      </c>
      <c r="EM60" s="74">
        <v>5.0454139999999998E-4</v>
      </c>
      <c r="EN60" s="74">
        <v>4.9689109999999999E-4</v>
      </c>
      <c r="EO60" s="74">
        <v>4.8935669999999995E-4</v>
      </c>
      <c r="EP60" s="74">
        <v>4.8193649999999998E-4</v>
      </c>
      <c r="EQ60" s="74">
        <v>4.746288E-4</v>
      </c>
      <c r="ER60" s="74">
        <v>4.6743179999999998E-4</v>
      </c>
      <c r="ES60" s="74">
        <v>4.6034389999999998E-4</v>
      </c>
      <c r="ET60" s="74">
        <v>4.533634E-4</v>
      </c>
      <c r="EU60" s="74">
        <v>4.4648870000000001E-4</v>
      </c>
      <c r="EV60" s="74">
        <v>4.3971819999999998E-4</v>
      </c>
      <c r="EW60" s="74">
        <v>4.3305029999999998E-4</v>
      </c>
      <c r="EX60" s="74">
        <v>4.2648350000000002E-4</v>
      </c>
      <c r="EY60" s="74">
        <v>4.2001620000000001E-4</v>
      </c>
      <c r="EZ60" s="74">
        <v>4.1364700000000001E-4</v>
      </c>
      <c r="FA60" s="74">
        <v>4.073743E-4</v>
      </c>
      <c r="FB60" s="74">
        <v>4.0119670000000001E-4</v>
      </c>
      <c r="FC60" s="74">
        <v>3.9511279999999998E-4</v>
      </c>
      <c r="FD60" s="74">
        <v>3.8912099999999998E-4</v>
      </c>
      <c r="FE60" s="74">
        <v>3.8322010000000001E-4</v>
      </c>
      <c r="FF60" s="74">
        <v>3.774087E-4</v>
      </c>
      <c r="FG60" s="74">
        <v>3.7168539999999999E-4</v>
      </c>
      <c r="FH60" s="74">
        <v>3.660488E-4</v>
      </c>
      <c r="FI60" s="74">
        <v>3.6049770000000001E-4</v>
      </c>
      <c r="FJ60" s="74">
        <v>3.5503070000000002E-4</v>
      </c>
      <c r="FK60" s="74">
        <v>3.4964659999999999E-4</v>
      </c>
      <c r="FL60" s="74">
        <v>3.4434420000000002E-4</v>
      </c>
      <c r="FM60" s="74">
        <v>3.391221E-4</v>
      </c>
      <c r="FN60" s="74">
        <v>3.339792E-4</v>
      </c>
      <c r="FO60" s="74">
        <v>3.2891430000000002E-4</v>
      </c>
      <c r="FP60" s="74">
        <v>3.239262E-4</v>
      </c>
      <c r="FQ60" s="74">
        <v>3.1901370000000001E-4</v>
      </c>
    </row>
    <row r="61" spans="1:173" x14ac:dyDescent="0.25">
      <c r="A61" s="76">
        <v>59</v>
      </c>
      <c r="B61" s="74">
        <v>4.4425157E-3</v>
      </c>
      <c r="C61" s="74">
        <v>4.3877619999999999E-3</v>
      </c>
      <c r="D61" s="74">
        <v>4.3330657000000003E-3</v>
      </c>
      <c r="E61" s="74">
        <v>4.2784727999999996E-3</v>
      </c>
      <c r="F61" s="74">
        <v>4.2240261999999997E-3</v>
      </c>
      <c r="G61" s="74">
        <v>4.1697653000000003E-3</v>
      </c>
      <c r="H61" s="74">
        <v>4.1157266999999999E-3</v>
      </c>
      <c r="I61" s="74">
        <v>4.0619438000000004E-3</v>
      </c>
      <c r="J61" s="74">
        <v>4.0084476999999999E-3</v>
      </c>
      <c r="K61" s="74">
        <v>3.9552668000000001E-3</v>
      </c>
      <c r="L61" s="74">
        <v>3.9024268999999999E-3</v>
      </c>
      <c r="M61" s="74">
        <v>3.8499518000000002E-3</v>
      </c>
      <c r="N61" s="74">
        <v>3.7978631999999999E-3</v>
      </c>
      <c r="O61" s="74">
        <v>3.7461806999999998E-3</v>
      </c>
      <c r="P61" s="74">
        <v>3.6949220999999998E-3</v>
      </c>
      <c r="Q61" s="74">
        <v>3.6441033999999998E-3</v>
      </c>
      <c r="R61" s="74">
        <v>3.5937390999999999E-3</v>
      </c>
      <c r="S61" s="74">
        <v>3.5438421000000002E-3</v>
      </c>
      <c r="T61" s="74">
        <v>3.4944238999999998E-3</v>
      </c>
      <c r="U61" s="74">
        <v>3.4454947000000001E-3</v>
      </c>
      <c r="V61" s="74">
        <v>3.3970633000000002E-3</v>
      </c>
      <c r="W61" s="74">
        <v>3.3491377000000001E-3</v>
      </c>
      <c r="X61" s="74">
        <v>3.3017243999999999E-3</v>
      </c>
      <c r="Y61" s="74">
        <v>3.2548290999999999E-3</v>
      </c>
      <c r="Z61" s="74">
        <v>3.2084567E-3</v>
      </c>
      <c r="AA61" s="74">
        <v>3.1626111000000001E-3</v>
      </c>
      <c r="AB61" s="74">
        <v>3.1172952E-3</v>
      </c>
      <c r="AC61" s="74">
        <v>3.0725116000000002E-3</v>
      </c>
      <c r="AD61" s="74">
        <v>3.0282617999999998E-3</v>
      </c>
      <c r="AE61" s="74">
        <v>2.9845469000000001E-3</v>
      </c>
      <c r="AF61" s="74">
        <v>2.9413673E-3</v>
      </c>
      <c r="AG61" s="74">
        <v>2.8987229000000002E-3</v>
      </c>
      <c r="AH61" s="74">
        <v>2.856613E-3</v>
      </c>
      <c r="AI61" s="74">
        <v>2.8150366000000001E-3</v>
      </c>
      <c r="AJ61" s="74">
        <v>2.7739920999999999E-3</v>
      </c>
      <c r="AK61" s="74">
        <v>2.7334776E-3</v>
      </c>
      <c r="AL61" s="74">
        <v>2.6934909000000001E-3</v>
      </c>
      <c r="AM61" s="74">
        <v>2.6540293000000001E-3</v>
      </c>
      <c r="AN61" s="74">
        <v>2.6150899E-3</v>
      </c>
      <c r="AO61" s="74">
        <v>2.5766694999999999E-3</v>
      </c>
      <c r="AP61" s="74">
        <v>2.5387647E-3</v>
      </c>
      <c r="AQ61" s="74">
        <v>2.5013717999999999E-3</v>
      </c>
      <c r="AR61" s="74">
        <v>2.4644869E-3</v>
      </c>
      <c r="AS61" s="74">
        <v>2.4281059000000002E-3</v>
      </c>
      <c r="AT61" s="74">
        <v>2.3922245999999999E-3</v>
      </c>
      <c r="AU61" s="74">
        <v>2.3568386999999998E-3</v>
      </c>
      <c r="AV61" s="74">
        <v>2.3219434000000001E-3</v>
      </c>
      <c r="AW61" s="74">
        <v>2.2875343E-3</v>
      </c>
      <c r="AX61" s="74">
        <v>2.2536066000000002E-3</v>
      </c>
      <c r="AY61" s="74">
        <v>2.2201552999999998E-3</v>
      </c>
      <c r="AZ61" s="74">
        <v>2.1871756000000002E-3</v>
      </c>
      <c r="BA61" s="74">
        <v>2.1546625000000001E-3</v>
      </c>
      <c r="BB61" s="74">
        <v>2.1226107999999999E-3</v>
      </c>
      <c r="BC61" s="74">
        <v>2.0910155000000001E-3</v>
      </c>
      <c r="BD61" s="74">
        <v>2.0598714000000001E-3</v>
      </c>
      <c r="BE61" s="74">
        <v>2.0291733000000001E-3</v>
      </c>
      <c r="BF61" s="74">
        <v>1.9989159999999999E-3</v>
      </c>
      <c r="BG61" s="74">
        <v>1.9690942999999999E-3</v>
      </c>
      <c r="BH61" s="74">
        <v>1.9397028E-3</v>
      </c>
      <c r="BI61" s="74">
        <v>1.9107364E-3</v>
      </c>
      <c r="BJ61" s="74">
        <v>1.8821898000000001E-3</v>
      </c>
      <c r="BK61" s="74">
        <v>1.8540576999999999E-3</v>
      </c>
      <c r="BL61" s="74">
        <v>1.8263349000000001E-3</v>
      </c>
      <c r="BM61" s="74">
        <v>1.7990161999999999E-3</v>
      </c>
      <c r="BN61" s="74">
        <v>1.7720963E-3</v>
      </c>
      <c r="BO61" s="74">
        <v>1.7455700999999999E-3</v>
      </c>
      <c r="BP61" s="74">
        <v>1.7194324E-3</v>
      </c>
      <c r="BQ61" s="74">
        <v>1.6936779999999999E-3</v>
      </c>
      <c r="BR61" s="74">
        <v>1.6683018999999999E-3</v>
      </c>
      <c r="BS61" s="74">
        <v>1.643299E-3</v>
      </c>
      <c r="BT61" s="74">
        <v>1.6186643E-3</v>
      </c>
      <c r="BU61" s="74">
        <v>1.5943927000000001E-3</v>
      </c>
      <c r="BV61" s="74">
        <v>1.5704792999999999E-3</v>
      </c>
      <c r="BW61" s="74">
        <v>1.5469192E-3</v>
      </c>
      <c r="BX61" s="74">
        <v>1.5237073999999999E-3</v>
      </c>
      <c r="BY61" s="74">
        <v>1.5008393E-3</v>
      </c>
      <c r="BZ61" s="74">
        <v>1.47831E-3</v>
      </c>
      <c r="CA61" s="74">
        <v>1.4561146999999999E-3</v>
      </c>
      <c r="CB61" s="74">
        <v>1.4342488E-3</v>
      </c>
      <c r="CC61" s="74">
        <v>1.4127076E-3</v>
      </c>
      <c r="CD61" s="74">
        <v>1.3914864999999999E-3</v>
      </c>
      <c r="CE61" s="74">
        <v>1.3705811000000001E-3</v>
      </c>
      <c r="CF61" s="74">
        <v>1.3499867000000001E-3</v>
      </c>
      <c r="CG61" s="74">
        <v>1.3296989999999999E-3</v>
      </c>
      <c r="CH61" s="74">
        <v>1.3097136000000001E-3</v>
      </c>
      <c r="CI61" s="74">
        <v>1.2900260999999999E-3</v>
      </c>
      <c r="CJ61" s="74">
        <v>1.2706322999999999E-3</v>
      </c>
      <c r="CK61" s="74">
        <v>1.2515277999999999E-3</v>
      </c>
      <c r="CL61" s="74">
        <v>1.2327086000000001E-3</v>
      </c>
      <c r="CM61" s="74">
        <v>1.2141705E-3</v>
      </c>
      <c r="CN61" s="74">
        <v>1.1959094999999999E-3</v>
      </c>
      <c r="CO61" s="74">
        <v>1.1779213000000001E-3</v>
      </c>
      <c r="CP61" s="74">
        <v>1.1602023E-3</v>
      </c>
      <c r="CQ61" s="74">
        <v>1.1427481999999999E-3</v>
      </c>
      <c r="CR61" s="74">
        <v>1.1255554E-3</v>
      </c>
      <c r="CS61" s="74">
        <v>1.10862E-3</v>
      </c>
      <c r="CT61" s="74">
        <v>1.0919382E-3</v>
      </c>
      <c r="CU61" s="74">
        <v>1.0755063E-3</v>
      </c>
      <c r="CV61" s="74">
        <v>1.0593206000000001E-3</v>
      </c>
      <c r="CW61" s="74">
        <v>1.0433775E-3</v>
      </c>
      <c r="CX61" s="74">
        <v>1.0276733999999999E-3</v>
      </c>
      <c r="CY61" s="74">
        <v>1.0122047999999999E-3</v>
      </c>
      <c r="CZ61" s="74">
        <v>9.9696820000000005E-4</v>
      </c>
      <c r="DA61" s="74">
        <v>9.8196020000000011E-4</v>
      </c>
      <c r="DB61" s="74">
        <v>9.6717730000000005E-4</v>
      </c>
      <c r="DC61" s="74">
        <v>9.5261640000000002E-4</v>
      </c>
      <c r="DD61" s="74">
        <v>9.3827400000000001E-4</v>
      </c>
      <c r="DE61" s="74">
        <v>9.2414699999999995E-4</v>
      </c>
      <c r="DF61" s="74">
        <v>9.1023199999999997E-4</v>
      </c>
      <c r="DG61" s="74">
        <v>8.9652609999999995E-4</v>
      </c>
      <c r="DH61" s="74">
        <v>8.8302610000000001E-4</v>
      </c>
      <c r="DI61" s="74">
        <v>8.6972880000000001E-4</v>
      </c>
      <c r="DJ61" s="74">
        <v>8.5663139999999998E-4</v>
      </c>
      <c r="DK61" s="74">
        <v>8.4373079999999995E-4</v>
      </c>
      <c r="DL61" s="74">
        <v>8.3102399999999998E-4</v>
      </c>
      <c r="DM61" s="74">
        <v>8.1850830000000001E-4</v>
      </c>
      <c r="DN61" s="74">
        <v>8.061807E-4</v>
      </c>
      <c r="DO61" s="74">
        <v>7.9403850000000001E-4</v>
      </c>
      <c r="DP61" s="74">
        <v>7.8207880000000002E-4</v>
      </c>
      <c r="DQ61" s="74">
        <v>7.7029889999999997E-4</v>
      </c>
      <c r="DR61" s="74">
        <v>7.586963E-4</v>
      </c>
      <c r="DS61" s="74">
        <v>7.4726809999999997E-4</v>
      </c>
      <c r="DT61" s="74">
        <v>7.3601180000000001E-4</v>
      </c>
      <c r="DU61" s="74">
        <v>7.2492490000000004E-4</v>
      </c>
      <c r="DV61" s="74">
        <v>7.1400469999999998E-4</v>
      </c>
      <c r="DW61" s="74">
        <v>7.0324880000000002E-4</v>
      </c>
      <c r="DX61" s="74">
        <v>6.9265479999999996E-4</v>
      </c>
      <c r="DY61" s="74">
        <v>6.8222020000000005E-4</v>
      </c>
      <c r="DZ61" s="74">
        <v>6.7194260000000001E-4</v>
      </c>
      <c r="EA61" s="74">
        <v>6.618196E-4</v>
      </c>
      <c r="EB61" s="74">
        <v>6.5184909999999995E-4</v>
      </c>
      <c r="EC61" s="74">
        <v>6.4202849999999995E-4</v>
      </c>
      <c r="ED61" s="74">
        <v>6.3235579999999997E-4</v>
      </c>
      <c r="EE61" s="74">
        <v>6.2282869999999999E-4</v>
      </c>
      <c r="EF61" s="74">
        <v>6.1344500000000001E-4</v>
      </c>
      <c r="EG61" s="74">
        <v>6.0420259999999996E-4</v>
      </c>
      <c r="EH61" s="74">
        <v>5.9509929999999997E-4</v>
      </c>
      <c r="EI61" s="74">
        <v>5.8613299999999997E-4</v>
      </c>
      <c r="EJ61" s="74">
        <v>5.7730179999999996E-4</v>
      </c>
      <c r="EK61" s="74">
        <v>5.6860350000000005E-4</v>
      </c>
      <c r="EL61" s="74">
        <v>5.6003620000000004E-4</v>
      </c>
      <c r="EM61" s="74">
        <v>5.5159790000000001E-4</v>
      </c>
      <c r="EN61" s="74">
        <v>5.4328660000000002E-4</v>
      </c>
      <c r="EO61" s="74">
        <v>5.351005E-4</v>
      </c>
      <c r="EP61" s="74">
        <v>5.2703769999999997E-4</v>
      </c>
      <c r="EQ61" s="74">
        <v>5.1909630000000003E-4</v>
      </c>
      <c r="ER61" s="74">
        <v>5.1127449999999999E-4</v>
      </c>
      <c r="ES61" s="74">
        <v>5.0357039999999998E-4</v>
      </c>
      <c r="ET61" s="74">
        <v>4.9598250000000002E-4</v>
      </c>
      <c r="EU61" s="74">
        <v>4.8850879999999997E-4</v>
      </c>
      <c r="EV61" s="74">
        <v>4.8114760000000001E-4</v>
      </c>
      <c r="EW61" s="74">
        <v>4.7389729999999997E-4</v>
      </c>
      <c r="EX61" s="74">
        <v>4.6675630000000002E-4</v>
      </c>
      <c r="EY61" s="74">
        <v>4.5972279999999998E-4</v>
      </c>
      <c r="EZ61" s="74">
        <v>4.5279519999999999E-4</v>
      </c>
      <c r="FA61" s="74">
        <v>4.4597199999999999E-4</v>
      </c>
      <c r="FB61" s="74">
        <v>4.3925149999999999E-4</v>
      </c>
      <c r="FC61" s="74">
        <v>4.3263230000000001E-4</v>
      </c>
      <c r="FD61" s="74">
        <v>4.2611279999999998E-4</v>
      </c>
      <c r="FE61" s="74">
        <v>4.1969160000000002E-4</v>
      </c>
      <c r="FF61" s="74">
        <v>4.1336699999999999E-4</v>
      </c>
      <c r="FG61" s="74">
        <v>4.0713769999999998E-4</v>
      </c>
      <c r="FH61" s="74">
        <v>4.0100230000000001E-4</v>
      </c>
      <c r="FI61" s="74">
        <v>3.949593E-4</v>
      </c>
      <c r="FJ61" s="74">
        <v>3.8900730000000002E-4</v>
      </c>
      <c r="FK61" s="74">
        <v>3.8314499999999999E-4</v>
      </c>
      <c r="FL61" s="74">
        <v>3.7737110000000002E-4</v>
      </c>
      <c r="FM61" s="74">
        <v>3.7168409999999998E-4</v>
      </c>
      <c r="FN61" s="74">
        <v>3.660828E-4</v>
      </c>
      <c r="FO61" s="74">
        <v>3.6056579999999998E-4</v>
      </c>
      <c r="FP61" s="74">
        <v>3.5513199999999997E-4</v>
      </c>
      <c r="FQ61" s="74">
        <v>3.4978009999999998E-4</v>
      </c>
    </row>
    <row r="62" spans="1:173" x14ac:dyDescent="0.25">
      <c r="A62" s="76">
        <v>60</v>
      </c>
      <c r="B62" s="74">
        <v>4.9295659000000002E-3</v>
      </c>
      <c r="C62" s="74">
        <v>4.8694004000000004E-3</v>
      </c>
      <c r="D62" s="74">
        <v>4.8092090999999997E-3</v>
      </c>
      <c r="E62" s="74">
        <v>4.7490496000000002E-3</v>
      </c>
      <c r="F62" s="74">
        <v>4.6889758E-3</v>
      </c>
      <c r="G62" s="74">
        <v>4.6290372999999996E-3</v>
      </c>
      <c r="H62" s="74">
        <v>4.5692802999999999E-3</v>
      </c>
      <c r="I62" s="74">
        <v>4.5097471999999998E-3</v>
      </c>
      <c r="J62" s="74">
        <v>4.4504773999999997E-3</v>
      </c>
      <c r="K62" s="74">
        <v>4.3915068000000002E-3</v>
      </c>
      <c r="L62" s="74">
        <v>4.3328686000000003E-3</v>
      </c>
      <c r="M62" s="74">
        <v>4.2745932999999998E-3</v>
      </c>
      <c r="N62" s="74">
        <v>4.2167085999999998E-3</v>
      </c>
      <c r="O62" s="74">
        <v>4.1592399999999998E-3</v>
      </c>
      <c r="P62" s="74">
        <v>4.1022104000000004E-3</v>
      </c>
      <c r="Q62" s="74">
        <v>4.0456407000000003E-3</v>
      </c>
      <c r="R62" s="74">
        <v>3.9895499999999997E-3</v>
      </c>
      <c r="S62" s="74">
        <v>3.9339552000000003E-3</v>
      </c>
      <c r="T62" s="74">
        <v>3.8788716000000001E-3</v>
      </c>
      <c r="U62" s="74">
        <v>3.8243127000000001E-3</v>
      </c>
      <c r="V62" s="74">
        <v>3.7702908000000002E-3</v>
      </c>
      <c r="W62" s="74">
        <v>3.7168163000000001E-3</v>
      </c>
      <c r="X62" s="74">
        <v>3.6638985999999998E-3</v>
      </c>
      <c r="Y62" s="74">
        <v>3.6115458000000001E-3</v>
      </c>
      <c r="Z62" s="74">
        <v>3.5597647999999998E-3</v>
      </c>
      <c r="AA62" s="74">
        <v>3.5085613E-3</v>
      </c>
      <c r="AB62" s="74">
        <v>3.4579401000000001E-3</v>
      </c>
      <c r="AC62" s="74">
        <v>3.4079052000000002E-3</v>
      </c>
      <c r="AD62" s="74">
        <v>3.3584595E-3</v>
      </c>
      <c r="AE62" s="74">
        <v>3.3096051999999998E-3</v>
      </c>
      <c r="AF62" s="74">
        <v>3.2613437000000001E-3</v>
      </c>
      <c r="AG62" s="74">
        <v>3.2136758999999999E-3</v>
      </c>
      <c r="AH62" s="74">
        <v>3.1666018000000001E-3</v>
      </c>
      <c r="AI62" s="74">
        <v>3.1201209E-3</v>
      </c>
      <c r="AJ62" s="74">
        <v>3.0742323999999998E-3</v>
      </c>
      <c r="AK62" s="74">
        <v>3.0289345999999998E-3</v>
      </c>
      <c r="AL62" s="74">
        <v>2.9842255999999998E-3</v>
      </c>
      <c r="AM62" s="74">
        <v>2.9401028999999999E-3</v>
      </c>
      <c r="AN62" s="74">
        <v>2.8965638999999999E-3</v>
      </c>
      <c r="AO62" s="74">
        <v>2.8536054000000001E-3</v>
      </c>
      <c r="AP62" s="74">
        <v>2.8112239000000002E-3</v>
      </c>
      <c r="AQ62" s="74">
        <v>2.7694157000000001E-3</v>
      </c>
      <c r="AR62" s="74">
        <v>2.7281766999999999E-3</v>
      </c>
      <c r="AS62" s="74">
        <v>2.6875027999999999E-3</v>
      </c>
      <c r="AT62" s="74">
        <v>2.6473893000000001E-3</v>
      </c>
      <c r="AU62" s="74">
        <v>2.6078316999999999E-3</v>
      </c>
      <c r="AV62" s="74">
        <v>2.5688249999999998E-3</v>
      </c>
      <c r="AW62" s="74">
        <v>2.5303642999999999E-3</v>
      </c>
      <c r="AX62" s="74">
        <v>2.4924444E-3</v>
      </c>
      <c r="AY62" s="74">
        <v>2.4550599000000002E-3</v>
      </c>
      <c r="AZ62" s="74">
        <v>2.4182055999999999E-3</v>
      </c>
      <c r="BA62" s="74">
        <v>2.3818758000000002E-3</v>
      </c>
      <c r="BB62" s="74">
        <v>2.346065E-3</v>
      </c>
      <c r="BC62" s="74">
        <v>2.3107675999999998E-3</v>
      </c>
      <c r="BD62" s="74">
        <v>2.2759778E-3</v>
      </c>
      <c r="BE62" s="74">
        <v>2.2416899000000001E-3</v>
      </c>
      <c r="BF62" s="74">
        <v>2.2078980999999998E-3</v>
      </c>
      <c r="BG62" s="74">
        <v>2.1745965000000002E-3</v>
      </c>
      <c r="BH62" s="74">
        <v>2.1417793E-3</v>
      </c>
      <c r="BI62" s="74">
        <v>2.1094406E-3</v>
      </c>
      <c r="BJ62" s="74">
        <v>2.0775745000000002E-3</v>
      </c>
      <c r="BK62" s="74">
        <v>2.0461750999999999E-3</v>
      </c>
      <c r="BL62" s="74">
        <v>2.0152366999999999E-3</v>
      </c>
      <c r="BM62" s="74">
        <v>1.9847531000000002E-3</v>
      </c>
      <c r="BN62" s="74">
        <v>1.9547187000000001E-3</v>
      </c>
      <c r="BO62" s="74">
        <v>1.9251276E-3</v>
      </c>
      <c r="BP62" s="74">
        <v>1.8959739999999999E-3</v>
      </c>
      <c r="BQ62" s="74">
        <v>1.867252E-3</v>
      </c>
      <c r="BR62" s="74">
        <v>1.8389560000000001E-3</v>
      </c>
      <c r="BS62" s="74">
        <v>1.8110801999999999E-3</v>
      </c>
      <c r="BT62" s="74">
        <v>1.7836188999999999E-3</v>
      </c>
      <c r="BU62" s="74">
        <v>1.7565664999999999E-3</v>
      </c>
      <c r="BV62" s="74">
        <v>1.7299173E-3</v>
      </c>
      <c r="BW62" s="74">
        <v>1.7036658999999999E-3</v>
      </c>
      <c r="BX62" s="74">
        <v>1.6778067E-3</v>
      </c>
      <c r="BY62" s="74">
        <v>1.6523341999999999E-3</v>
      </c>
      <c r="BZ62" s="74">
        <v>1.627243E-3</v>
      </c>
      <c r="CA62" s="74">
        <v>1.6025277999999999E-3</v>
      </c>
      <c r="CB62" s="74">
        <v>1.5781833E-3</v>
      </c>
      <c r="CC62" s="74">
        <v>1.5542041E-3</v>
      </c>
      <c r="CD62" s="74">
        <v>1.5305852E-3</v>
      </c>
      <c r="CE62" s="74">
        <v>1.5073212999999999E-3</v>
      </c>
      <c r="CF62" s="74">
        <v>1.4844073E-3</v>
      </c>
      <c r="CG62" s="74">
        <v>1.4618382999999999E-3</v>
      </c>
      <c r="CH62" s="74">
        <v>1.4396092E-3</v>
      </c>
      <c r="CI62" s="74">
        <v>1.4177152E-3</v>
      </c>
      <c r="CJ62" s="74">
        <v>1.3961513000000001E-3</v>
      </c>
      <c r="CK62" s="74">
        <v>1.3749128000000001E-3</v>
      </c>
      <c r="CL62" s="74">
        <v>1.353995E-3</v>
      </c>
      <c r="CM62" s="74">
        <v>1.333393E-3</v>
      </c>
      <c r="CN62" s="74">
        <v>1.3131023999999999E-3</v>
      </c>
      <c r="CO62" s="74">
        <v>1.2931186E-3</v>
      </c>
      <c r="CP62" s="74">
        <v>1.2734369000000001E-3</v>
      </c>
      <c r="CQ62" s="74">
        <v>1.2540531E-3</v>
      </c>
      <c r="CR62" s="74">
        <v>1.2349626E-3</v>
      </c>
      <c r="CS62" s="74">
        <v>1.2161612E-3</v>
      </c>
      <c r="CT62" s="74">
        <v>1.1976445E-3</v>
      </c>
      <c r="CU62" s="74">
        <v>1.1794084E-3</v>
      </c>
      <c r="CV62" s="74">
        <v>1.1614487000000001E-3</v>
      </c>
      <c r="CW62" s="74">
        <v>1.1437613E-3</v>
      </c>
      <c r="CX62" s="74">
        <v>1.1263421E-3</v>
      </c>
      <c r="CY62" s="74">
        <v>1.1091871E-3</v>
      </c>
      <c r="CZ62" s="74">
        <v>1.0922923E-3</v>
      </c>
      <c r="DA62" s="74">
        <v>1.0756540000000001E-3</v>
      </c>
      <c r="DB62" s="74">
        <v>1.0592682E-3</v>
      </c>
      <c r="DC62" s="74">
        <v>1.0431311999999999E-3</v>
      </c>
      <c r="DD62" s="74">
        <v>1.0272393E-3</v>
      </c>
      <c r="DE62" s="74">
        <v>1.0115888E-3</v>
      </c>
      <c r="DF62" s="74">
        <v>9.9617590000000006E-4</v>
      </c>
      <c r="DG62" s="74">
        <v>9.8099730000000005E-4</v>
      </c>
      <c r="DH62" s="74">
        <v>9.6604939999999999E-4</v>
      </c>
      <c r="DI62" s="74">
        <v>9.5132859999999997E-4</v>
      </c>
      <c r="DJ62" s="74">
        <v>9.3683160000000004E-4</v>
      </c>
      <c r="DK62" s="74">
        <v>9.2255509999999996E-4</v>
      </c>
      <c r="DL62" s="74">
        <v>9.0849560000000004E-4</v>
      </c>
      <c r="DM62" s="74">
        <v>8.9464989999999995E-4</v>
      </c>
      <c r="DN62" s="74">
        <v>8.8101480000000001E-4</v>
      </c>
      <c r="DO62" s="74">
        <v>8.6758709999999999E-4</v>
      </c>
      <c r="DP62" s="74">
        <v>8.5436370000000004E-4</v>
      </c>
      <c r="DQ62" s="74">
        <v>8.4134149999999996E-4</v>
      </c>
      <c r="DR62" s="74">
        <v>8.2851750000000003E-4</v>
      </c>
      <c r="DS62" s="74">
        <v>8.1588859999999995E-4</v>
      </c>
      <c r="DT62" s="74">
        <v>8.0345190000000004E-4</v>
      </c>
      <c r="DU62" s="74">
        <v>7.9120449999999995E-4</v>
      </c>
      <c r="DV62" s="74">
        <v>7.791435E-4</v>
      </c>
      <c r="DW62" s="74">
        <v>7.6726609999999999E-4</v>
      </c>
      <c r="DX62" s="74">
        <v>7.5556959999999998E-4</v>
      </c>
      <c r="DY62" s="74">
        <v>7.4405109999999995E-4</v>
      </c>
      <c r="DZ62" s="74">
        <v>7.3270799999999999E-4</v>
      </c>
      <c r="EA62" s="74">
        <v>7.2153769999999998E-4</v>
      </c>
      <c r="EB62" s="74">
        <v>7.1053749999999997E-4</v>
      </c>
      <c r="EC62" s="74">
        <v>6.9970480000000005E-4</v>
      </c>
      <c r="ED62" s="74">
        <v>6.8903699999999998E-4</v>
      </c>
      <c r="EE62" s="74">
        <v>6.7853179999999996E-4</v>
      </c>
      <c r="EF62" s="74">
        <v>6.6818659999999996E-4</v>
      </c>
      <c r="EG62" s="74">
        <v>6.5799890000000001E-4</v>
      </c>
      <c r="EH62" s="74">
        <v>6.4796649999999999E-4</v>
      </c>
      <c r="EI62" s="74">
        <v>6.3808690000000004E-4</v>
      </c>
      <c r="EJ62" s="74">
        <v>6.2835780000000002E-4</v>
      </c>
      <c r="EK62" s="74">
        <v>6.1877690000000001E-4</v>
      </c>
      <c r="EL62" s="74">
        <v>6.0934200000000002E-4</v>
      </c>
      <c r="EM62" s="74">
        <v>6.0005089999999996E-4</v>
      </c>
      <c r="EN62" s="74">
        <v>5.9090130000000001E-4</v>
      </c>
      <c r="EO62" s="74">
        <v>5.8189120000000003E-4</v>
      </c>
      <c r="EP62" s="74">
        <v>5.730183E-4</v>
      </c>
      <c r="EQ62" s="74">
        <v>5.6428070000000003E-4</v>
      </c>
      <c r="ER62" s="74">
        <v>5.5567620000000002E-4</v>
      </c>
      <c r="ES62" s="74">
        <v>5.4720289999999998E-4</v>
      </c>
      <c r="ET62" s="74">
        <v>5.3885870000000005E-4</v>
      </c>
      <c r="EU62" s="74">
        <v>5.3064159999999998E-4</v>
      </c>
      <c r="EV62" s="74">
        <v>5.2254980000000003E-4</v>
      </c>
      <c r="EW62" s="74">
        <v>5.1458129999999995E-4</v>
      </c>
      <c r="EX62" s="74">
        <v>5.067343E-4</v>
      </c>
      <c r="EY62" s="74">
        <v>4.9900689999999995E-4</v>
      </c>
      <c r="EZ62" s="74">
        <v>4.9139729999999996E-4</v>
      </c>
      <c r="FA62" s="74">
        <v>4.8390370000000001E-4</v>
      </c>
      <c r="FB62" s="74">
        <v>4.7652419999999999E-4</v>
      </c>
      <c r="FC62" s="74">
        <v>4.6925729999999999E-4</v>
      </c>
      <c r="FD62" s="74">
        <v>4.6210119999999999E-4</v>
      </c>
      <c r="FE62" s="74">
        <v>4.5505410000000002E-4</v>
      </c>
      <c r="FF62" s="74">
        <v>4.4811450000000001E-4</v>
      </c>
      <c r="FG62" s="74">
        <v>4.4128070000000003E-4</v>
      </c>
      <c r="FH62" s="74">
        <v>4.3455099999999998E-4</v>
      </c>
      <c r="FI62" s="74">
        <v>4.2792390000000001E-4</v>
      </c>
      <c r="FJ62" s="74">
        <v>4.2139789999999999E-4</v>
      </c>
      <c r="FK62" s="74">
        <v>4.1497140000000001E-4</v>
      </c>
      <c r="FL62" s="74">
        <v>4.0864280000000002E-4</v>
      </c>
      <c r="FM62" s="74">
        <v>4.0241069999999999E-4</v>
      </c>
      <c r="FN62" s="74">
        <v>3.9627370000000001E-4</v>
      </c>
      <c r="FO62" s="74">
        <v>3.902302E-4</v>
      </c>
      <c r="FP62" s="74">
        <v>3.842788E-4</v>
      </c>
      <c r="FQ62" s="74">
        <v>3.7841820000000001E-4</v>
      </c>
    </row>
    <row r="63" spans="1:173" x14ac:dyDescent="0.25">
      <c r="A63" s="76">
        <v>61</v>
      </c>
      <c r="B63" s="74">
        <v>5.3514219999999998E-3</v>
      </c>
      <c r="C63" s="74">
        <v>5.2831351E-3</v>
      </c>
      <c r="D63" s="74">
        <v>5.2150336999999998E-3</v>
      </c>
      <c r="E63" s="74">
        <v>5.1471677999999996E-3</v>
      </c>
      <c r="F63" s="74">
        <v>5.0795837999999998E-3</v>
      </c>
      <c r="G63" s="74">
        <v>5.0123245E-3</v>
      </c>
      <c r="H63" s="74">
        <v>4.9454288999999998E-3</v>
      </c>
      <c r="I63" s="74">
        <v>4.8789332999999999E-3</v>
      </c>
      <c r="J63" s="74">
        <v>4.8128703999999996E-3</v>
      </c>
      <c r="K63" s="74">
        <v>4.7472703999999998E-3</v>
      </c>
      <c r="L63" s="74">
        <v>4.6821605999999997E-3</v>
      </c>
      <c r="M63" s="74">
        <v>4.617566E-3</v>
      </c>
      <c r="N63" s="74">
        <v>4.5535091000000003E-3</v>
      </c>
      <c r="O63" s="74">
        <v>4.4900102000000001E-3</v>
      </c>
      <c r="P63" s="74">
        <v>4.4270875000000003E-3</v>
      </c>
      <c r="Q63" s="74">
        <v>4.3647572000000004E-3</v>
      </c>
      <c r="R63" s="74">
        <v>4.3030339999999999E-3</v>
      </c>
      <c r="S63" s="74">
        <v>4.2419305999999999E-3</v>
      </c>
      <c r="T63" s="74">
        <v>4.1814581999999999E-3</v>
      </c>
      <c r="U63" s="74">
        <v>4.1216266E-3</v>
      </c>
      <c r="V63" s="74">
        <v>4.0624440999999997E-3</v>
      </c>
      <c r="W63" s="74">
        <v>4.0039180000000004E-3</v>
      </c>
      <c r="X63" s="74">
        <v>3.9460540000000001E-3</v>
      </c>
      <c r="Y63" s="74">
        <v>3.8888570999999999E-3</v>
      </c>
      <c r="Z63" s="74">
        <v>3.8323311000000001E-3</v>
      </c>
      <c r="AA63" s="74">
        <v>3.7764787E-3</v>
      </c>
      <c r="AB63" s="74">
        <v>3.7213021000000002E-3</v>
      </c>
      <c r="AC63" s="74">
        <v>3.6668022999999999E-3</v>
      </c>
      <c r="AD63" s="74">
        <v>3.6129797999999999E-3</v>
      </c>
      <c r="AE63" s="74">
        <v>3.5598343000000001E-3</v>
      </c>
      <c r="AF63" s="74">
        <v>3.5073649000000001E-3</v>
      </c>
      <c r="AG63" s="74">
        <v>3.4555700999999999E-3</v>
      </c>
      <c r="AH63" s="74">
        <v>3.4044478E-3</v>
      </c>
      <c r="AI63" s="74">
        <v>3.3539955E-3</v>
      </c>
      <c r="AJ63" s="74">
        <v>3.3042101000000002E-3</v>
      </c>
      <c r="AK63" s="74">
        <v>3.2550881999999998E-3</v>
      </c>
      <c r="AL63" s="74">
        <v>3.2066261000000002E-3</v>
      </c>
      <c r="AM63" s="74">
        <v>3.1588194999999999E-3</v>
      </c>
      <c r="AN63" s="74">
        <v>3.1116640000000001E-3</v>
      </c>
      <c r="AO63" s="74">
        <v>3.0651547999999999E-3</v>
      </c>
      <c r="AP63" s="74">
        <v>3.0192868999999998E-3</v>
      </c>
      <c r="AQ63" s="74">
        <v>2.9740549000000002E-3</v>
      </c>
      <c r="AR63" s="74">
        <v>2.9294535E-3</v>
      </c>
      <c r="AS63" s="74">
        <v>2.8854767999999999E-3</v>
      </c>
      <c r="AT63" s="74">
        <v>2.8421191999999998E-3</v>
      </c>
      <c r="AU63" s="74">
        <v>2.7993746000000001E-3</v>
      </c>
      <c r="AV63" s="74">
        <v>2.7572368E-3</v>
      </c>
      <c r="AW63" s="74">
        <v>2.7156996E-3</v>
      </c>
      <c r="AX63" s="74">
        <v>2.6747568000000002E-3</v>
      </c>
      <c r="AY63" s="74">
        <v>2.6344017E-3</v>
      </c>
      <c r="AZ63" s="74">
        <v>2.5946279999999999E-3</v>
      </c>
      <c r="BA63" s="74">
        <v>2.5554290000000001E-3</v>
      </c>
      <c r="BB63" s="74">
        <v>2.5167981999999998E-3</v>
      </c>
      <c r="BC63" s="74">
        <v>2.4787288999999998E-3</v>
      </c>
      <c r="BD63" s="74">
        <v>2.4412142999999998E-3</v>
      </c>
      <c r="BE63" s="74">
        <v>2.4042478999999999E-3</v>
      </c>
      <c r="BF63" s="74">
        <v>2.3678227000000001E-3</v>
      </c>
      <c r="BG63" s="74">
        <v>2.3319323000000002E-3</v>
      </c>
      <c r="BH63" s="74">
        <v>2.2965696999999998E-3</v>
      </c>
      <c r="BI63" s="74">
        <v>2.2617282999999998E-3</v>
      </c>
      <c r="BJ63" s="74">
        <v>2.2274014000000001E-3</v>
      </c>
      <c r="BK63" s="74">
        <v>2.1935823E-3</v>
      </c>
      <c r="BL63" s="74">
        <v>2.1602642999999999E-3</v>
      </c>
      <c r="BM63" s="74">
        <v>2.1274407999999998E-3</v>
      </c>
      <c r="BN63" s="74">
        <v>2.0951053E-3</v>
      </c>
      <c r="BO63" s="74">
        <v>2.0632512E-3</v>
      </c>
      <c r="BP63" s="74">
        <v>2.0318719000000001E-3</v>
      </c>
      <c r="BQ63" s="74">
        <v>2.0009608999999999E-3</v>
      </c>
      <c r="BR63" s="74">
        <v>1.9705119999999998E-3</v>
      </c>
      <c r="BS63" s="74">
        <v>1.9405186E-3</v>
      </c>
      <c r="BT63" s="74">
        <v>1.9109744999999999E-3</v>
      </c>
      <c r="BU63" s="74">
        <v>1.8818735E-3</v>
      </c>
      <c r="BV63" s="74">
        <v>1.8532092E-3</v>
      </c>
      <c r="BW63" s="74">
        <v>1.8249755999999999E-3</v>
      </c>
      <c r="BX63" s="74">
        <v>1.7971665E-3</v>
      </c>
      <c r="BY63" s="74">
        <v>1.769776E-3</v>
      </c>
      <c r="BZ63" s="74">
        <v>1.742798E-3</v>
      </c>
      <c r="CA63" s="74">
        <v>1.7162268E-3</v>
      </c>
      <c r="CB63" s="74">
        <v>1.6900563E-3</v>
      </c>
      <c r="CC63" s="74">
        <v>1.6642809000000001E-3</v>
      </c>
      <c r="CD63" s="74">
        <v>1.6388948E-3</v>
      </c>
      <c r="CE63" s="74">
        <v>1.6138923999999999E-3</v>
      </c>
      <c r="CF63" s="74">
        <v>1.5892682000000001E-3</v>
      </c>
      <c r="CG63" s="74">
        <v>1.5650165E-3</v>
      </c>
      <c r="CH63" s="74">
        <v>1.541132E-3</v>
      </c>
      <c r="CI63" s="74">
        <v>1.5176092999999999E-3</v>
      </c>
      <c r="CJ63" s="74">
        <v>1.4944431000000001E-3</v>
      </c>
      <c r="CK63" s="74">
        <v>1.4716281E-3</v>
      </c>
      <c r="CL63" s="74">
        <v>1.4491592000000001E-3</v>
      </c>
      <c r="CM63" s="74">
        <v>1.4270312999999999E-3</v>
      </c>
      <c r="CN63" s="74">
        <v>1.4052392E-3</v>
      </c>
      <c r="CO63" s="74">
        <v>1.3837781E-3</v>
      </c>
      <c r="CP63" s="74">
        <v>1.362643E-3</v>
      </c>
      <c r="CQ63" s="74">
        <v>1.3418289999999999E-3</v>
      </c>
      <c r="CR63" s="74">
        <v>1.3213315E-3</v>
      </c>
      <c r="CS63" s="74">
        <v>1.3011457000000001E-3</v>
      </c>
      <c r="CT63" s="74">
        <v>1.2812667999999999E-3</v>
      </c>
      <c r="CU63" s="74">
        <v>1.2616903999999999E-3</v>
      </c>
      <c r="CV63" s="74">
        <v>1.242412E-3</v>
      </c>
      <c r="CW63" s="74">
        <v>1.2234269E-3</v>
      </c>
      <c r="CX63" s="74">
        <v>1.2047309999999999E-3</v>
      </c>
      <c r="CY63" s="74">
        <v>1.1863196999999999E-3</v>
      </c>
      <c r="CZ63" s="74">
        <v>1.1681889E-3</v>
      </c>
      <c r="DA63" s="74">
        <v>1.1503342999999999E-3</v>
      </c>
      <c r="DB63" s="74">
        <v>1.1327518E-3</v>
      </c>
      <c r="DC63" s="74">
        <v>1.1154372E-3</v>
      </c>
      <c r="DD63" s="74">
        <v>1.0983866E-3</v>
      </c>
      <c r="DE63" s="74">
        <v>1.081596E-3</v>
      </c>
      <c r="DF63" s="74">
        <v>1.0650613000000001E-3</v>
      </c>
      <c r="DG63" s="74">
        <v>1.0487789000000001E-3</v>
      </c>
      <c r="DH63" s="74">
        <v>1.0327447E-3</v>
      </c>
      <c r="DI63" s="74">
        <v>1.0169552E-3</v>
      </c>
      <c r="DJ63" s="74">
        <v>1.0014066E-3</v>
      </c>
      <c r="DK63" s="74">
        <v>9.8609520000000005E-4</v>
      </c>
      <c r="DL63" s="74">
        <v>9.7101749999999997E-4</v>
      </c>
      <c r="DM63" s="74">
        <v>9.5616989999999997E-4</v>
      </c>
      <c r="DN63" s="74">
        <v>9.4154890000000004E-4</v>
      </c>
      <c r="DO63" s="74">
        <v>9.2715120000000004E-4</v>
      </c>
      <c r="DP63" s="74">
        <v>9.1297320000000004E-4</v>
      </c>
      <c r="DQ63" s="74">
        <v>8.9901170000000004E-4</v>
      </c>
      <c r="DR63" s="74">
        <v>8.8526339999999999E-4</v>
      </c>
      <c r="DS63" s="74">
        <v>8.7172509999999999E-4</v>
      </c>
      <c r="DT63" s="74">
        <v>8.583935E-4</v>
      </c>
      <c r="DU63" s="74">
        <v>8.4526550000000005E-4</v>
      </c>
      <c r="DV63" s="74">
        <v>8.3233799999999996E-4</v>
      </c>
      <c r="DW63" s="74">
        <v>8.1960799999999999E-4</v>
      </c>
      <c r="DX63" s="74">
        <v>8.0707249999999999E-4</v>
      </c>
      <c r="DY63" s="74">
        <v>7.9472850000000003E-4</v>
      </c>
      <c r="DZ63" s="74">
        <v>7.8257309999999998E-4</v>
      </c>
      <c r="EA63" s="74">
        <v>7.7060340000000005E-4</v>
      </c>
      <c r="EB63" s="74">
        <v>7.5881660000000004E-4</v>
      </c>
      <c r="EC63" s="74">
        <v>7.4720989999999996E-4</v>
      </c>
      <c r="ED63" s="74">
        <v>7.3578059999999999E-4</v>
      </c>
      <c r="EE63" s="74">
        <v>7.2452599999999997E-4</v>
      </c>
      <c r="EF63" s="74">
        <v>7.1344340000000005E-4</v>
      </c>
      <c r="EG63" s="74">
        <v>7.0253009999999996E-4</v>
      </c>
      <c r="EH63" s="74">
        <v>6.9178369999999998E-4</v>
      </c>
      <c r="EI63" s="74">
        <v>6.8120150000000005E-4</v>
      </c>
      <c r="EJ63" s="74">
        <v>6.7078109999999999E-4</v>
      </c>
      <c r="EK63" s="74">
        <v>6.6051990000000002E-4</v>
      </c>
      <c r="EL63" s="74">
        <v>6.5041559999999999E-4</v>
      </c>
      <c r="EM63" s="74">
        <v>6.4046579999999995E-4</v>
      </c>
      <c r="EN63" s="74">
        <v>6.3066809999999995E-4</v>
      </c>
      <c r="EO63" s="74">
        <v>6.2102019999999997E-4</v>
      </c>
      <c r="EP63" s="74">
        <v>6.1151979999999999E-4</v>
      </c>
      <c r="EQ63" s="74">
        <v>6.021647E-4</v>
      </c>
      <c r="ER63" s="74">
        <v>5.9295249999999995E-4</v>
      </c>
      <c r="ES63" s="74">
        <v>5.8388129999999996E-4</v>
      </c>
      <c r="ET63" s="74">
        <v>5.7494869999999995E-4</v>
      </c>
      <c r="EU63" s="74">
        <v>5.6615270000000002E-4</v>
      </c>
      <c r="EV63" s="74">
        <v>5.5749130000000001E-4</v>
      </c>
      <c r="EW63" s="74">
        <v>5.4896220000000002E-4</v>
      </c>
      <c r="EX63" s="74">
        <v>5.4056359999999997E-4</v>
      </c>
      <c r="EY63" s="74">
        <v>5.3229350000000004E-4</v>
      </c>
      <c r="EZ63" s="74">
        <v>5.2414979999999996E-4</v>
      </c>
      <c r="FA63" s="74">
        <v>5.1613060000000005E-4</v>
      </c>
      <c r="FB63" s="74">
        <v>5.0823410000000002E-4</v>
      </c>
      <c r="FC63" s="74">
        <v>5.0045839999999999E-4</v>
      </c>
      <c r="FD63" s="74">
        <v>4.9280150000000002E-4</v>
      </c>
      <c r="FE63" s="74">
        <v>4.8526180000000002E-4</v>
      </c>
      <c r="FF63" s="74">
        <v>4.7783739999999997E-4</v>
      </c>
      <c r="FG63" s="74">
        <v>4.7052649999999998E-4</v>
      </c>
      <c r="FH63" s="74">
        <v>4.6332749999999999E-4</v>
      </c>
      <c r="FI63" s="74">
        <v>4.5623849999999999E-4</v>
      </c>
      <c r="FJ63" s="74">
        <v>4.4925800000000001E-4</v>
      </c>
      <c r="FK63" s="74">
        <v>4.4238429999999998E-4</v>
      </c>
      <c r="FL63" s="74">
        <v>4.356157E-4</v>
      </c>
      <c r="FM63" s="74">
        <v>4.2895059999999998E-4</v>
      </c>
      <c r="FN63" s="74">
        <v>4.2238749999999999E-4</v>
      </c>
      <c r="FO63" s="74">
        <v>4.1592469999999999E-4</v>
      </c>
      <c r="FP63" s="74">
        <v>4.095608E-4</v>
      </c>
      <c r="FQ63" s="74">
        <v>4.032943E-4</v>
      </c>
    </row>
    <row r="64" spans="1:173" x14ac:dyDescent="0.25">
      <c r="A64" s="76">
        <v>62</v>
      </c>
      <c r="B64" s="74">
        <v>5.7411485999999999E-3</v>
      </c>
      <c r="C64" s="74">
        <v>5.6696940000000003E-3</v>
      </c>
      <c r="D64" s="74">
        <v>5.5981540000000002E-3</v>
      </c>
      <c r="E64" s="74">
        <v>5.5266040999999997E-3</v>
      </c>
      <c r="F64" s="74">
        <v>5.4551139999999996E-3</v>
      </c>
      <c r="G64" s="74">
        <v>5.3837486999999996E-3</v>
      </c>
      <c r="H64" s="74">
        <v>5.3125682000000002E-3</v>
      </c>
      <c r="I64" s="74">
        <v>5.2416279000000003E-3</v>
      </c>
      <c r="J64" s="74">
        <v>5.1709790999999996E-3</v>
      </c>
      <c r="K64" s="74">
        <v>5.1006686999999998E-3</v>
      </c>
      <c r="L64" s="74">
        <v>5.0307401999999998E-3</v>
      </c>
      <c r="M64" s="74">
        <v>4.9612331999999999E-3</v>
      </c>
      <c r="N64" s="74">
        <v>4.8921841000000004E-3</v>
      </c>
      <c r="O64" s="74">
        <v>4.8236258999999997E-3</v>
      </c>
      <c r="P64" s="74">
        <v>4.7555890000000002E-3</v>
      </c>
      <c r="Q64" s="74">
        <v>4.6881007000000004E-3</v>
      </c>
      <c r="R64" s="74">
        <v>4.6211856999999997E-3</v>
      </c>
      <c r="S64" s="74">
        <v>4.5548663E-3</v>
      </c>
      <c r="T64" s="74">
        <v>4.4891625999999999E-3</v>
      </c>
      <c r="U64" s="74">
        <v>4.4240924999999999E-3</v>
      </c>
      <c r="V64" s="74">
        <v>4.3596718000000001E-3</v>
      </c>
      <c r="W64" s="74">
        <v>4.2959145000000002E-3</v>
      </c>
      <c r="X64" s="74">
        <v>4.2328330000000001E-3</v>
      </c>
      <c r="Y64" s="74">
        <v>4.1704376999999997E-3</v>
      </c>
      <c r="Z64" s="74">
        <v>4.1087379000000002E-3</v>
      </c>
      <c r="AA64" s="74">
        <v>4.0477413000000002E-3</v>
      </c>
      <c r="AB64" s="74">
        <v>3.9874543000000002E-3</v>
      </c>
      <c r="AC64" s="74">
        <v>3.9278821000000002E-3</v>
      </c>
      <c r="AD64" s="74">
        <v>3.8690286999999999E-3</v>
      </c>
      <c r="AE64" s="74">
        <v>3.8108971999999998E-3</v>
      </c>
      <c r="AF64" s="74">
        <v>3.7534895999999998E-3</v>
      </c>
      <c r="AG64" s="74">
        <v>3.6968070999999999E-3</v>
      </c>
      <c r="AH64" s="74">
        <v>3.6408501000000002E-3</v>
      </c>
      <c r="AI64" s="74">
        <v>3.5856180000000001E-3</v>
      </c>
      <c r="AJ64" s="74">
        <v>3.5311099E-3</v>
      </c>
      <c r="AK64" s="74">
        <v>3.4773237999999999E-3</v>
      </c>
      <c r="AL64" s="74">
        <v>3.4242575000000002E-3</v>
      </c>
      <c r="AM64" s="74">
        <v>3.3719078999999998E-3</v>
      </c>
      <c r="AN64" s="74">
        <v>3.3202717999999999E-3</v>
      </c>
      <c r="AO64" s="74">
        <v>3.2693452E-3</v>
      </c>
      <c r="AP64" s="74">
        <v>3.2191237999999998E-3</v>
      </c>
      <c r="AQ64" s="74">
        <v>3.1696029E-3</v>
      </c>
      <c r="AR64" s="74">
        <v>3.1207776000000001E-3</v>
      </c>
      <c r="AS64" s="74">
        <v>3.0726425000000002E-3</v>
      </c>
      <c r="AT64" s="74">
        <v>3.0251918999999999E-3</v>
      </c>
      <c r="AU64" s="74">
        <v>2.9784199999999999E-3</v>
      </c>
      <c r="AV64" s="74">
        <v>2.9323207999999998E-3</v>
      </c>
      <c r="AW64" s="74">
        <v>2.8868878000000001E-3</v>
      </c>
      <c r="AX64" s="74">
        <v>2.8421146E-3</v>
      </c>
      <c r="AY64" s="74">
        <v>2.7979946E-3</v>
      </c>
      <c r="AZ64" s="74">
        <v>2.7545209999999998E-3</v>
      </c>
      <c r="BA64" s="74">
        <v>2.7116867999999999E-3</v>
      </c>
      <c r="BB64" s="74">
        <v>2.6694850000000001E-3</v>
      </c>
      <c r="BC64" s="74">
        <v>2.6279086000000002E-3</v>
      </c>
      <c r="BD64" s="74">
        <v>2.5869502999999999E-3</v>
      </c>
      <c r="BE64" s="74">
        <v>2.5466029000000001E-3</v>
      </c>
      <c r="BF64" s="74">
        <v>2.5068591000000002E-3</v>
      </c>
      <c r="BG64" s="74">
        <v>2.4677115000000002E-3</v>
      </c>
      <c r="BH64" s="74">
        <v>2.4291528999999998E-3</v>
      </c>
      <c r="BI64" s="74">
        <v>2.3911757E-3</v>
      </c>
      <c r="BJ64" s="74">
        <v>2.3537726999999999E-3</v>
      </c>
      <c r="BK64" s="74">
        <v>2.3169364E-3</v>
      </c>
      <c r="BL64" s="74">
        <v>2.2806595000000002E-3</v>
      </c>
      <c r="BM64" s="74">
        <v>2.2449344999999998E-3</v>
      </c>
      <c r="BN64" s="74">
        <v>2.2097542E-3</v>
      </c>
      <c r="BO64" s="74">
        <v>2.1751111E-3</v>
      </c>
      <c r="BP64" s="74">
        <v>2.1409980999999999E-3</v>
      </c>
      <c r="BQ64" s="74">
        <v>2.1074078999999998E-3</v>
      </c>
      <c r="BR64" s="74">
        <v>2.0743331999999999E-3</v>
      </c>
      <c r="BS64" s="74">
        <v>2.0417667999999998E-3</v>
      </c>
      <c r="BT64" s="74">
        <v>2.0097016999999998E-3</v>
      </c>
      <c r="BU64" s="74">
        <v>1.9781309000000001E-3</v>
      </c>
      <c r="BV64" s="74">
        <v>1.9470472E-3</v>
      </c>
      <c r="BW64" s="74">
        <v>1.9164437999999999E-3</v>
      </c>
      <c r="BX64" s="74">
        <v>1.8863136999999999E-3</v>
      </c>
      <c r="BY64" s="74">
        <v>1.8566501000000001E-3</v>
      </c>
      <c r="BZ64" s="74">
        <v>1.8274463E-3</v>
      </c>
      <c r="CA64" s="74">
        <v>1.7986956000000001E-3</v>
      </c>
      <c r="CB64" s="74">
        <v>1.7703913E-3</v>
      </c>
      <c r="CC64" s="74">
        <v>1.7425269E-3</v>
      </c>
      <c r="CD64" s="74">
        <v>1.7150959999999999E-3</v>
      </c>
      <c r="CE64" s="74">
        <v>1.688092E-3</v>
      </c>
      <c r="CF64" s="74">
        <v>1.6615086999999999E-3</v>
      </c>
      <c r="CG64" s="74">
        <v>1.6353398E-3</v>
      </c>
      <c r="CH64" s="74">
        <v>1.6095790999999999E-3</v>
      </c>
      <c r="CI64" s="74">
        <v>1.5842204E-3</v>
      </c>
      <c r="CJ64" s="74">
        <v>1.5592579E-3</v>
      </c>
      <c r="CK64" s="74">
        <v>1.5346854E-3</v>
      </c>
      <c r="CL64" s="74">
        <v>1.5104971E-3</v>
      </c>
      <c r="CM64" s="74">
        <v>1.4866872000000001E-3</v>
      </c>
      <c r="CN64" s="74">
        <v>1.4632499999999999E-3</v>
      </c>
      <c r="CO64" s="74">
        <v>1.4401797E-3</v>
      </c>
      <c r="CP64" s="74">
        <v>1.4174707999999999E-3</v>
      </c>
      <c r="CQ64" s="74">
        <v>1.3951178E-3</v>
      </c>
      <c r="CR64" s="74">
        <v>1.3731151999999999E-3</v>
      </c>
      <c r="CS64" s="74">
        <v>1.3514576999999999E-3</v>
      </c>
      <c r="CT64" s="74">
        <v>1.3301400000000001E-3</v>
      </c>
      <c r="CU64" s="74">
        <v>1.3091568E-3</v>
      </c>
      <c r="CV64" s="74">
        <v>1.2885030999999999E-3</v>
      </c>
      <c r="CW64" s="74">
        <v>1.2681737000000001E-3</v>
      </c>
      <c r="CX64" s="74">
        <v>1.2481636E-3</v>
      </c>
      <c r="CY64" s="74">
        <v>1.2284679999999999E-3</v>
      </c>
      <c r="CZ64" s="74">
        <v>1.2090819E-3</v>
      </c>
      <c r="DA64" s="74">
        <v>1.1900006000000001E-3</v>
      </c>
      <c r="DB64" s="74">
        <v>1.1712192999999999E-3</v>
      </c>
      <c r="DC64" s="74">
        <v>1.1527334000000001E-3</v>
      </c>
      <c r="DD64" s="74">
        <v>1.1345384E-3</v>
      </c>
      <c r="DE64" s="74">
        <v>1.1166296E-3</v>
      </c>
      <c r="DF64" s="74">
        <v>1.0990027E-3</v>
      </c>
      <c r="DG64" s="74">
        <v>1.0816532E-3</v>
      </c>
      <c r="DH64" s="74">
        <v>1.0645768000000001E-3</v>
      </c>
      <c r="DI64" s="74">
        <v>1.0477694E-3</v>
      </c>
      <c r="DJ64" s="74">
        <v>1.0312266000000001E-3</v>
      </c>
      <c r="DK64" s="74">
        <v>1.0149444E-3</v>
      </c>
      <c r="DL64" s="74">
        <v>9.9891869999999992E-4</v>
      </c>
      <c r="DM64" s="74">
        <v>9.8314549999999989E-4</v>
      </c>
      <c r="DN64" s="74">
        <v>9.6762080000000004E-4</v>
      </c>
      <c r="DO64" s="74">
        <v>9.5234080000000004E-4</v>
      </c>
      <c r="DP64" s="74">
        <v>9.3730159999999996E-4</v>
      </c>
      <c r="DQ64" s="74">
        <v>9.2249949999999997E-4</v>
      </c>
      <c r="DR64" s="74">
        <v>9.0793069999999996E-4</v>
      </c>
      <c r="DS64" s="74">
        <v>8.9359159999999999E-4</v>
      </c>
      <c r="DT64" s="74">
        <v>8.7947869999999997E-4</v>
      </c>
      <c r="DU64" s="74">
        <v>8.6558819999999999E-4</v>
      </c>
      <c r="DV64" s="74">
        <v>8.5191689999999996E-4</v>
      </c>
      <c r="DW64" s="74">
        <v>8.3846110000000001E-4</v>
      </c>
      <c r="DX64" s="74">
        <v>8.2521760000000004E-4</v>
      </c>
      <c r="DY64" s="74">
        <v>8.1218299999999996E-4</v>
      </c>
      <c r="DZ64" s="74">
        <v>7.9935399999999995E-4</v>
      </c>
      <c r="EA64" s="74">
        <v>7.8672750000000004E-4</v>
      </c>
      <c r="EB64" s="74">
        <v>7.7430010000000004E-4</v>
      </c>
      <c r="EC64" s="74">
        <v>7.6206889999999995E-4</v>
      </c>
      <c r="ED64" s="74">
        <v>7.5003060000000004E-4</v>
      </c>
      <c r="EE64" s="74">
        <v>7.3818229999999998E-4</v>
      </c>
      <c r="EF64" s="74">
        <v>7.2652100000000005E-4</v>
      </c>
      <c r="EG64" s="74">
        <v>7.1504380000000001E-4</v>
      </c>
      <c r="EH64" s="74">
        <v>7.0374770000000003E-4</v>
      </c>
      <c r="EI64" s="74">
        <v>6.926298E-4</v>
      </c>
      <c r="EJ64" s="74">
        <v>6.816875E-4</v>
      </c>
      <c r="EK64" s="74">
        <v>6.7091790000000002E-4</v>
      </c>
      <c r="EL64" s="74">
        <v>6.6031840000000004E-4</v>
      </c>
      <c r="EM64" s="74">
        <v>6.4988610000000005E-4</v>
      </c>
      <c r="EN64" s="74">
        <v>6.3961859999999999E-4</v>
      </c>
      <c r="EO64" s="74">
        <v>6.2951309999999998E-4</v>
      </c>
      <c r="EP64" s="74">
        <v>6.1956719999999997E-4</v>
      </c>
      <c r="EQ64" s="74">
        <v>6.0977839999999998E-4</v>
      </c>
      <c r="ER64" s="74">
        <v>6.0014409999999997E-4</v>
      </c>
      <c r="ES64" s="74">
        <v>5.9066190000000001E-4</v>
      </c>
      <c r="ET64" s="74">
        <v>5.8132949999999996E-4</v>
      </c>
      <c r="EU64" s="74">
        <v>5.7214440000000004E-4</v>
      </c>
      <c r="EV64" s="74">
        <v>5.6310439999999995E-4</v>
      </c>
      <c r="EW64" s="74">
        <v>5.5420709999999995E-4</v>
      </c>
      <c r="EX64" s="74">
        <v>5.4545039999999998E-4</v>
      </c>
      <c r="EY64" s="74">
        <v>5.3683189999999997E-4</v>
      </c>
      <c r="EZ64" s="74">
        <v>5.2834949999999996E-4</v>
      </c>
      <c r="FA64" s="74">
        <v>5.2000120000000004E-4</v>
      </c>
      <c r="FB64" s="74">
        <v>5.1178460000000003E-4</v>
      </c>
      <c r="FC64" s="74">
        <v>5.0369789999999998E-4</v>
      </c>
      <c r="FD64" s="74">
        <v>4.9573879999999996E-4</v>
      </c>
      <c r="FE64" s="74">
        <v>4.8790550000000002E-4</v>
      </c>
      <c r="FF64" s="74">
        <v>4.8019589999999997E-4</v>
      </c>
      <c r="FG64" s="74">
        <v>4.7260809999999999E-4</v>
      </c>
      <c r="FH64" s="74">
        <v>4.6514009999999999E-4</v>
      </c>
      <c r="FI64" s="74">
        <v>4.577901E-4</v>
      </c>
      <c r="FJ64" s="74">
        <v>4.5055619999999997E-4</v>
      </c>
      <c r="FK64" s="74">
        <v>4.434366E-4</v>
      </c>
      <c r="FL64" s="74">
        <v>4.3642939999999998E-4</v>
      </c>
      <c r="FM64" s="74">
        <v>4.2953300000000001E-4</v>
      </c>
      <c r="FN64" s="74">
        <v>4.2274540000000001E-4</v>
      </c>
      <c r="FO64" s="74">
        <v>4.160651E-4</v>
      </c>
      <c r="FP64" s="74">
        <v>4.0949029999999998E-4</v>
      </c>
      <c r="FQ64" s="74">
        <v>4.0301939999999999E-4</v>
      </c>
    </row>
    <row r="65" spans="1:173" x14ac:dyDescent="0.25">
      <c r="A65" s="76">
        <v>63</v>
      </c>
      <c r="B65" s="74">
        <v>6.1762435999999999E-3</v>
      </c>
      <c r="C65" s="74">
        <v>6.0940975999999999E-3</v>
      </c>
      <c r="D65" s="74">
        <v>6.0121402999999997E-3</v>
      </c>
      <c r="E65" s="74">
        <v>5.9304394000000002E-3</v>
      </c>
      <c r="F65" s="74">
        <v>5.8490573999999997E-3</v>
      </c>
      <c r="G65" s="74">
        <v>5.7680518999999996E-3</v>
      </c>
      <c r="H65" s="74">
        <v>5.6874758999999999E-3</v>
      </c>
      <c r="I65" s="74">
        <v>5.6073777999999996E-3</v>
      </c>
      <c r="J65" s="74">
        <v>5.5278020999999997E-3</v>
      </c>
      <c r="K65" s="74">
        <v>5.4487892E-3</v>
      </c>
      <c r="L65" s="74">
        <v>5.3703761999999997E-3</v>
      </c>
      <c r="M65" s="74">
        <v>5.2925964999999998E-3</v>
      </c>
      <c r="N65" s="74">
        <v>5.2154803999999999E-3</v>
      </c>
      <c r="O65" s="74">
        <v>5.1390552000000001E-3</v>
      </c>
      <c r="P65" s="74">
        <v>5.0633455000000001E-3</v>
      </c>
      <c r="Q65" s="74">
        <v>4.9883731000000004E-3</v>
      </c>
      <c r="R65" s="74">
        <v>4.9141573999999999E-3</v>
      </c>
      <c r="S65" s="74">
        <v>4.8407156999999996E-3</v>
      </c>
      <c r="T65" s="74">
        <v>4.7680630000000003E-3</v>
      </c>
      <c r="U65" s="74">
        <v>4.6962122999999996E-3</v>
      </c>
      <c r="V65" s="74">
        <v>4.6251748000000004E-3</v>
      </c>
      <c r="W65" s="74">
        <v>4.5549602000000003E-3</v>
      </c>
      <c r="X65" s="74">
        <v>4.4855761000000003E-3</v>
      </c>
      <c r="Y65" s="74">
        <v>4.4170292000000003E-3</v>
      </c>
      <c r="Z65" s="74">
        <v>4.3493244E-3</v>
      </c>
      <c r="AA65" s="74">
        <v>4.2824654000000002E-3</v>
      </c>
      <c r="AB65" s="74">
        <v>4.216455E-3</v>
      </c>
      <c r="AC65" s="74">
        <v>4.1512946999999996E-3</v>
      </c>
      <c r="AD65" s="74">
        <v>4.0869848000000004E-3</v>
      </c>
      <c r="AE65" s="74">
        <v>4.023525E-3</v>
      </c>
      <c r="AF65" s="74">
        <v>3.9609140000000003E-3</v>
      </c>
      <c r="AG65" s="74">
        <v>3.8991498E-3</v>
      </c>
      <c r="AH65" s="74">
        <v>3.8382295E-3</v>
      </c>
      <c r="AI65" s="74">
        <v>3.7781498E-3</v>
      </c>
      <c r="AJ65" s="74">
        <v>3.7189064999999999E-3</v>
      </c>
      <c r="AK65" s="74">
        <v>3.6604950000000002E-3</v>
      </c>
      <c r="AL65" s="74">
        <v>3.6029102E-3</v>
      </c>
      <c r="AM65" s="74">
        <v>3.5461465999999998E-3</v>
      </c>
      <c r="AN65" s="74">
        <v>3.4901980999999999E-3</v>
      </c>
      <c r="AO65" s="74">
        <v>3.4350583000000001E-3</v>
      </c>
      <c r="AP65" s="74">
        <v>3.3807205E-3</v>
      </c>
      <c r="AQ65" s="74">
        <v>3.3271778E-3</v>
      </c>
      <c r="AR65" s="74">
        <v>3.2744227000000002E-3</v>
      </c>
      <c r="AS65" s="74">
        <v>3.2224478000000001E-3</v>
      </c>
      <c r="AT65" s="74">
        <v>3.1712453000000002E-3</v>
      </c>
      <c r="AU65" s="74">
        <v>3.1208071000000002E-3</v>
      </c>
      <c r="AV65" s="74">
        <v>3.0711253000000002E-3</v>
      </c>
      <c r="AW65" s="74">
        <v>3.0221914000000002E-3</v>
      </c>
      <c r="AX65" s="74">
        <v>2.9739971E-3</v>
      </c>
      <c r="AY65" s="74">
        <v>2.9265340000000002E-3</v>
      </c>
      <c r="AZ65" s="74">
        <v>2.8797933E-3</v>
      </c>
      <c r="BA65" s="74">
        <v>2.8337663999999999E-3</v>
      </c>
      <c r="BB65" s="74">
        <v>2.7884444999999999E-3</v>
      </c>
      <c r="BC65" s="74">
        <v>2.7438190000000002E-3</v>
      </c>
      <c r="BD65" s="74">
        <v>2.6998809999999999E-3</v>
      </c>
      <c r="BE65" s="74">
        <v>2.6566215999999998E-3</v>
      </c>
      <c r="BF65" s="74">
        <v>2.6140321000000001E-3</v>
      </c>
      <c r="BG65" s="74">
        <v>2.5721035999999998E-3</v>
      </c>
      <c r="BH65" s="74">
        <v>2.5308271999999999E-3</v>
      </c>
      <c r="BI65" s="74">
        <v>2.4901941999999999E-3</v>
      </c>
      <c r="BJ65" s="74">
        <v>2.4501957999999999E-3</v>
      </c>
      <c r="BK65" s="74">
        <v>2.4108231999999999E-3</v>
      </c>
      <c r="BL65" s="74">
        <v>2.3720678000000001E-3</v>
      </c>
      <c r="BM65" s="74">
        <v>2.3339209000000001E-3</v>
      </c>
      <c r="BN65" s="74">
        <v>2.2963738999999999E-3</v>
      </c>
      <c r="BO65" s="74">
        <v>2.2594182000000001E-3</v>
      </c>
      <c r="BP65" s="74">
        <v>2.2230453E-3</v>
      </c>
      <c r="BQ65" s="74">
        <v>2.1872469000000002E-3</v>
      </c>
      <c r="BR65" s="74">
        <v>2.1520146E-3</v>
      </c>
      <c r="BS65" s="74">
        <v>2.1173401000000001E-3</v>
      </c>
      <c r="BT65" s="74">
        <v>2.0832151999999999E-3</v>
      </c>
      <c r="BU65" s="74">
        <v>2.0496317999999999E-3</v>
      </c>
      <c r="BV65" s="74">
        <v>2.0165818999999998E-3</v>
      </c>
      <c r="BW65" s="74">
        <v>1.9840575000000002E-3</v>
      </c>
      <c r="BX65" s="74">
        <v>1.9520506000000001E-3</v>
      </c>
      <c r="BY65" s="74">
        <v>1.9205536E-3</v>
      </c>
      <c r="BZ65" s="74">
        <v>1.8895587E-3</v>
      </c>
      <c r="CA65" s="74">
        <v>1.8590583999999999E-3</v>
      </c>
      <c r="CB65" s="74">
        <v>1.8290450000000001E-3</v>
      </c>
      <c r="CC65" s="74">
        <v>1.7995112E-3</v>
      </c>
      <c r="CD65" s="74">
        <v>1.7704496000000001E-3</v>
      </c>
      <c r="CE65" s="74">
        <v>1.7418529E-3</v>
      </c>
      <c r="CF65" s="74">
        <v>1.7137140999999999E-3</v>
      </c>
      <c r="CG65" s="74">
        <v>1.6860258999999999E-3</v>
      </c>
      <c r="CH65" s="74">
        <v>1.6587816E-3</v>
      </c>
      <c r="CI65" s="74">
        <v>1.6319741E-3</v>
      </c>
      <c r="CJ65" s="74">
        <v>1.6055967E-3</v>
      </c>
      <c r="CK65" s="74">
        <v>1.5796427E-3</v>
      </c>
      <c r="CL65" s="74">
        <v>1.5541054E-3</v>
      </c>
      <c r="CM65" s="74">
        <v>1.5289784E-3</v>
      </c>
      <c r="CN65" s="74">
        <v>1.5042553E-3</v>
      </c>
      <c r="CO65" s="74">
        <v>1.4799296E-3</v>
      </c>
      <c r="CP65" s="74">
        <v>1.4559950999999999E-3</v>
      </c>
      <c r="CQ65" s="74">
        <v>1.4324457999999999E-3</v>
      </c>
      <c r="CR65" s="74">
        <v>1.4092753999999999E-3</v>
      </c>
      <c r="CS65" s="74">
        <v>1.3864781000000001E-3</v>
      </c>
      <c r="CT65" s="74">
        <v>1.3640479E-3</v>
      </c>
      <c r="CU65" s="74">
        <v>1.3419790000000001E-3</v>
      </c>
      <c r="CV65" s="74">
        <v>1.3202657E-3</v>
      </c>
      <c r="CW65" s="74">
        <v>1.2989023999999999E-3</v>
      </c>
      <c r="CX65" s="74">
        <v>1.2778834E-3</v>
      </c>
      <c r="CY65" s="74">
        <v>1.2572034000000001E-3</v>
      </c>
      <c r="CZ65" s="74">
        <v>1.2368569E-3</v>
      </c>
      <c r="DA65" s="74">
        <v>1.2168387000000001E-3</v>
      </c>
      <c r="DB65" s="74">
        <v>1.1971434E-3</v>
      </c>
      <c r="DC65" s="74">
        <v>1.177766E-3</v>
      </c>
      <c r="DD65" s="74">
        <v>1.1587012999999999E-3</v>
      </c>
      <c r="DE65" s="74">
        <v>1.1399444000000001E-3</v>
      </c>
      <c r="DF65" s="74">
        <v>1.1214904000000001E-3</v>
      </c>
      <c r="DG65" s="74">
        <v>1.1033344E-3</v>
      </c>
      <c r="DH65" s="74">
        <v>1.0854715999999999E-3</v>
      </c>
      <c r="DI65" s="74">
        <v>1.0678974000000001E-3</v>
      </c>
      <c r="DJ65" s="74">
        <v>1.0506070000000001E-3</v>
      </c>
      <c r="DK65" s="74">
        <v>1.0335960999999999E-3</v>
      </c>
      <c r="DL65" s="74">
        <v>1.0168600000000001E-3</v>
      </c>
      <c r="DM65" s="74">
        <v>1.0003945000000001E-3</v>
      </c>
      <c r="DN65" s="74">
        <v>9.8419499999999999E-4</v>
      </c>
      <c r="DO65" s="74">
        <v>9.6825739999999996E-4</v>
      </c>
      <c r="DP65" s="74">
        <v>9.5257749999999998E-4</v>
      </c>
      <c r="DQ65" s="74">
        <v>9.3715110000000003E-4</v>
      </c>
      <c r="DR65" s="74">
        <v>9.2197419999999995E-4</v>
      </c>
      <c r="DS65" s="74">
        <v>9.0704260000000004E-4</v>
      </c>
      <c r="DT65" s="74">
        <v>8.923526E-4</v>
      </c>
      <c r="DU65" s="74">
        <v>8.7790009999999996E-4</v>
      </c>
      <c r="DV65" s="74">
        <v>8.6368139999999996E-4</v>
      </c>
      <c r="DW65" s="74">
        <v>8.496927E-4</v>
      </c>
      <c r="DX65" s="74">
        <v>8.3593039999999995E-4</v>
      </c>
      <c r="DY65" s="74">
        <v>8.2239059999999998E-4</v>
      </c>
      <c r="DZ65" s="74">
        <v>8.0906999999999995E-4</v>
      </c>
      <c r="EA65" s="74">
        <v>7.9596479999999997E-4</v>
      </c>
      <c r="EB65" s="74">
        <v>7.8307170000000001E-4</v>
      </c>
      <c r="EC65" s="74">
        <v>7.7038729999999998E-4</v>
      </c>
      <c r="ED65" s="74">
        <v>7.5790809999999999E-4</v>
      </c>
      <c r="EE65" s="74">
        <v>7.4563090000000004E-4</v>
      </c>
      <c r="EF65" s="74">
        <v>7.3355239999999997E-4</v>
      </c>
      <c r="EG65" s="74">
        <v>7.2166940000000001E-4</v>
      </c>
      <c r="EH65" s="74">
        <v>7.0997870000000002E-4</v>
      </c>
      <c r="EI65" s="74">
        <v>6.9847729999999997E-4</v>
      </c>
      <c r="EJ65" s="74">
        <v>6.8716199999999995E-4</v>
      </c>
      <c r="EK65" s="74">
        <v>6.7602999999999999E-4</v>
      </c>
      <c r="EL65" s="74">
        <v>6.6507809999999997E-4</v>
      </c>
      <c r="EM65" s="74">
        <v>6.5430350000000002E-4</v>
      </c>
      <c r="EN65" s="74">
        <v>6.4370339999999995E-4</v>
      </c>
      <c r="EO65" s="74">
        <v>6.3327489999999995E-4</v>
      </c>
      <c r="EP65" s="74">
        <v>6.2301520000000005E-4</v>
      </c>
      <c r="EQ65" s="74">
        <v>6.1292170000000002E-4</v>
      </c>
      <c r="ER65" s="74">
        <v>6.0299159999999997E-4</v>
      </c>
      <c r="ES65" s="74">
        <v>5.9322230000000001E-4</v>
      </c>
      <c r="ET65" s="74">
        <v>5.8361120000000001E-4</v>
      </c>
      <c r="EU65" s="74">
        <v>5.7415570000000004E-4</v>
      </c>
      <c r="EV65" s="74">
        <v>5.6485330000000003E-4</v>
      </c>
      <c r="EW65" s="74">
        <v>5.5570160000000001E-4</v>
      </c>
      <c r="EX65" s="74">
        <v>5.4669810000000001E-4</v>
      </c>
      <c r="EY65" s="74">
        <v>5.3784030000000004E-4</v>
      </c>
      <c r="EZ65" s="74">
        <v>5.2912610000000002E-4</v>
      </c>
      <c r="FA65" s="74">
        <v>5.2055299999999999E-4</v>
      </c>
      <c r="FB65" s="74">
        <v>5.1211870000000001E-4</v>
      </c>
      <c r="FC65" s="74">
        <v>5.03821E-4</v>
      </c>
      <c r="FD65" s="74">
        <v>4.9565769999999996E-4</v>
      </c>
      <c r="FE65" s="74">
        <v>4.876266E-4</v>
      </c>
      <c r="FF65" s="74">
        <v>4.7972569999999999E-4</v>
      </c>
      <c r="FG65" s="74">
        <v>4.7195260000000003E-4</v>
      </c>
      <c r="FH65" s="74">
        <v>4.6430549999999999E-4</v>
      </c>
      <c r="FI65" s="74">
        <v>4.5678230000000003E-4</v>
      </c>
      <c r="FJ65" s="74">
        <v>4.4938090000000002E-4</v>
      </c>
      <c r="FK65" s="74">
        <v>4.4209940000000002E-4</v>
      </c>
      <c r="FL65" s="74">
        <v>4.3493580000000001E-4</v>
      </c>
      <c r="FM65" s="74">
        <v>4.2788830000000001E-4</v>
      </c>
      <c r="FN65" s="74">
        <v>4.2095499999999998E-4</v>
      </c>
      <c r="FO65" s="74">
        <v>4.141339E-4</v>
      </c>
      <c r="FP65" s="74">
        <v>4.0742339999999999E-4</v>
      </c>
      <c r="FQ65" s="74">
        <v>4.0082159999999998E-4</v>
      </c>
    </row>
    <row r="66" spans="1:173" x14ac:dyDescent="0.25">
      <c r="A66" s="76">
        <v>64</v>
      </c>
      <c r="B66" s="74">
        <v>6.6685551000000001E-3</v>
      </c>
      <c r="C66" s="74">
        <v>6.5759913999999999E-3</v>
      </c>
      <c r="D66" s="74">
        <v>6.4837434999999999E-3</v>
      </c>
      <c r="E66" s="74">
        <v>6.3918832000000002E-3</v>
      </c>
      <c r="F66" s="74">
        <v>6.3004769E-3</v>
      </c>
      <c r="G66" s="74">
        <v>6.2095852999999998E-3</v>
      </c>
      <c r="H66" s="74">
        <v>6.1192640999999997E-3</v>
      </c>
      <c r="I66" s="74">
        <v>6.0295640999999999E-3</v>
      </c>
      <c r="J66" s="74">
        <v>5.9405316999999996E-3</v>
      </c>
      <c r="K66" s="74">
        <v>5.8522089999999997E-3</v>
      </c>
      <c r="L66" s="74">
        <v>5.7646340999999999E-3</v>
      </c>
      <c r="M66" s="74">
        <v>5.6778413999999996E-3</v>
      </c>
      <c r="N66" s="74">
        <v>5.5918618999999999E-3</v>
      </c>
      <c r="O66" s="74">
        <v>5.5067231000000003E-3</v>
      </c>
      <c r="P66" s="74">
        <v>5.4224497E-3</v>
      </c>
      <c r="Q66" s="74">
        <v>5.3390635000000004E-3</v>
      </c>
      <c r="R66" s="74">
        <v>5.2565835000000002E-3</v>
      </c>
      <c r="S66" s="74">
        <v>5.1750266000000003E-3</v>
      </c>
      <c r="T66" s="74">
        <v>5.0944069E-3</v>
      </c>
      <c r="U66" s="74">
        <v>5.0147367999999999E-3</v>
      </c>
      <c r="V66" s="74">
        <v>4.9360263999999997E-3</v>
      </c>
      <c r="W66" s="74">
        <v>4.8582842000000001E-3</v>
      </c>
      <c r="X66" s="74">
        <v>4.7815167999999998E-3</v>
      </c>
      <c r="Y66" s="74">
        <v>4.7057293999999998E-3</v>
      </c>
      <c r="Z66" s="74">
        <v>4.6309256000000004E-3</v>
      </c>
      <c r="AA66" s="74">
        <v>4.5571075999999997E-3</v>
      </c>
      <c r="AB66" s="74">
        <v>4.4842765000000003E-3</v>
      </c>
      <c r="AC66" s="74">
        <v>4.4124322000000001E-3</v>
      </c>
      <c r="AD66" s="74">
        <v>4.3415733999999997E-3</v>
      </c>
      <c r="AE66" s="74">
        <v>4.271698E-3</v>
      </c>
      <c r="AF66" s="74">
        <v>4.2028029999999997E-3</v>
      </c>
      <c r="AG66" s="74">
        <v>4.1348844000000003E-3</v>
      </c>
      <c r="AH66" s="74">
        <v>4.0679376E-3</v>
      </c>
      <c r="AI66" s="74">
        <v>4.0019573000000001E-3</v>
      </c>
      <c r="AJ66" s="74">
        <v>3.9369375000000003E-3</v>
      </c>
      <c r="AK66" s="74">
        <v>3.8728717000000002E-3</v>
      </c>
      <c r="AL66" s="74">
        <v>3.8097528999999999E-3</v>
      </c>
      <c r="AM66" s="74">
        <v>3.7475734999999999E-3</v>
      </c>
      <c r="AN66" s="74">
        <v>3.6863256E-3</v>
      </c>
      <c r="AO66" s="74">
        <v>3.6260009000000002E-3</v>
      </c>
      <c r="AP66" s="74">
        <v>3.5665906999999999E-3</v>
      </c>
      <c r="AQ66" s="74">
        <v>3.5080861000000001E-3</v>
      </c>
      <c r="AR66" s="74">
        <v>3.4504777999999998E-3</v>
      </c>
      <c r="AS66" s="74">
        <v>3.3937564000000001E-3</v>
      </c>
      <c r="AT66" s="74">
        <v>3.3379121999999998E-3</v>
      </c>
      <c r="AU66" s="74">
        <v>3.2829352999999999E-3</v>
      </c>
      <c r="AV66" s="74">
        <v>3.2288158000000002E-3</v>
      </c>
      <c r="AW66" s="74">
        <v>3.1755434E-3</v>
      </c>
      <c r="AX66" s="74">
        <v>3.1231079999999999E-3</v>
      </c>
      <c r="AY66" s="74">
        <v>3.0714992000000002E-3</v>
      </c>
      <c r="AZ66" s="74">
        <v>3.0207065999999999E-3</v>
      </c>
      <c r="BA66" s="74">
        <v>2.9707196999999999E-3</v>
      </c>
      <c r="BB66" s="74">
        <v>2.9215280000000001E-3</v>
      </c>
      <c r="BC66" s="74">
        <v>2.8731211000000002E-3</v>
      </c>
      <c r="BD66" s="74">
        <v>2.8254882999999998E-3</v>
      </c>
      <c r="BE66" s="74">
        <v>2.7786192E-3</v>
      </c>
      <c r="BF66" s="74">
        <v>2.7325031999999999E-3</v>
      </c>
      <c r="BG66" s="74">
        <v>2.6871298000000002E-3</v>
      </c>
      <c r="BH66" s="74">
        <v>2.6424886999999999E-3</v>
      </c>
      <c r="BI66" s="74">
        <v>2.5985692999999999E-3</v>
      </c>
      <c r="BJ66" s="74">
        <v>2.5553614000000001E-3</v>
      </c>
      <c r="BK66" s="74">
        <v>2.5128545999999999E-3</v>
      </c>
      <c r="BL66" s="74">
        <v>2.4710386999999999E-3</v>
      </c>
      <c r="BM66" s="74">
        <v>2.4299034999999999E-3</v>
      </c>
      <c r="BN66" s="74">
        <v>2.3894389000000001E-3</v>
      </c>
      <c r="BO66" s="74">
        <v>2.3496350000000001E-3</v>
      </c>
      <c r="BP66" s="74">
        <v>2.3104817999999999E-3</v>
      </c>
      <c r="BQ66" s="74">
        <v>2.2719695000000002E-3</v>
      </c>
      <c r="BR66" s="74">
        <v>2.2340884000000001E-3</v>
      </c>
      <c r="BS66" s="74">
        <v>2.1968287999999999E-3</v>
      </c>
      <c r="BT66" s="74">
        <v>2.1601811000000002E-3</v>
      </c>
      <c r="BU66" s="74">
        <v>2.124136E-3</v>
      </c>
      <c r="BV66" s="74">
        <v>2.0886841E-3</v>
      </c>
      <c r="BW66" s="74">
        <v>2.0538162E-3</v>
      </c>
      <c r="BX66" s="74">
        <v>2.0195231000000001E-3</v>
      </c>
      <c r="BY66" s="74">
        <v>1.9857959000000001E-3</v>
      </c>
      <c r="BZ66" s="74">
        <v>1.9526257E-3</v>
      </c>
      <c r="CA66" s="74">
        <v>1.9200036E-3</v>
      </c>
      <c r="CB66" s="74">
        <v>1.8879210000000001E-3</v>
      </c>
      <c r="CC66" s="74">
        <v>1.8563693E-3</v>
      </c>
      <c r="CD66" s="74">
        <v>1.8253401E-3</v>
      </c>
      <c r="CE66" s="74">
        <v>1.7948249999999999E-3</v>
      </c>
      <c r="CF66" s="74">
        <v>1.7648157999999999E-3</v>
      </c>
      <c r="CG66" s="74">
        <v>1.7353043999999999E-3</v>
      </c>
      <c r="CH66" s="74">
        <v>1.7062828E-3</v>
      </c>
      <c r="CI66" s="74">
        <v>1.677743E-3</v>
      </c>
      <c r="CJ66" s="74">
        <v>1.6496773999999999E-3</v>
      </c>
      <c r="CK66" s="74">
        <v>1.6220782E-3</v>
      </c>
      <c r="CL66" s="74">
        <v>1.5949378999999999E-3</v>
      </c>
      <c r="CM66" s="74">
        <v>1.5682490000000001E-3</v>
      </c>
      <c r="CN66" s="74">
        <v>1.5420042000000001E-3</v>
      </c>
      <c r="CO66" s="74">
        <v>1.5161962000000001E-3</v>
      </c>
      <c r="CP66" s="74">
        <v>1.4908180000000001E-3</v>
      </c>
      <c r="CQ66" s="74">
        <v>1.4658625E-3</v>
      </c>
      <c r="CR66" s="74">
        <v>1.4413227999999999E-3</v>
      </c>
      <c r="CS66" s="74">
        <v>1.4171921000000001E-3</v>
      </c>
      <c r="CT66" s="74">
        <v>1.3934635999999999E-3</v>
      </c>
      <c r="CU66" s="74">
        <v>1.3701309000000001E-3</v>
      </c>
      <c r="CV66" s="74">
        <v>1.3471874E-3</v>
      </c>
      <c r="CW66" s="74">
        <v>1.3246266E-3</v>
      </c>
      <c r="CX66" s="74">
        <v>1.3024423999999999E-3</v>
      </c>
      <c r="CY66" s="74">
        <v>1.2806283999999999E-3</v>
      </c>
      <c r="CZ66" s="74">
        <v>1.2591786999999999E-3</v>
      </c>
      <c r="DA66" s="74">
        <v>1.2380870999999999E-3</v>
      </c>
      <c r="DB66" s="74">
        <v>1.2173476999999999E-3</v>
      </c>
      <c r="DC66" s="74">
        <v>1.1969547999999999E-3</v>
      </c>
      <c r="DD66" s="74">
        <v>1.1769026000000001E-3</v>
      </c>
      <c r="DE66" s="74">
        <v>1.1571855E-3</v>
      </c>
      <c r="DF66" s="74">
        <v>1.1377978999999999E-3</v>
      </c>
      <c r="DG66" s="74">
        <v>1.1187344000000001E-3</v>
      </c>
      <c r="DH66" s="74">
        <v>1.0999896E-3</v>
      </c>
      <c r="DI66" s="74">
        <v>1.0815581000000001E-3</v>
      </c>
      <c r="DJ66" s="74">
        <v>1.0634348999999999E-3</v>
      </c>
      <c r="DK66" s="74">
        <v>1.0456148000000001E-3</v>
      </c>
      <c r="DL66" s="74">
        <v>1.0280927E-3</v>
      </c>
      <c r="DM66" s="74">
        <v>1.0108637999999999E-3</v>
      </c>
      <c r="DN66" s="74">
        <v>9.9392300000000007E-4</v>
      </c>
      <c r="DO66" s="74">
        <v>9.7726569999999997E-4</v>
      </c>
      <c r="DP66" s="74">
        <v>9.6088719999999996E-4</v>
      </c>
      <c r="DQ66" s="74">
        <v>9.4478270000000004E-4</v>
      </c>
      <c r="DR66" s="74">
        <v>9.2894769999999998E-4</v>
      </c>
      <c r="DS66" s="74">
        <v>9.1337769999999996E-4</v>
      </c>
      <c r="DT66" s="74">
        <v>8.9806840000000005E-4</v>
      </c>
      <c r="DU66" s="74">
        <v>8.8301540000000004E-4</v>
      </c>
      <c r="DV66" s="74">
        <v>8.6821429999999996E-4</v>
      </c>
      <c r="DW66" s="74">
        <v>8.5366109999999995E-4</v>
      </c>
      <c r="DX66" s="74">
        <v>8.3935149999999996E-4</v>
      </c>
      <c r="DY66" s="74">
        <v>8.2528150000000004E-4</v>
      </c>
      <c r="DZ66" s="74">
        <v>8.1144710000000001E-4</v>
      </c>
      <c r="EA66" s="74">
        <v>7.9784449999999998E-4</v>
      </c>
      <c r="EB66" s="74">
        <v>7.8446959999999997E-4</v>
      </c>
      <c r="EC66" s="74">
        <v>7.7131870000000003E-4</v>
      </c>
      <c r="ED66" s="74">
        <v>7.5838809999999996E-4</v>
      </c>
      <c r="EE66" s="74">
        <v>7.4567399999999999E-4</v>
      </c>
      <c r="EF66" s="74">
        <v>7.3317300000000005E-4</v>
      </c>
      <c r="EG66" s="74">
        <v>7.2088130000000003E-4</v>
      </c>
      <c r="EH66" s="74">
        <v>7.0879549999999997E-4</v>
      </c>
      <c r="EI66" s="74">
        <v>6.9691230000000005E-4</v>
      </c>
      <c r="EJ66" s="74">
        <v>6.852281E-4</v>
      </c>
      <c r="EK66" s="74">
        <v>6.7373960000000001E-4</v>
      </c>
      <c r="EL66" s="74">
        <v>6.6244369999999999E-4</v>
      </c>
      <c r="EM66" s="74">
        <v>6.5133699999999999E-4</v>
      </c>
      <c r="EN66" s="74">
        <v>6.4041640000000002E-4</v>
      </c>
      <c r="EO66" s="74">
        <v>6.296788E-4</v>
      </c>
      <c r="EP66" s="74">
        <v>6.1912109999999996E-4</v>
      </c>
      <c r="EQ66" s="74">
        <v>6.087404E-4</v>
      </c>
      <c r="ER66" s="74">
        <v>5.9853360000000004E-4</v>
      </c>
      <c r="ES66" s="74">
        <v>5.8849779999999995E-4</v>
      </c>
      <c r="ET66" s="74">
        <v>5.7863019999999997E-4</v>
      </c>
      <c r="EU66" s="74">
        <v>5.6892800000000001E-4</v>
      </c>
      <c r="EV66" s="74">
        <v>5.5938850000000003E-4</v>
      </c>
      <c r="EW66" s="74">
        <v>5.5000869999999996E-4</v>
      </c>
      <c r="EX66" s="74">
        <v>5.4078619999999998E-4</v>
      </c>
      <c r="EY66" s="74">
        <v>5.3171830000000003E-4</v>
      </c>
      <c r="EZ66" s="74">
        <v>5.2280239999999997E-4</v>
      </c>
      <c r="FA66" s="74">
        <v>5.1403590000000002E-4</v>
      </c>
      <c r="FB66" s="74">
        <v>5.0541629999999995E-4</v>
      </c>
      <c r="FC66" s="74">
        <v>4.9694120000000005E-4</v>
      </c>
      <c r="FD66" s="74">
        <v>4.8860820000000004E-4</v>
      </c>
      <c r="FE66" s="74">
        <v>4.8041490000000001E-4</v>
      </c>
      <c r="FF66" s="74">
        <v>4.7235890000000002E-4</v>
      </c>
      <c r="FG66" s="74">
        <v>4.6443800000000001E-4</v>
      </c>
      <c r="FH66" s="74">
        <v>4.566498E-4</v>
      </c>
      <c r="FI66" s="74">
        <v>4.4899220000000001E-4</v>
      </c>
      <c r="FJ66" s="74">
        <v>4.4146289999999998E-4</v>
      </c>
      <c r="FK66" s="74">
        <v>4.3405990000000002E-4</v>
      </c>
      <c r="FL66" s="74">
        <v>4.2678099999999999E-4</v>
      </c>
      <c r="FM66" s="74">
        <v>4.1962409999999999E-4</v>
      </c>
      <c r="FN66" s="74">
        <v>4.1258720000000003E-4</v>
      </c>
      <c r="FO66" s="74">
        <v>4.0566829999999997E-4</v>
      </c>
      <c r="FP66" s="74">
        <v>3.9886540000000001E-4</v>
      </c>
      <c r="FQ66" s="74">
        <v>3.921765E-4</v>
      </c>
    </row>
    <row r="67" spans="1:173" x14ac:dyDescent="0.25">
      <c r="A67" s="76">
        <v>65</v>
      </c>
      <c r="B67" s="74">
        <v>7.2476112999999998E-3</v>
      </c>
      <c r="C67" s="74">
        <v>7.1434102999999999E-3</v>
      </c>
      <c r="D67" s="74">
        <v>7.0396853000000001E-3</v>
      </c>
      <c r="E67" s="74">
        <v>6.9365108999999998E-3</v>
      </c>
      <c r="F67" s="74">
        <v>6.8339556000000003E-3</v>
      </c>
      <c r="G67" s="74">
        <v>6.7320818000000003E-3</v>
      </c>
      <c r="H67" s="74">
        <v>6.6309467000000002E-3</v>
      </c>
      <c r="I67" s="74">
        <v>6.5306021000000004E-3</v>
      </c>
      <c r="J67" s="74">
        <v>6.4310950000000004E-3</v>
      </c>
      <c r="K67" s="74">
        <v>6.332468E-3</v>
      </c>
      <c r="L67" s="74">
        <v>6.2347593E-3</v>
      </c>
      <c r="M67" s="74">
        <v>6.1380031999999996E-3</v>
      </c>
      <c r="N67" s="74">
        <v>6.0422302000000001E-3</v>
      </c>
      <c r="O67" s="74">
        <v>5.9474673000000002E-3</v>
      </c>
      <c r="P67" s="74">
        <v>5.8537386E-3</v>
      </c>
      <c r="Q67" s="74">
        <v>5.7610646E-3</v>
      </c>
      <c r="R67" s="74">
        <v>5.6694635999999998E-3</v>
      </c>
      <c r="S67" s="74">
        <v>5.5789508999999999E-3</v>
      </c>
      <c r="T67" s="74">
        <v>5.4895394999999996E-3</v>
      </c>
      <c r="U67" s="74">
        <v>5.4012401000000003E-3</v>
      </c>
      <c r="V67" s="74">
        <v>5.3140614000000003E-3</v>
      </c>
      <c r="W67" s="74">
        <v>5.2280101000000004E-3</v>
      </c>
      <c r="X67" s="74">
        <v>5.1430911000000003E-3</v>
      </c>
      <c r="Y67" s="74">
        <v>5.0593076999999997E-3</v>
      </c>
      <c r="Z67" s="74">
        <v>4.9766615999999996E-3</v>
      </c>
      <c r="AA67" s="74">
        <v>4.8951530999999998E-3</v>
      </c>
      <c r="AB67" s="74">
        <v>4.8147813999999999E-3</v>
      </c>
      <c r="AC67" s="74">
        <v>4.7355441999999996E-3</v>
      </c>
      <c r="AD67" s="74">
        <v>4.6574381999999999E-3</v>
      </c>
      <c r="AE67" s="74">
        <v>4.5804592000000003E-3</v>
      </c>
      <c r="AF67" s="74">
        <v>4.5046021000000004E-3</v>
      </c>
      <c r="AG67" s="74">
        <v>4.4298606999999997E-3</v>
      </c>
      <c r="AH67" s="74">
        <v>4.3562282999999999E-3</v>
      </c>
      <c r="AI67" s="74">
        <v>4.2836975000000001E-3</v>
      </c>
      <c r="AJ67" s="74">
        <v>4.2122599999999998E-3</v>
      </c>
      <c r="AK67" s="74">
        <v>4.1419072000000003E-3</v>
      </c>
      <c r="AL67" s="74">
        <v>4.0726299999999998E-3</v>
      </c>
      <c r="AM67" s="74">
        <v>4.0044184999999998E-3</v>
      </c>
      <c r="AN67" s="74">
        <v>3.9372627999999998E-3</v>
      </c>
      <c r="AO67" s="74">
        <v>3.8711523999999998E-3</v>
      </c>
      <c r="AP67" s="74">
        <v>3.8060765E-3</v>
      </c>
      <c r="AQ67" s="74">
        <v>3.742024E-3</v>
      </c>
      <c r="AR67" s="74">
        <v>3.6789836E-3</v>
      </c>
      <c r="AS67" s="74">
        <v>3.6169437999999999E-3</v>
      </c>
      <c r="AT67" s="74">
        <v>3.5558928E-3</v>
      </c>
      <c r="AU67" s="74">
        <v>3.4958188000000002E-3</v>
      </c>
      <c r="AV67" s="74">
        <v>3.4367095999999998E-3</v>
      </c>
      <c r="AW67" s="74">
        <v>3.3785531999999999E-3</v>
      </c>
      <c r="AX67" s="74">
        <v>3.3213373999999999E-3</v>
      </c>
      <c r="AY67" s="74">
        <v>3.2650498000000002E-3</v>
      </c>
      <c r="AZ67" s="74">
        <v>3.2096782000000002E-3</v>
      </c>
      <c r="BA67" s="74">
        <v>3.1552100999999999E-3</v>
      </c>
      <c r="BB67" s="74">
        <v>3.1016332E-3</v>
      </c>
      <c r="BC67" s="74">
        <v>3.0489352000000001E-3</v>
      </c>
      <c r="BD67" s="74">
        <v>2.9971035999999999E-3</v>
      </c>
      <c r="BE67" s="74">
        <v>2.9461261999999999E-3</v>
      </c>
      <c r="BF67" s="74">
        <v>2.8959907E-3</v>
      </c>
      <c r="BG67" s="74">
        <v>2.8466848000000002E-3</v>
      </c>
      <c r="BH67" s="74">
        <v>2.7981963999999999E-3</v>
      </c>
      <c r="BI67" s="74">
        <v>2.7505134000000001E-3</v>
      </c>
      <c r="BJ67" s="74">
        <v>2.7036236999999999E-3</v>
      </c>
      <c r="BK67" s="74">
        <v>2.6575154999999998E-3</v>
      </c>
      <c r="BL67" s="74">
        <v>2.6121769000000002E-3</v>
      </c>
      <c r="BM67" s="74">
        <v>2.5675962000000002E-3</v>
      </c>
      <c r="BN67" s="74">
        <v>2.5237617E-3</v>
      </c>
      <c r="BO67" s="74">
        <v>2.4806619000000002E-3</v>
      </c>
      <c r="BP67" s="74">
        <v>2.4382853000000002E-3</v>
      </c>
      <c r="BQ67" s="74">
        <v>2.3966208000000002E-3</v>
      </c>
      <c r="BR67" s="74">
        <v>2.3556570000000002E-3</v>
      </c>
      <c r="BS67" s="74">
        <v>2.3153829999999999E-3</v>
      </c>
      <c r="BT67" s="74">
        <v>2.2757877999999999E-3</v>
      </c>
      <c r="BU67" s="74">
        <v>2.2368606E-3</v>
      </c>
      <c r="BV67" s="74">
        <v>2.1985908000000001E-3</v>
      </c>
      <c r="BW67" s="74">
        <v>2.1609677E-3</v>
      </c>
      <c r="BX67" s="74">
        <v>2.123981E-3</v>
      </c>
      <c r="BY67" s="74">
        <v>2.0876203999999998E-3</v>
      </c>
      <c r="BZ67" s="74">
        <v>2.0518757000000001E-3</v>
      </c>
      <c r="CA67" s="74">
        <v>2.0167369999999998E-3</v>
      </c>
      <c r="CB67" s="74">
        <v>1.9821943000000002E-3</v>
      </c>
      <c r="CC67" s="74">
        <v>1.9482379000000001E-3</v>
      </c>
      <c r="CD67" s="74">
        <v>1.9148583000000001E-3</v>
      </c>
      <c r="CE67" s="74">
        <v>1.8820458E-3</v>
      </c>
      <c r="CF67" s="74">
        <v>1.8497913E-3</v>
      </c>
      <c r="CG67" s="74">
        <v>1.8180854E-3</v>
      </c>
      <c r="CH67" s="74">
        <v>1.7869191999999999E-3</v>
      </c>
      <c r="CI67" s="74">
        <v>1.7562836E-3</v>
      </c>
      <c r="CJ67" s="74">
        <v>1.7261698999999999E-3</v>
      </c>
      <c r="CK67" s="74">
        <v>1.6965693999999999E-3</v>
      </c>
      <c r="CL67" s="74">
        <v>1.6674735E-3</v>
      </c>
      <c r="CM67" s="74">
        <v>1.6388737999999999E-3</v>
      </c>
      <c r="CN67" s="74">
        <v>1.6107621E-3</v>
      </c>
      <c r="CO67" s="74">
        <v>1.5831300999999999E-3</v>
      </c>
      <c r="CP67" s="74">
        <v>1.5559699E-3</v>
      </c>
      <c r="CQ67" s="74">
        <v>1.5292735E-3</v>
      </c>
      <c r="CR67" s="74">
        <v>1.5030332E-3</v>
      </c>
      <c r="CS67" s="74">
        <v>1.4772412000000001E-3</v>
      </c>
      <c r="CT67" s="74">
        <v>1.45189E-3</v>
      </c>
      <c r="CU67" s="74">
        <v>1.4269723E-3</v>
      </c>
      <c r="CV67" s="74">
        <v>1.4024806E-3</v>
      </c>
      <c r="CW67" s="74">
        <v>1.3784079E-3</v>
      </c>
      <c r="CX67" s="74">
        <v>1.3547469000000001E-3</v>
      </c>
      <c r="CY67" s="74">
        <v>1.3314908999999999E-3</v>
      </c>
      <c r="CZ67" s="74">
        <v>1.3086328E-3</v>
      </c>
      <c r="DA67" s="74">
        <v>1.2861661000000001E-3</v>
      </c>
      <c r="DB67" s="74">
        <v>1.2640838999999999E-3</v>
      </c>
      <c r="DC67" s="74">
        <v>1.2423798999999999E-3</v>
      </c>
      <c r="DD67" s="74">
        <v>1.2210476E-3</v>
      </c>
      <c r="DE67" s="74">
        <v>1.2000807999999999E-3</v>
      </c>
      <c r="DF67" s="74">
        <v>1.1794730999999999E-3</v>
      </c>
      <c r="DG67" s="74">
        <v>1.1592185E-3</v>
      </c>
      <c r="DH67" s="74">
        <v>1.1393110000000001E-3</v>
      </c>
      <c r="DI67" s="74">
        <v>1.1197446E-3</v>
      </c>
      <c r="DJ67" s="74">
        <v>1.1005137E-3</v>
      </c>
      <c r="DK67" s="74">
        <v>1.0816123999999999E-3</v>
      </c>
      <c r="DL67" s="74">
        <v>1.0630352E-3</v>
      </c>
      <c r="DM67" s="74">
        <v>1.0447765E-3</v>
      </c>
      <c r="DN67" s="74">
        <v>1.0268307999999999E-3</v>
      </c>
      <c r="DO67" s="74">
        <v>1.009193E-3</v>
      </c>
      <c r="DP67" s="74">
        <v>9.9185770000000009E-4</v>
      </c>
      <c r="DQ67" s="74">
        <v>9.7481969999999995E-4</v>
      </c>
      <c r="DR67" s="74">
        <v>9.5807390000000002E-4</v>
      </c>
      <c r="DS67" s="74">
        <v>9.4161549999999998E-4</v>
      </c>
      <c r="DT67" s="74">
        <v>9.2543940000000004E-4</v>
      </c>
      <c r="DU67" s="74">
        <v>9.095409E-4</v>
      </c>
      <c r="DV67" s="74">
        <v>8.9391510000000004E-4</v>
      </c>
      <c r="DW67" s="74">
        <v>8.7855759999999996E-4</v>
      </c>
      <c r="DX67" s="74">
        <v>8.6346350000000003E-4</v>
      </c>
      <c r="DY67" s="74">
        <v>8.4862860000000002E-4</v>
      </c>
      <c r="DZ67" s="74">
        <v>8.3404819999999995E-4</v>
      </c>
      <c r="EA67" s="74">
        <v>8.1971810000000002E-4</v>
      </c>
      <c r="EB67" s="74">
        <v>8.0563399999999995E-4</v>
      </c>
      <c r="EC67" s="74">
        <v>7.9179160000000001E-4</v>
      </c>
      <c r="ED67" s="74">
        <v>7.7818690000000003E-4</v>
      </c>
      <c r="EE67" s="74">
        <v>7.6481580000000002E-4</v>
      </c>
      <c r="EF67" s="74">
        <v>7.5167419999999999E-4</v>
      </c>
      <c r="EG67" s="74">
        <v>7.3875820000000002E-4</v>
      </c>
      <c r="EH67" s="74">
        <v>7.2606400000000001E-4</v>
      </c>
      <c r="EI67" s="74">
        <v>7.1358779999999996E-4</v>
      </c>
      <c r="EJ67" s="74">
        <v>7.0132579999999999E-4</v>
      </c>
      <c r="EK67" s="74">
        <v>6.8927439999999995E-4</v>
      </c>
      <c r="EL67" s="74">
        <v>6.7742989999999999E-4</v>
      </c>
      <c r="EM67" s="74">
        <v>6.657888E-4</v>
      </c>
      <c r="EN67" s="74">
        <v>6.5434770000000002E-4</v>
      </c>
      <c r="EO67" s="74">
        <v>6.4310300000000001E-4</v>
      </c>
      <c r="EP67" s="74">
        <v>6.3205149999999996E-4</v>
      </c>
      <c r="EQ67" s="74">
        <v>6.2118980000000002E-4</v>
      </c>
      <c r="ER67" s="74">
        <v>6.1051460000000003E-4</v>
      </c>
      <c r="ES67" s="74">
        <v>6.0002280000000002E-4</v>
      </c>
      <c r="ET67" s="74">
        <v>5.8971119999999999E-4</v>
      </c>
      <c r="EU67" s="74">
        <v>5.795768E-4</v>
      </c>
      <c r="EV67" s="74">
        <v>5.6961640000000003E-4</v>
      </c>
      <c r="EW67" s="74">
        <v>5.5982709999999997E-4</v>
      </c>
      <c r="EX67" s="74">
        <v>5.5020600000000002E-4</v>
      </c>
      <c r="EY67" s="74">
        <v>5.4075010000000003E-4</v>
      </c>
      <c r="EZ67" s="74">
        <v>5.3145670000000005E-4</v>
      </c>
      <c r="FA67" s="74">
        <v>5.2232289999999996E-4</v>
      </c>
      <c r="FB67" s="74">
        <v>5.1334609999999995E-4</v>
      </c>
      <c r="FC67" s="74">
        <v>5.0452349999999995E-4</v>
      </c>
      <c r="FD67" s="74">
        <v>4.958524E-4</v>
      </c>
      <c r="FE67" s="74">
        <v>4.8733039999999999E-4</v>
      </c>
      <c r="FF67" s="74">
        <v>4.7895469999999999E-4</v>
      </c>
      <c r="FG67" s="74">
        <v>4.7072290000000001E-4</v>
      </c>
      <c r="FH67" s="74">
        <v>4.6263260000000003E-4</v>
      </c>
      <c r="FI67" s="74">
        <v>4.5468130000000001E-4</v>
      </c>
      <c r="FJ67" s="74">
        <v>4.4686660000000002E-4</v>
      </c>
      <c r="FK67" s="74">
        <v>4.3918620000000001E-4</v>
      </c>
      <c r="FL67" s="74">
        <v>4.3163769999999998E-4</v>
      </c>
      <c r="FM67" s="74">
        <v>4.2421890000000001E-4</v>
      </c>
      <c r="FN67" s="74">
        <v>4.1692770000000001E-4</v>
      </c>
      <c r="FO67" s="74">
        <v>4.0976160000000001E-4</v>
      </c>
      <c r="FP67" s="74">
        <v>4.0271879999999999E-4</v>
      </c>
      <c r="FQ67" s="74">
        <v>3.957969E-4</v>
      </c>
    </row>
    <row r="68" spans="1:173" x14ac:dyDescent="0.25">
      <c r="A68" s="76">
        <v>66</v>
      </c>
      <c r="B68" s="74">
        <v>7.8955919000000003E-3</v>
      </c>
      <c r="C68" s="74">
        <v>7.7811846999999998E-3</v>
      </c>
      <c r="D68" s="74">
        <v>7.6672637000000004E-3</v>
      </c>
      <c r="E68" s="74">
        <v>7.5539153000000001E-3</v>
      </c>
      <c r="F68" s="74">
        <v>7.4412189999999998E-3</v>
      </c>
      <c r="G68" s="74">
        <v>7.3292475999999999E-3</v>
      </c>
      <c r="H68" s="74">
        <v>7.2180674E-3</v>
      </c>
      <c r="I68" s="74">
        <v>7.1077387000000004E-3</v>
      </c>
      <c r="J68" s="74">
        <v>6.9983164999999998E-3</v>
      </c>
      <c r="K68" s="74">
        <v>6.8898500999999999E-3</v>
      </c>
      <c r="L68" s="74">
        <v>6.7823843999999999E-3</v>
      </c>
      <c r="M68" s="74">
        <v>6.6759593999999997E-3</v>
      </c>
      <c r="N68" s="74">
        <v>6.5706107999999996E-3</v>
      </c>
      <c r="O68" s="74">
        <v>6.4663704000000001E-3</v>
      </c>
      <c r="P68" s="74">
        <v>6.3632662000000003E-3</v>
      </c>
      <c r="Q68" s="74">
        <v>6.2613228E-3</v>
      </c>
      <c r="R68" s="74">
        <v>6.1605616000000004E-3</v>
      </c>
      <c r="S68" s="74">
        <v>6.0610007000000002E-3</v>
      </c>
      <c r="T68" s="74">
        <v>5.9626556000000001E-3</v>
      </c>
      <c r="U68" s="74">
        <v>5.8655393999999996E-3</v>
      </c>
      <c r="V68" s="74">
        <v>5.7696622999999997E-3</v>
      </c>
      <c r="W68" s="74">
        <v>5.6750326999999998E-3</v>
      </c>
      <c r="X68" s="74">
        <v>5.5816566000000001E-3</v>
      </c>
      <c r="Y68" s="74">
        <v>5.4895383999999997E-3</v>
      </c>
      <c r="Z68" s="74">
        <v>5.3986805000000001E-3</v>
      </c>
      <c r="AA68" s="74">
        <v>5.3090838000000003E-3</v>
      </c>
      <c r="AB68" s="74">
        <v>5.2207475999999997E-3</v>
      </c>
      <c r="AC68" s="74">
        <v>5.1336697999999998E-3</v>
      </c>
      <c r="AD68" s="74">
        <v>5.0478472000000003E-3</v>
      </c>
      <c r="AE68" s="74">
        <v>4.9632751999999997E-3</v>
      </c>
      <c r="AF68" s="74">
        <v>4.8799485E-3</v>
      </c>
      <c r="AG68" s="74">
        <v>4.7978602999999998E-3</v>
      </c>
      <c r="AH68" s="74">
        <v>4.7170034000000001E-3</v>
      </c>
      <c r="AI68" s="74">
        <v>4.6373695999999999E-3</v>
      </c>
      <c r="AJ68" s="74">
        <v>4.5589499000000004E-3</v>
      </c>
      <c r="AK68" s="74">
        <v>4.4817347E-3</v>
      </c>
      <c r="AL68" s="74">
        <v>4.4057137999999997E-3</v>
      </c>
      <c r="AM68" s="74">
        <v>4.3308766000000002E-3</v>
      </c>
      <c r="AN68" s="74">
        <v>4.2572117000000001E-3</v>
      </c>
      <c r="AO68" s="74">
        <v>4.1847076000000004E-3</v>
      </c>
      <c r="AP68" s="74">
        <v>4.1133523000000003E-3</v>
      </c>
      <c r="AQ68" s="74">
        <v>4.0431332999999996E-3</v>
      </c>
      <c r="AR68" s="74">
        <v>3.9740380999999997E-3</v>
      </c>
      <c r="AS68" s="74">
        <v>3.9060536999999998E-3</v>
      </c>
      <c r="AT68" s="74">
        <v>3.8391670000000001E-3</v>
      </c>
      <c r="AU68" s="74">
        <v>3.7733647000000002E-3</v>
      </c>
      <c r="AV68" s="74">
        <v>3.7086333999999999E-3</v>
      </c>
      <c r="AW68" s="74">
        <v>3.6449593999999998E-3</v>
      </c>
      <c r="AX68" s="74">
        <v>3.5823291E-3</v>
      </c>
      <c r="AY68" s="74">
        <v>3.5207287000000001E-3</v>
      </c>
      <c r="AZ68" s="74">
        <v>3.4601443000000002E-3</v>
      </c>
      <c r="BA68" s="74">
        <v>3.4005620999999998E-3</v>
      </c>
      <c r="BB68" s="74">
        <v>3.3419683E-3</v>
      </c>
      <c r="BC68" s="74">
        <v>3.2843489000000002E-3</v>
      </c>
      <c r="BD68" s="74">
        <v>3.2276901000000001E-3</v>
      </c>
      <c r="BE68" s="74">
        <v>3.1719780999999998E-3</v>
      </c>
      <c r="BF68" s="74">
        <v>3.1171990999999998E-3</v>
      </c>
      <c r="BG68" s="74">
        <v>3.0633395000000002E-3</v>
      </c>
      <c r="BH68" s="74">
        <v>3.0103854000000001E-3</v>
      </c>
      <c r="BI68" s="74">
        <v>2.9583233999999998E-3</v>
      </c>
      <c r="BJ68" s="74">
        <v>2.9071400999999999E-3</v>
      </c>
      <c r="BK68" s="74">
        <v>2.8568219000000001E-3</v>
      </c>
      <c r="BL68" s="74">
        <v>2.8073556999999999E-3</v>
      </c>
      <c r="BM68" s="74">
        <v>2.7587282999999999E-3</v>
      </c>
      <c r="BN68" s="74">
        <v>2.7109265E-3</v>
      </c>
      <c r="BO68" s="74">
        <v>2.6639376000000001E-3</v>
      </c>
      <c r="BP68" s="74">
        <v>2.6177486999999998E-3</v>
      </c>
      <c r="BQ68" s="74">
        <v>2.5723471E-3</v>
      </c>
      <c r="BR68" s="74">
        <v>2.5277202999999999E-3</v>
      </c>
      <c r="BS68" s="74">
        <v>2.4838559E-3</v>
      </c>
      <c r="BT68" s="74">
        <v>2.4407415999999999E-3</v>
      </c>
      <c r="BU68" s="74">
        <v>2.3983654000000001E-3</v>
      </c>
      <c r="BV68" s="74">
        <v>2.3567153000000002E-3</v>
      </c>
      <c r="BW68" s="74">
        <v>2.3157795000000002E-3</v>
      </c>
      <c r="BX68" s="74">
        <v>2.2755461999999999E-3</v>
      </c>
      <c r="BY68" s="74">
        <v>2.2360040999999998E-3</v>
      </c>
      <c r="BZ68" s="74">
        <v>2.1971418E-3</v>
      </c>
      <c r="CA68" s="74">
        <v>2.1589478999999999E-3</v>
      </c>
      <c r="CB68" s="74">
        <v>2.1214115999999999E-3</v>
      </c>
      <c r="CC68" s="74">
        <v>2.0845218E-3</v>
      </c>
      <c r="CD68" s="74">
        <v>2.0482679000000002E-3</v>
      </c>
      <c r="CE68" s="74">
        <v>2.0126392000000002E-3</v>
      </c>
      <c r="CF68" s="74">
        <v>1.9776252999999999E-3</v>
      </c>
      <c r="CG68" s="74">
        <v>1.9432159E-3</v>
      </c>
      <c r="CH68" s="74">
        <v>1.9094008E-3</v>
      </c>
      <c r="CI68" s="74">
        <v>1.8761702E-3</v>
      </c>
      <c r="CJ68" s="74">
        <v>1.8435140000000001E-3</v>
      </c>
      <c r="CK68" s="74">
        <v>1.8114228000000001E-3</v>
      </c>
      <c r="CL68" s="74">
        <v>1.7798867999999999E-3</v>
      </c>
      <c r="CM68" s="74">
        <v>1.7488967E-3</v>
      </c>
      <c r="CN68" s="74">
        <v>1.7184431999999999E-3</v>
      </c>
      <c r="CO68" s="74">
        <v>1.6885172999999999E-3</v>
      </c>
      <c r="CP68" s="74">
        <v>1.6591100000000001E-3</v>
      </c>
      <c r="CQ68" s="74">
        <v>1.6302123999999999E-3</v>
      </c>
      <c r="CR68" s="74">
        <v>1.6018159E-3</v>
      </c>
      <c r="CS68" s="74">
        <v>1.5739117999999999E-3</v>
      </c>
      <c r="CT68" s="74">
        <v>1.5464919E-3</v>
      </c>
      <c r="CU68" s="74">
        <v>1.5195479000000001E-3</v>
      </c>
      <c r="CV68" s="74">
        <v>1.4930715000000001E-3</v>
      </c>
      <c r="CW68" s="74">
        <v>1.4670547E-3</v>
      </c>
      <c r="CX68" s="74">
        <v>1.4414898000000001E-3</v>
      </c>
      <c r="CY68" s="74">
        <v>1.4163689E-3</v>
      </c>
      <c r="CZ68" s="74">
        <v>1.3916845E-3</v>
      </c>
      <c r="DA68" s="74">
        <v>1.3674289E-3</v>
      </c>
      <c r="DB68" s="74">
        <v>1.3435948999999999E-3</v>
      </c>
      <c r="DC68" s="74">
        <v>1.3201752000000001E-3</v>
      </c>
      <c r="DD68" s="74">
        <v>1.2971626999999999E-3</v>
      </c>
      <c r="DE68" s="74">
        <v>1.2745503E-3</v>
      </c>
      <c r="DF68" s="74">
        <v>1.2523311E-3</v>
      </c>
      <c r="DG68" s="74">
        <v>1.2304983999999999E-3</v>
      </c>
      <c r="DH68" s="74">
        <v>1.2090454999999999E-3</v>
      </c>
      <c r="DI68" s="74">
        <v>1.1879658999999999E-3</v>
      </c>
      <c r="DJ68" s="74">
        <v>1.167253E-3</v>
      </c>
      <c r="DK68" s="74">
        <v>1.1469004999999999E-3</v>
      </c>
      <c r="DL68" s="74">
        <v>1.1269023E-3</v>
      </c>
      <c r="DM68" s="74">
        <v>1.1072522E-3</v>
      </c>
      <c r="DN68" s="74">
        <v>1.0879441E-3</v>
      </c>
      <c r="DO68" s="74">
        <v>1.0689721999999999E-3</v>
      </c>
      <c r="DP68" s="74">
        <v>1.0503305999999999E-3</v>
      </c>
      <c r="DQ68" s="74">
        <v>1.0320136E-3</v>
      </c>
      <c r="DR68" s="74">
        <v>1.0140156E-3</v>
      </c>
      <c r="DS68" s="74">
        <v>9.9633100000000004E-4</v>
      </c>
      <c r="DT68" s="74">
        <v>9.789543999999999E-4</v>
      </c>
      <c r="DU68" s="74">
        <v>9.6188060000000001E-4</v>
      </c>
      <c r="DV68" s="74">
        <v>9.4510410000000003E-4</v>
      </c>
      <c r="DW68" s="74">
        <v>9.2861989999999998E-4</v>
      </c>
      <c r="DX68" s="74">
        <v>9.1242280000000003E-4</v>
      </c>
      <c r="DY68" s="74">
        <v>8.9650799999999996E-4</v>
      </c>
      <c r="DZ68" s="74">
        <v>8.8087050000000002E-4</v>
      </c>
      <c r="EA68" s="74">
        <v>8.6550549999999998E-4</v>
      </c>
      <c r="EB68" s="74">
        <v>8.5040820000000005E-4</v>
      </c>
      <c r="EC68" s="74">
        <v>8.3557399999999995E-4</v>
      </c>
      <c r="ED68" s="74">
        <v>8.2099829999999997E-4</v>
      </c>
      <c r="EE68" s="74">
        <v>8.0667670000000001E-4</v>
      </c>
      <c r="EF68" s="74">
        <v>7.9260470000000005E-4</v>
      </c>
      <c r="EG68" s="74">
        <v>7.7877800000000004E-4</v>
      </c>
      <c r="EH68" s="74">
        <v>7.6519230000000004E-4</v>
      </c>
      <c r="EI68" s="74">
        <v>7.5184340000000001E-4</v>
      </c>
      <c r="EJ68" s="74">
        <v>7.3872719999999996E-4</v>
      </c>
      <c r="EK68" s="74">
        <v>7.2583969999999995E-4</v>
      </c>
      <c r="EL68" s="74">
        <v>7.1317679999999999E-4</v>
      </c>
      <c r="EM68" s="74">
        <v>7.007348E-4</v>
      </c>
      <c r="EN68" s="74">
        <v>6.8850960000000001E-4</v>
      </c>
      <c r="EO68" s="74">
        <v>6.7649759999999996E-4</v>
      </c>
      <c r="EP68" s="74">
        <v>6.6469499999999998E-4</v>
      </c>
      <c r="EQ68" s="74">
        <v>6.5309829999999995E-4</v>
      </c>
      <c r="ER68" s="74">
        <v>6.417037E-4</v>
      </c>
      <c r="ES68" s="74">
        <v>6.3050789999999997E-4</v>
      </c>
      <c r="ET68" s="74">
        <v>6.1950730000000004E-4</v>
      </c>
      <c r="EU68" s="74">
        <v>6.0869850000000003E-4</v>
      </c>
      <c r="EV68" s="74">
        <v>5.980782E-4</v>
      </c>
      <c r="EW68" s="74">
        <v>5.8764310000000003E-4</v>
      </c>
      <c r="EX68" s="74">
        <v>5.7739E-4</v>
      </c>
      <c r="EY68" s="74">
        <v>5.6731570000000001E-4</v>
      </c>
      <c r="EZ68" s="74">
        <v>5.5741709999999997E-4</v>
      </c>
      <c r="FA68" s="74">
        <v>5.4769119999999996E-4</v>
      </c>
      <c r="FB68" s="74">
        <v>5.3813479999999996E-4</v>
      </c>
      <c r="FC68" s="74">
        <v>5.2874520000000002E-4</v>
      </c>
      <c r="FD68" s="74">
        <v>5.1951929999999996E-4</v>
      </c>
      <c r="FE68" s="74">
        <v>5.1045439999999995E-4</v>
      </c>
      <c r="FF68" s="74">
        <v>5.0154759999999996E-4</v>
      </c>
      <c r="FG68" s="74">
        <v>4.9279610000000002E-4</v>
      </c>
      <c r="FH68" s="74">
        <v>4.8419730000000001E-4</v>
      </c>
      <c r="FI68" s="74">
        <v>4.7574839999999999E-4</v>
      </c>
      <c r="FJ68" s="74">
        <v>4.6744700000000001E-4</v>
      </c>
      <c r="FK68" s="74">
        <v>4.592903E-4</v>
      </c>
      <c r="FL68" s="74">
        <v>4.5127600000000002E-4</v>
      </c>
      <c r="FM68" s="74">
        <v>4.4340139999999998E-4</v>
      </c>
      <c r="FN68" s="74">
        <v>4.3566420000000001E-4</v>
      </c>
      <c r="FO68" s="74">
        <v>4.28062E-4</v>
      </c>
      <c r="FP68" s="74">
        <v>4.2059239999999999E-4</v>
      </c>
      <c r="FQ68" s="74">
        <v>4.1325310000000002E-4</v>
      </c>
    </row>
    <row r="69" spans="1:173" x14ac:dyDescent="0.25">
      <c r="A69" s="76">
        <v>67</v>
      </c>
      <c r="B69" s="74">
        <v>8.5132777000000003E-3</v>
      </c>
      <c r="C69" s="74">
        <v>8.3835747999999998E-3</v>
      </c>
      <c r="D69" s="74">
        <v>8.2546215999999995E-3</v>
      </c>
      <c r="E69" s="74">
        <v>8.1265062999999992E-3</v>
      </c>
      <c r="F69" s="74">
        <v>7.9993094999999993E-3</v>
      </c>
      <c r="G69" s="74">
        <v>7.8731044000000007E-3</v>
      </c>
      <c r="H69" s="74">
        <v>7.7479575000000004E-3</v>
      </c>
      <c r="I69" s="74">
        <v>7.6239289000000002E-3</v>
      </c>
      <c r="J69" s="74">
        <v>7.5010724999999999E-3</v>
      </c>
      <c r="K69" s="74">
        <v>7.3794367000000003E-3</v>
      </c>
      <c r="L69" s="74">
        <v>7.2590648999999998E-3</v>
      </c>
      <c r="M69" s="74">
        <v>7.1399953000000002E-3</v>
      </c>
      <c r="N69" s="74">
        <v>7.0222616000000003E-3</v>
      </c>
      <c r="O69" s="74">
        <v>6.9058933000000003E-3</v>
      </c>
      <c r="P69" s="74">
        <v>6.7909158999999997E-3</v>
      </c>
      <c r="Q69" s="74">
        <v>6.6773513999999999E-3</v>
      </c>
      <c r="R69" s="74">
        <v>6.5652180999999999E-3</v>
      </c>
      <c r="S69" s="74">
        <v>6.4545313E-3</v>
      </c>
      <c r="T69" s="74">
        <v>6.3453034000000002E-3</v>
      </c>
      <c r="U69" s="74">
        <v>6.2375440000000002E-3</v>
      </c>
      <c r="V69" s="74">
        <v>6.1312601E-3</v>
      </c>
      <c r="W69" s="74">
        <v>6.0264567000000002E-3</v>
      </c>
      <c r="X69" s="74">
        <v>5.9231361999999999E-3</v>
      </c>
      <c r="Y69" s="74">
        <v>5.8212994000000004E-3</v>
      </c>
      <c r="Z69" s="74">
        <v>5.7209451999999999E-3</v>
      </c>
      <c r="AA69" s="74">
        <v>5.6220706999999997E-3</v>
      </c>
      <c r="AB69" s="74">
        <v>5.5246714999999998E-3</v>
      </c>
      <c r="AC69" s="74">
        <v>5.4287420000000003E-3</v>
      </c>
      <c r="AD69" s="74">
        <v>5.3342750999999999E-3</v>
      </c>
      <c r="AE69" s="74">
        <v>5.2412626000000002E-3</v>
      </c>
      <c r="AF69" s="74">
        <v>5.1496952000000002E-3</v>
      </c>
      <c r="AG69" s="74">
        <v>5.0595626999999999E-3</v>
      </c>
      <c r="AH69" s="74">
        <v>4.9708542000000003E-3</v>
      </c>
      <c r="AI69" s="74">
        <v>4.8835574999999999E-3</v>
      </c>
      <c r="AJ69" s="74">
        <v>4.7976603000000001E-3</v>
      </c>
      <c r="AK69" s="74">
        <v>4.7131491000000003E-3</v>
      </c>
      <c r="AL69" s="74">
        <v>4.6300103999999996E-3</v>
      </c>
      <c r="AM69" s="74">
        <v>4.5482296999999998E-3</v>
      </c>
      <c r="AN69" s="74">
        <v>4.4677922999999996E-3</v>
      </c>
      <c r="AO69" s="74">
        <v>4.388683E-3</v>
      </c>
      <c r="AP69" s="74">
        <v>4.3108864999999996E-3</v>
      </c>
      <c r="AQ69" s="74">
        <v>4.234387E-3</v>
      </c>
      <c r="AR69" s="74">
        <v>4.1591683000000001E-3</v>
      </c>
      <c r="AS69" s="74">
        <v>4.0852144000000003E-3</v>
      </c>
      <c r="AT69" s="74">
        <v>4.0125088E-3</v>
      </c>
      <c r="AU69" s="74">
        <v>3.9410349000000003E-3</v>
      </c>
      <c r="AV69" s="74">
        <v>3.8707761999999999E-3</v>
      </c>
      <c r="AW69" s="74">
        <v>3.8017159000000001E-3</v>
      </c>
      <c r="AX69" s="74">
        <v>3.7338371999999999E-3</v>
      </c>
      <c r="AY69" s="74">
        <v>3.6671233000000001E-3</v>
      </c>
      <c r="AZ69" s="74">
        <v>3.6015575000000002E-3</v>
      </c>
      <c r="BA69" s="74">
        <v>3.5371230000000001E-3</v>
      </c>
      <c r="BB69" s="74">
        <v>3.4738029000000001E-3</v>
      </c>
      <c r="BC69" s="74">
        <v>3.4115806999999998E-3</v>
      </c>
      <c r="BD69" s="74">
        <v>3.3504396E-3</v>
      </c>
      <c r="BE69" s="74">
        <v>3.2903631000000002E-3</v>
      </c>
      <c r="BF69" s="74">
        <v>3.2313348E-3</v>
      </c>
      <c r="BG69" s="74">
        <v>3.1733384000000001E-3</v>
      </c>
      <c r="BH69" s="74">
        <v>3.1163575999999999E-3</v>
      </c>
      <c r="BI69" s="74">
        <v>3.0603763000000002E-3</v>
      </c>
      <c r="BJ69" s="74">
        <v>3.0053786000000002E-3</v>
      </c>
      <c r="BK69" s="74">
        <v>2.9513487000000001E-3</v>
      </c>
      <c r="BL69" s="74">
        <v>2.8982709E-3</v>
      </c>
      <c r="BM69" s="74">
        <v>2.8461297E-3</v>
      </c>
      <c r="BN69" s="74">
        <v>2.7949097000000002E-3</v>
      </c>
      <c r="BO69" s="74">
        <v>2.7445959000000002E-3</v>
      </c>
      <c r="BP69" s="74">
        <v>2.6951732E-3</v>
      </c>
      <c r="BQ69" s="74">
        <v>2.6466267999999999E-3</v>
      </c>
      <c r="BR69" s="74">
        <v>2.5989421E-3</v>
      </c>
      <c r="BS69" s="74">
        <v>2.5521046000000001E-3</v>
      </c>
      <c r="BT69" s="74">
        <v>2.5060999999999998E-3</v>
      </c>
      <c r="BU69" s="74">
        <v>2.4609142999999999E-3</v>
      </c>
      <c r="BV69" s="74">
        <v>2.4165336E-3</v>
      </c>
      <c r="BW69" s="74">
        <v>2.3729442000000002E-3</v>
      </c>
      <c r="BX69" s="74">
        <v>2.3301325000000001E-3</v>
      </c>
      <c r="BY69" s="74">
        <v>2.2880853000000001E-3</v>
      </c>
      <c r="BZ69" s="74">
        <v>2.2467894E-3</v>
      </c>
      <c r="CA69" s="74">
        <v>2.2062319000000002E-3</v>
      </c>
      <c r="CB69" s="74">
        <v>2.1664000000000002E-3</v>
      </c>
      <c r="CC69" s="74">
        <v>2.1272811E-3</v>
      </c>
      <c r="CD69" s="74">
        <v>2.0888628999999998E-3</v>
      </c>
      <c r="CE69" s="74">
        <v>2.0511332999999998E-3</v>
      </c>
      <c r="CF69" s="74">
        <v>2.0140801000000002E-3</v>
      </c>
      <c r="CG69" s="74">
        <v>1.9776915999999999E-3</v>
      </c>
      <c r="CH69" s="74">
        <v>1.9419562E-3</v>
      </c>
      <c r="CI69" s="74">
        <v>1.9068625E-3</v>
      </c>
      <c r="CJ69" s="74">
        <v>1.8723991000000001E-3</v>
      </c>
      <c r="CK69" s="74">
        <v>1.838555E-3</v>
      </c>
      <c r="CL69" s="74">
        <v>1.8053193E-3</v>
      </c>
      <c r="CM69" s="74">
        <v>1.7726812E-3</v>
      </c>
      <c r="CN69" s="74">
        <v>1.7406303000000001E-3</v>
      </c>
      <c r="CO69" s="74">
        <v>1.7091560999999999E-3</v>
      </c>
      <c r="CP69" s="74">
        <v>1.6782483999999999E-3</v>
      </c>
      <c r="CQ69" s="74">
        <v>1.6478973E-3</v>
      </c>
      <c r="CR69" s="74">
        <v>1.6180928000000001E-3</v>
      </c>
      <c r="CS69" s="74">
        <v>1.5888251999999999E-3</v>
      </c>
      <c r="CT69" s="74">
        <v>1.5600849999999999E-3</v>
      </c>
      <c r="CU69" s="74">
        <v>1.5318628E-3</v>
      </c>
      <c r="CV69" s="74">
        <v>1.5041493999999999E-3</v>
      </c>
      <c r="CW69" s="74">
        <v>1.4769357E-3</v>
      </c>
      <c r="CX69" s="74">
        <v>1.4502128E-3</v>
      </c>
      <c r="CY69" s="74">
        <v>1.4239719999999999E-3</v>
      </c>
      <c r="CZ69" s="74">
        <v>1.3982046000000001E-3</v>
      </c>
      <c r="DA69" s="74">
        <v>1.3729022999999999E-3</v>
      </c>
      <c r="DB69" s="74">
        <v>1.3480566E-3</v>
      </c>
      <c r="DC69" s="74">
        <v>1.3236594E-3</v>
      </c>
      <c r="DD69" s="74">
        <v>1.2997027E-3</v>
      </c>
      <c r="DE69" s="74">
        <v>1.2761784999999999E-3</v>
      </c>
      <c r="DF69" s="74">
        <v>1.2530792999999999E-3</v>
      </c>
      <c r="DG69" s="74">
        <v>1.2303971999999999E-3</v>
      </c>
      <c r="DH69" s="74">
        <v>1.2081249E-3</v>
      </c>
      <c r="DI69" s="74">
        <v>1.1862549E-3</v>
      </c>
      <c r="DJ69" s="74">
        <v>1.1647802000000001E-3</v>
      </c>
      <c r="DK69" s="74">
        <v>1.1436934E-3</v>
      </c>
      <c r="DL69" s="74">
        <v>1.1229878E-3</v>
      </c>
      <c r="DM69" s="74">
        <v>1.1026564E-3</v>
      </c>
      <c r="DN69" s="74">
        <v>1.0826926000000001E-3</v>
      </c>
      <c r="DO69" s="74">
        <v>1.0630895999999999E-3</v>
      </c>
      <c r="DP69" s="74">
        <v>1.0438411E-3</v>
      </c>
      <c r="DQ69" s="74">
        <v>1.0249405E-3</v>
      </c>
      <c r="DR69" s="74">
        <v>1.0063818E-3</v>
      </c>
      <c r="DS69" s="74">
        <v>9.8815860000000004E-4</v>
      </c>
      <c r="DT69" s="74">
        <v>9.7026510000000003E-4</v>
      </c>
      <c r="DU69" s="74">
        <v>9.5269509999999996E-4</v>
      </c>
      <c r="DV69" s="74">
        <v>9.3544299999999999E-4</v>
      </c>
      <c r="DW69" s="74">
        <v>9.1850289999999995E-4</v>
      </c>
      <c r="DX69" s="74">
        <v>9.0186930000000002E-4</v>
      </c>
      <c r="DY69" s="74">
        <v>8.8553660000000001E-4</v>
      </c>
      <c r="DZ69" s="74">
        <v>8.6949939999999995E-4</v>
      </c>
      <c r="EA69" s="74">
        <v>8.5375239999999997E-4</v>
      </c>
      <c r="EB69" s="74">
        <v>8.3829019999999996E-4</v>
      </c>
      <c r="EC69" s="74">
        <v>8.2310789999999999E-4</v>
      </c>
      <c r="ED69" s="74">
        <v>8.0820030000000001E-4</v>
      </c>
      <c r="EE69" s="74">
        <v>7.935625E-4</v>
      </c>
      <c r="EF69" s="74">
        <v>7.791896E-4</v>
      </c>
      <c r="EG69" s="74">
        <v>7.6507680000000001E-4</v>
      </c>
      <c r="EH69" s="74">
        <v>7.5121940000000005E-4</v>
      </c>
      <c r="EI69" s="74">
        <v>7.3761279999999996E-4</v>
      </c>
      <c r="EJ69" s="74">
        <v>7.2425259999999998E-4</v>
      </c>
      <c r="EK69" s="74">
        <v>7.1113410000000002E-4</v>
      </c>
      <c r="EL69" s="74">
        <v>6.9825309999999995E-4</v>
      </c>
      <c r="EM69" s="74">
        <v>6.8560530000000004E-4</v>
      </c>
      <c r="EN69" s="74">
        <v>6.7318650000000005E-4</v>
      </c>
      <c r="EO69" s="74">
        <v>6.6099249999999996E-4</v>
      </c>
      <c r="EP69" s="74">
        <v>6.4901919999999999E-4</v>
      </c>
      <c r="EQ69" s="74">
        <v>6.3726270000000001E-4</v>
      </c>
      <c r="ER69" s="74">
        <v>6.2571899999999995E-4</v>
      </c>
      <c r="ES69" s="74">
        <v>6.1438439999999997E-4</v>
      </c>
      <c r="ET69" s="74">
        <v>6.0325500000000002E-4</v>
      </c>
      <c r="EU69" s="74">
        <v>5.9232700000000002E-4</v>
      </c>
      <c r="EV69" s="74">
        <v>5.81597E-4</v>
      </c>
      <c r="EW69" s="74">
        <v>5.7106119999999995E-4</v>
      </c>
      <c r="EX69" s="74">
        <v>5.6071620000000002E-4</v>
      </c>
      <c r="EY69" s="74">
        <v>5.5055860000000002E-4</v>
      </c>
      <c r="EZ69" s="74">
        <v>5.4058480000000004E-4</v>
      </c>
      <c r="FA69" s="74">
        <v>5.3079169999999999E-4</v>
      </c>
      <c r="FB69" s="74">
        <v>5.2117590000000001E-4</v>
      </c>
      <c r="FC69" s="74">
        <v>5.1173430000000001E-4</v>
      </c>
      <c r="FD69" s="74">
        <v>5.0246359999999996E-4</v>
      </c>
      <c r="FE69" s="74">
        <v>4.9336089999999996E-4</v>
      </c>
      <c r="FF69" s="74">
        <v>4.8442299999999999E-4</v>
      </c>
      <c r="FG69" s="74">
        <v>4.7564690000000001E-4</v>
      </c>
      <c r="FH69" s="74">
        <v>4.6702979999999999E-4</v>
      </c>
      <c r="FI69" s="74">
        <v>4.5856880000000002E-4</v>
      </c>
      <c r="FJ69" s="74">
        <v>4.502609E-4</v>
      </c>
      <c r="FK69" s="74">
        <v>4.4210359999999999E-4</v>
      </c>
      <c r="FL69" s="74">
        <v>4.3409399999999999E-4</v>
      </c>
      <c r="FM69" s="74">
        <v>4.2622949999999998E-4</v>
      </c>
      <c r="FN69" s="74">
        <v>4.1850740000000001E-4</v>
      </c>
      <c r="FO69" s="74">
        <v>4.1092519999999999E-4</v>
      </c>
      <c r="FP69" s="74">
        <v>4.034803E-4</v>
      </c>
      <c r="FQ69" s="74">
        <v>3.9617029999999999E-4</v>
      </c>
    </row>
    <row r="70" spans="1:173" x14ac:dyDescent="0.25">
      <c r="A70" s="76">
        <v>68</v>
      </c>
      <c r="B70" s="74">
        <v>9.4495124999999999E-3</v>
      </c>
      <c r="C70" s="74">
        <v>9.3049155000000001E-3</v>
      </c>
      <c r="D70" s="74">
        <v>9.1610819999999992E-3</v>
      </c>
      <c r="E70" s="74">
        <v>9.0181181999999995E-3</v>
      </c>
      <c r="F70" s="74">
        <v>8.8761215000000004E-3</v>
      </c>
      <c r="G70" s="74">
        <v>8.7351801999999996E-3</v>
      </c>
      <c r="H70" s="74">
        <v>8.5953747E-3</v>
      </c>
      <c r="I70" s="74">
        <v>8.4567779999999999E-3</v>
      </c>
      <c r="J70" s="74">
        <v>8.3194555999999992E-3</v>
      </c>
      <c r="K70" s="74">
        <v>8.1834665999999997E-3</v>
      </c>
      <c r="L70" s="74">
        <v>8.0488638000000001E-3</v>
      </c>
      <c r="M70" s="74">
        <v>7.9156942000000001E-3</v>
      </c>
      <c r="N70" s="74">
        <v>7.7839991999999998E-3</v>
      </c>
      <c r="O70" s="74">
        <v>7.6538153000000001E-3</v>
      </c>
      <c r="P70" s="74">
        <v>7.5251744000000001E-3</v>
      </c>
      <c r="Q70" s="74">
        <v>7.3981037000000003E-3</v>
      </c>
      <c r="R70" s="74">
        <v>7.2726266000000001E-3</v>
      </c>
      <c r="S70" s="74">
        <v>7.1487625999999997E-3</v>
      </c>
      <c r="T70" s="74">
        <v>7.0265277000000001E-3</v>
      </c>
      <c r="U70" s="74">
        <v>6.9059346999999997E-3</v>
      </c>
      <c r="V70" s="74">
        <v>6.7869934E-3</v>
      </c>
      <c r="W70" s="74">
        <v>6.6697105999999999E-3</v>
      </c>
      <c r="X70" s="74">
        <v>6.5540909000000001E-3</v>
      </c>
      <c r="Y70" s="74">
        <v>6.4401362999999996E-3</v>
      </c>
      <c r="Z70" s="74">
        <v>6.3278466E-3</v>
      </c>
      <c r="AA70" s="74">
        <v>6.2172197999999998E-3</v>
      </c>
      <c r="AB70" s="74">
        <v>6.1082519999999998E-3</v>
      </c>
      <c r="AC70" s="74">
        <v>6.0009373999999997E-3</v>
      </c>
      <c r="AD70" s="74">
        <v>5.8952689000000003E-3</v>
      </c>
      <c r="AE70" s="74">
        <v>5.7912379000000002E-3</v>
      </c>
      <c r="AF70" s="74">
        <v>5.6888347000000001E-3</v>
      </c>
      <c r="AG70" s="74">
        <v>5.5880480999999996E-3</v>
      </c>
      <c r="AH70" s="74">
        <v>5.4888662000000003E-3</v>
      </c>
      <c r="AI70" s="74">
        <v>5.3912758999999999E-3</v>
      </c>
      <c r="AJ70" s="74">
        <v>5.2952633000000002E-3</v>
      </c>
      <c r="AK70" s="74">
        <v>5.2008139000000002E-3</v>
      </c>
      <c r="AL70" s="74">
        <v>5.1079122999999997E-3</v>
      </c>
      <c r="AM70" s="74">
        <v>5.0165425000000003E-3</v>
      </c>
      <c r="AN70" s="74">
        <v>4.9266880999999998E-3</v>
      </c>
      <c r="AO70" s="74">
        <v>4.8383321000000003E-3</v>
      </c>
      <c r="AP70" s="74">
        <v>4.7514571999999998E-3</v>
      </c>
      <c r="AQ70" s="74">
        <v>4.6660455999999999E-3</v>
      </c>
      <c r="AR70" s="74">
        <v>4.5820794000000003E-3</v>
      </c>
      <c r="AS70" s="74">
        <v>4.4995401000000003E-3</v>
      </c>
      <c r="AT70" s="74">
        <v>4.4184093000000004E-3</v>
      </c>
      <c r="AU70" s="74">
        <v>4.3386681999999996E-3</v>
      </c>
      <c r="AV70" s="74">
        <v>4.2602982000000001E-3</v>
      </c>
      <c r="AW70" s="74">
        <v>4.1832802000000002E-3</v>
      </c>
      <c r="AX70" s="74">
        <v>4.1075952000000004E-3</v>
      </c>
      <c r="AY70" s="74">
        <v>4.0332240999999998E-3</v>
      </c>
      <c r="AZ70" s="74">
        <v>3.9601480000000001E-3</v>
      </c>
      <c r="BA70" s="74">
        <v>3.8883478000000002E-3</v>
      </c>
      <c r="BB70" s="74">
        <v>3.8178043999999999E-3</v>
      </c>
      <c r="BC70" s="74">
        <v>3.7484989000000002E-3</v>
      </c>
      <c r="BD70" s="74">
        <v>3.6804123999999998E-3</v>
      </c>
      <c r="BE70" s="74">
        <v>3.6135261000000002E-3</v>
      </c>
      <c r="BF70" s="74">
        <v>3.5478213000000001E-3</v>
      </c>
      <c r="BG70" s="74">
        <v>3.4832793999999999E-3</v>
      </c>
      <c r="BH70" s="74">
        <v>3.419882E-3</v>
      </c>
      <c r="BI70" s="74">
        <v>3.3576106999999998E-3</v>
      </c>
      <c r="BJ70" s="74">
        <v>3.2964474999999998E-3</v>
      </c>
      <c r="BK70" s="74">
        <v>3.2363742999999999E-3</v>
      </c>
      <c r="BL70" s="74">
        <v>3.1773732999999999E-3</v>
      </c>
      <c r="BM70" s="74">
        <v>3.1194268000000001E-3</v>
      </c>
      <c r="BN70" s="74">
        <v>3.0625175E-3</v>
      </c>
      <c r="BO70" s="74">
        <v>3.0066280999999999E-3</v>
      </c>
      <c r="BP70" s="74">
        <v>2.9517415000000001E-3</v>
      </c>
      <c r="BQ70" s="74">
        <v>2.8978407999999999E-3</v>
      </c>
      <c r="BR70" s="74">
        <v>2.8449094999999998E-3</v>
      </c>
      <c r="BS70" s="74">
        <v>2.7929309999999998E-3</v>
      </c>
      <c r="BT70" s="74">
        <v>2.7418892E-3</v>
      </c>
      <c r="BU70" s="74">
        <v>2.6917680000000002E-3</v>
      </c>
      <c r="BV70" s="74">
        <v>2.6425516000000001E-3</v>
      </c>
      <c r="BW70" s="74">
        <v>2.5942244000000001E-3</v>
      </c>
      <c r="BX70" s="74">
        <v>2.5467710999999998E-3</v>
      </c>
      <c r="BY70" s="74">
        <v>2.5001763999999999E-3</v>
      </c>
      <c r="BZ70" s="74">
        <v>2.4544255999999999E-3</v>
      </c>
      <c r="CA70" s="74">
        <v>2.4095038000000002E-3</v>
      </c>
      <c r="CB70" s="74">
        <v>2.3653965999999998E-3</v>
      </c>
      <c r="CC70" s="74">
        <v>2.3220897000000001E-3</v>
      </c>
      <c r="CD70" s="74">
        <v>2.279569E-3</v>
      </c>
      <c r="CE70" s="74">
        <v>2.2378207E-3</v>
      </c>
      <c r="CF70" s="74">
        <v>2.1968311999999999E-3</v>
      </c>
      <c r="CG70" s="74">
        <v>2.1565870000000002E-3</v>
      </c>
      <c r="CH70" s="74">
        <v>2.1170749999999999E-3</v>
      </c>
      <c r="CI70" s="74">
        <v>2.0782820999999999E-3</v>
      </c>
      <c r="CJ70" s="74">
        <v>2.0401955E-3</v>
      </c>
      <c r="CK70" s="74">
        <v>2.0028028E-3</v>
      </c>
      <c r="CL70" s="74">
        <v>1.9660914999999998E-3</v>
      </c>
      <c r="CM70" s="74">
        <v>1.9300494E-3</v>
      </c>
      <c r="CN70" s="74">
        <v>1.8946646000000001E-3</v>
      </c>
      <c r="CO70" s="74">
        <v>1.8599253E-3</v>
      </c>
      <c r="CP70" s="74">
        <v>1.8258199000000001E-3</v>
      </c>
      <c r="CQ70" s="74">
        <v>1.7923371E-3</v>
      </c>
      <c r="CR70" s="74">
        <v>1.7594657E-3</v>
      </c>
      <c r="CS70" s="74">
        <v>1.7271947000000001E-3</v>
      </c>
      <c r="CT70" s="74">
        <v>1.6955131999999999E-3</v>
      </c>
      <c r="CU70" s="74">
        <v>1.6644106000000001E-3</v>
      </c>
      <c r="CV70" s="74">
        <v>1.6338766E-3</v>
      </c>
      <c r="CW70" s="74">
        <v>1.6039006999999999E-3</v>
      </c>
      <c r="CX70" s="74">
        <v>1.5744730000000001E-3</v>
      </c>
      <c r="CY70" s="74">
        <v>1.5455836000000001E-3</v>
      </c>
      <c r="CZ70" s="74">
        <v>1.5172225999999999E-3</v>
      </c>
      <c r="DA70" s="74">
        <v>1.4893805E-3</v>
      </c>
      <c r="DB70" s="74">
        <v>1.4620480000000001E-3</v>
      </c>
      <c r="DC70" s="74">
        <v>1.4352156999999999E-3</v>
      </c>
      <c r="DD70" s="74">
        <v>1.4088746000000001E-3</v>
      </c>
      <c r="DE70" s="74">
        <v>1.3830158000000001E-3</v>
      </c>
      <c r="DF70" s="74">
        <v>1.3576306000000001E-3</v>
      </c>
      <c r="DG70" s="74">
        <v>1.3327102E-3</v>
      </c>
      <c r="DH70" s="74">
        <v>1.3082463E-3</v>
      </c>
      <c r="DI70" s="74">
        <v>1.2842305999999999E-3</v>
      </c>
      <c r="DJ70" s="74">
        <v>1.2606548E-3</v>
      </c>
      <c r="DK70" s="74">
        <v>1.2375111E-3</v>
      </c>
      <c r="DL70" s="74">
        <v>1.2147913999999999E-3</v>
      </c>
      <c r="DM70" s="74">
        <v>1.1924882000000001E-3</v>
      </c>
      <c r="DN70" s="74">
        <v>1.1705938E-3</v>
      </c>
      <c r="DO70" s="74">
        <v>1.1491006999999999E-3</v>
      </c>
      <c r="DP70" s="74">
        <v>1.1280016E-3</v>
      </c>
      <c r="DQ70" s="74">
        <v>1.1072893999999999E-3</v>
      </c>
      <c r="DR70" s="74">
        <v>1.0869569999999999E-3</v>
      </c>
      <c r="DS70" s="74">
        <v>1.0669974E-3</v>
      </c>
      <c r="DT70" s="74">
        <v>1.0474038E-3</v>
      </c>
      <c r="DU70" s="74">
        <v>1.0281696E-3</v>
      </c>
      <c r="DV70" s="74">
        <v>1.0092882E-3</v>
      </c>
      <c r="DW70" s="74">
        <v>9.9075310000000007E-4</v>
      </c>
      <c r="DX70" s="74">
        <v>9.7255799999999999E-4</v>
      </c>
      <c r="DY70" s="74">
        <v>9.5469680000000005E-4</v>
      </c>
      <c r="DZ70" s="74">
        <v>9.3716320000000004E-4</v>
      </c>
      <c r="EA70" s="74">
        <v>9.1995130000000001E-4</v>
      </c>
      <c r="EB70" s="74">
        <v>9.0305520000000001E-4</v>
      </c>
      <c r="EC70" s="74">
        <v>8.8646910000000001E-4</v>
      </c>
      <c r="ED70" s="74">
        <v>8.7018740000000005E-4</v>
      </c>
      <c r="EE70" s="74">
        <v>8.5420449999999996E-4</v>
      </c>
      <c r="EF70" s="74">
        <v>8.3851490000000004E-4</v>
      </c>
      <c r="EG70" s="74">
        <v>8.2311329999999999E-4</v>
      </c>
      <c r="EH70" s="74">
        <v>8.0799430000000002E-4</v>
      </c>
      <c r="EI70" s="74">
        <v>7.9315280000000004E-4</v>
      </c>
      <c r="EJ70" s="74">
        <v>7.7858379999999996E-4</v>
      </c>
      <c r="EK70" s="74">
        <v>7.6428209999999995E-4</v>
      </c>
      <c r="EL70" s="74">
        <v>7.5024300000000005E-4</v>
      </c>
      <c r="EM70" s="74">
        <v>7.3646159999999998E-4</v>
      </c>
      <c r="EN70" s="74">
        <v>7.229332E-4</v>
      </c>
      <c r="EO70" s="74">
        <v>7.0965320000000004E-4</v>
      </c>
      <c r="EP70" s="74">
        <v>6.9661690000000004E-4</v>
      </c>
      <c r="EQ70" s="74">
        <v>6.8382000000000002E-4</v>
      </c>
      <c r="ER70" s="74">
        <v>6.7125810000000002E-4</v>
      </c>
      <c r="ES70" s="74">
        <v>6.5892679999999995E-4</v>
      </c>
      <c r="ET70" s="74">
        <v>6.4682189999999999E-4</v>
      </c>
      <c r="EU70" s="74">
        <v>6.3493930000000005E-4</v>
      </c>
      <c r="EV70" s="74">
        <v>6.232748E-4</v>
      </c>
      <c r="EW70" s="74">
        <v>6.1182459999999995E-4</v>
      </c>
      <c r="EX70" s="74">
        <v>6.0058460000000002E-4</v>
      </c>
      <c r="EY70" s="74">
        <v>5.8955100000000001E-4</v>
      </c>
      <c r="EZ70" s="74">
        <v>5.7872000000000002E-4</v>
      </c>
      <c r="FA70" s="74">
        <v>5.6808789999999998E-4</v>
      </c>
      <c r="FB70" s="74">
        <v>5.5765109999999997E-4</v>
      </c>
      <c r="FC70" s="74">
        <v>5.4740590000000003E-4</v>
      </c>
      <c r="FD70" s="74">
        <v>5.3734889999999997E-4</v>
      </c>
      <c r="FE70" s="74">
        <v>5.2747660000000002E-4</v>
      </c>
      <c r="FF70" s="74">
        <v>5.1778559999999998E-4</v>
      </c>
      <c r="FG70" s="74">
        <v>5.0827260000000003E-4</v>
      </c>
      <c r="FH70" s="74">
        <v>4.9893430000000002E-4</v>
      </c>
      <c r="FI70" s="74">
        <v>4.8976749999999996E-4</v>
      </c>
      <c r="FJ70" s="74">
        <v>4.8076899999999998E-4</v>
      </c>
      <c r="FK70" s="74">
        <v>4.7193590000000002E-4</v>
      </c>
      <c r="FL70" s="74">
        <v>4.6326499999999998E-4</v>
      </c>
      <c r="FM70" s="74">
        <v>4.5475330000000001E-4</v>
      </c>
      <c r="FN70" s="74">
        <v>4.4639799999999998E-4</v>
      </c>
      <c r="FO70" s="74">
        <v>4.3819619999999998E-4</v>
      </c>
      <c r="FP70" s="74">
        <v>4.30145E-4</v>
      </c>
      <c r="FQ70" s="74">
        <v>4.2224169999999998E-4</v>
      </c>
    </row>
    <row r="71" spans="1:173" x14ac:dyDescent="0.25">
      <c r="A71" s="76">
        <v>69</v>
      </c>
      <c r="B71" s="74">
        <v>1.03118863E-2</v>
      </c>
      <c r="C71" s="74">
        <v>1.0152341E-2</v>
      </c>
      <c r="D71" s="74">
        <v>9.9934949999999998E-3</v>
      </c>
      <c r="E71" s="74">
        <v>9.8354820999999992E-3</v>
      </c>
      <c r="F71" s="74">
        <v>9.6784248999999996E-3</v>
      </c>
      <c r="G71" s="74">
        <v>9.5224352999999998E-3</v>
      </c>
      <c r="H71" s="74">
        <v>9.3676156000000003E-3</v>
      </c>
      <c r="I71" s="74">
        <v>9.2140581000000003E-3</v>
      </c>
      <c r="J71" s="74">
        <v>9.0618468000000004E-3</v>
      </c>
      <c r="K71" s="74">
        <v>8.9110571999999992E-3</v>
      </c>
      <c r="L71" s="74">
        <v>8.7617573000000008E-3</v>
      </c>
      <c r="M71" s="74">
        <v>8.6140074999999997E-3</v>
      </c>
      <c r="N71" s="74">
        <v>8.4678619E-3</v>
      </c>
      <c r="O71" s="74">
        <v>8.3233682000000003E-3</v>
      </c>
      <c r="P71" s="74">
        <v>8.1805679999999992E-3</v>
      </c>
      <c r="Q71" s="74">
        <v>8.0394977000000003E-3</v>
      </c>
      <c r="R71" s="74">
        <v>7.9001886E-3</v>
      </c>
      <c r="S71" s="74">
        <v>7.7626672999999997E-3</v>
      </c>
      <c r="T71" s="74">
        <v>7.6269559000000002E-3</v>
      </c>
      <c r="U71" s="74">
        <v>7.4930726000000001E-3</v>
      </c>
      <c r="V71" s="74">
        <v>7.3610319000000004E-3</v>
      </c>
      <c r="W71" s="74">
        <v>7.2308446000000004E-3</v>
      </c>
      <c r="X71" s="74">
        <v>7.1025185999999997E-3</v>
      </c>
      <c r="Y71" s="74">
        <v>6.9760585E-3</v>
      </c>
      <c r="Z71" s="74">
        <v>6.8514665999999998E-3</v>
      </c>
      <c r="AA71" s="74">
        <v>6.7287422999999999E-3</v>
      </c>
      <c r="AB71" s="74">
        <v>6.6078830000000002E-3</v>
      </c>
      <c r="AC71" s="74">
        <v>6.4888838999999999E-3</v>
      </c>
      <c r="AD71" s="74">
        <v>6.3717380999999997E-3</v>
      </c>
      <c r="AE71" s="74">
        <v>6.2564372999999998E-3</v>
      </c>
      <c r="AF71" s="74">
        <v>6.1429711999999997E-3</v>
      </c>
      <c r="AG71" s="74">
        <v>6.0313284999999996E-3</v>
      </c>
      <c r="AH71" s="74">
        <v>5.9214960000000001E-3</v>
      </c>
      <c r="AI71" s="74">
        <v>5.8134598999999999E-3</v>
      </c>
      <c r="AJ71" s="74">
        <v>5.7072049000000003E-3</v>
      </c>
      <c r="AK71" s="74">
        <v>5.6027148999999998E-3</v>
      </c>
      <c r="AL71" s="74">
        <v>5.4999729000000004E-3</v>
      </c>
      <c r="AM71" s="74">
        <v>5.3989611000000003E-3</v>
      </c>
      <c r="AN71" s="74">
        <v>5.2996611000000002E-3</v>
      </c>
      <c r="AO71" s="74">
        <v>5.2020538000000002E-3</v>
      </c>
      <c r="AP71" s="74">
        <v>5.1061194999999998E-3</v>
      </c>
      <c r="AQ71" s="74">
        <v>5.0118382999999999E-3</v>
      </c>
      <c r="AR71" s="74">
        <v>4.9191896000000002E-3</v>
      </c>
      <c r="AS71" s="74">
        <v>4.8281527000000003E-3</v>
      </c>
      <c r="AT71" s="74">
        <v>4.7387063999999998E-3</v>
      </c>
      <c r="AU71" s="74">
        <v>4.6508295000000002E-3</v>
      </c>
      <c r="AV71" s="74">
        <v>4.5645004000000001E-3</v>
      </c>
      <c r="AW71" s="74">
        <v>4.4796975000000001E-3</v>
      </c>
      <c r="AX71" s="74">
        <v>4.3963989999999996E-3</v>
      </c>
      <c r="AY71" s="74">
        <v>4.3145830999999999E-3</v>
      </c>
      <c r="AZ71" s="74">
        <v>4.2342279999999996E-3</v>
      </c>
      <c r="BA71" s="74">
        <v>4.1553116999999999E-3</v>
      </c>
      <c r="BB71" s="74">
        <v>4.0778124999999998E-3</v>
      </c>
      <c r="BC71" s="74">
        <v>4.0017085999999999E-3</v>
      </c>
      <c r="BD71" s="74">
        <v>3.9269782999999999E-3</v>
      </c>
      <c r="BE71" s="74">
        <v>3.8535999E-3</v>
      </c>
      <c r="BF71" s="74">
        <v>3.7815519000000001E-3</v>
      </c>
      <c r="BG71" s="74">
        <v>3.7108129999999999E-3</v>
      </c>
      <c r="BH71" s="74">
        <v>3.641362E-3</v>
      </c>
      <c r="BI71" s="74">
        <v>3.5731778000000001E-3</v>
      </c>
      <c r="BJ71" s="74">
        <v>3.5062396000000002E-3</v>
      </c>
      <c r="BK71" s="74">
        <v>3.4405265999999999E-3</v>
      </c>
      <c r="BL71" s="74">
        <v>3.3760182999999998E-3</v>
      </c>
      <c r="BM71" s="74">
        <v>3.3126944999999999E-3</v>
      </c>
      <c r="BN71" s="74">
        <v>3.2505352000000002E-3</v>
      </c>
      <c r="BO71" s="74">
        <v>3.1895203E-3</v>
      </c>
      <c r="BP71" s="74">
        <v>3.1296305000000002E-3</v>
      </c>
      <c r="BQ71" s="74">
        <v>3.0708460999999999E-3</v>
      </c>
      <c r="BR71" s="74">
        <v>3.0131482999999999E-3</v>
      </c>
      <c r="BS71" s="74">
        <v>2.9565179E-3</v>
      </c>
      <c r="BT71" s="74">
        <v>2.9009363999999999E-3</v>
      </c>
      <c r="BU71" s="74">
        <v>2.8463854E-3</v>
      </c>
      <c r="BV71" s="74">
        <v>2.7928467000000001E-3</v>
      </c>
      <c r="BW71" s="74">
        <v>2.7403024000000002E-3</v>
      </c>
      <c r="BX71" s="74">
        <v>2.6887349999999998E-3</v>
      </c>
      <c r="BY71" s="74">
        <v>2.6381269000000001E-3</v>
      </c>
      <c r="BZ71" s="74">
        <v>2.5884611999999999E-3</v>
      </c>
      <c r="CA71" s="74">
        <v>2.5397207999999999E-3</v>
      </c>
      <c r="CB71" s="74">
        <v>2.4918892999999998E-3</v>
      </c>
      <c r="CC71" s="74">
        <v>2.4449502000000001E-3</v>
      </c>
      <c r="CD71" s="74">
        <v>2.3988874999999999E-3</v>
      </c>
      <c r="CE71" s="74">
        <v>2.3536853E-3</v>
      </c>
      <c r="CF71" s="74">
        <v>2.3093279000000002E-3</v>
      </c>
      <c r="CG71" s="74">
        <v>2.2658001000000001E-3</v>
      </c>
      <c r="CH71" s="74">
        <v>2.2230867999999998E-3</v>
      </c>
      <c r="CI71" s="74">
        <v>2.1811730999999998E-3</v>
      </c>
      <c r="CJ71" s="74">
        <v>2.1400442999999999E-3</v>
      </c>
      <c r="CK71" s="74">
        <v>2.0996862E-3</v>
      </c>
      <c r="CL71" s="74">
        <v>2.0600846E-3</v>
      </c>
      <c r="CM71" s="74">
        <v>2.0212256E-3</v>
      </c>
      <c r="CN71" s="74">
        <v>1.9830955E-3</v>
      </c>
      <c r="CO71" s="74">
        <v>1.9456810999999999E-3</v>
      </c>
      <c r="CP71" s="74">
        <v>1.9089688999999999E-3</v>
      </c>
      <c r="CQ71" s="74">
        <v>1.8729462E-3</v>
      </c>
      <c r="CR71" s="74">
        <v>1.8376002000000001E-3</v>
      </c>
      <c r="CS71" s="74">
        <v>1.8029182E-3</v>
      </c>
      <c r="CT71" s="74">
        <v>1.7688882E-3</v>
      </c>
      <c r="CU71" s="74">
        <v>1.7354979E-3</v>
      </c>
      <c r="CV71" s="74">
        <v>1.7027355000000001E-3</v>
      </c>
      <c r="CW71" s="74">
        <v>1.6705893E-3</v>
      </c>
      <c r="CX71" s="74">
        <v>1.6390479999999999E-3</v>
      </c>
      <c r="CY71" s="74">
        <v>1.6081002E-3</v>
      </c>
      <c r="CZ71" s="74">
        <v>1.5777348E-3</v>
      </c>
      <c r="DA71" s="74">
        <v>1.5479411E-3</v>
      </c>
      <c r="DB71" s="74">
        <v>1.5187085000000001E-3</v>
      </c>
      <c r="DC71" s="74">
        <v>1.4900263000000001E-3</v>
      </c>
      <c r="DD71" s="74">
        <v>1.4618844E-3</v>
      </c>
      <c r="DE71" s="74">
        <v>1.4342726000000001E-3</v>
      </c>
      <c r="DF71" s="74">
        <v>1.4071811E-3</v>
      </c>
      <c r="DG71" s="74">
        <v>1.3806001999999999E-3</v>
      </c>
      <c r="DH71" s="74">
        <v>1.3545202E-3</v>
      </c>
      <c r="DI71" s="74">
        <v>1.3289318E-3</v>
      </c>
      <c r="DJ71" s="74">
        <v>1.3038258E-3</v>
      </c>
      <c r="DK71" s="74">
        <v>1.2791931999999999E-3</v>
      </c>
      <c r="DL71" s="74">
        <v>1.2550250999999999E-3</v>
      </c>
      <c r="DM71" s="74">
        <v>1.2313128000000001E-3</v>
      </c>
      <c r="DN71" s="74">
        <v>1.2080477000000001E-3</v>
      </c>
      <c r="DO71" s="74">
        <v>1.1852214999999999E-3</v>
      </c>
      <c r="DP71" s="74">
        <v>1.1628258E-3</v>
      </c>
      <c r="DQ71" s="74">
        <v>1.1408528E-3</v>
      </c>
      <c r="DR71" s="74">
        <v>1.1192942999999999E-3</v>
      </c>
      <c r="DS71" s="74">
        <v>1.0981426000000001E-3</v>
      </c>
      <c r="DT71" s="74">
        <v>1.0773900999999999E-3</v>
      </c>
      <c r="DU71" s="74">
        <v>1.0570292E-3</v>
      </c>
      <c r="DV71" s="74">
        <v>1.0370526999999999E-3</v>
      </c>
      <c r="DW71" s="74">
        <v>1.0174532E-3</v>
      </c>
      <c r="DX71" s="74">
        <v>9.9822369999999993E-4</v>
      </c>
      <c r="DY71" s="74">
        <v>9.7935730000000003E-4</v>
      </c>
      <c r="DZ71" s="74">
        <v>9.6084700000000002E-4</v>
      </c>
      <c r="EA71" s="74">
        <v>9.4268620000000005E-4</v>
      </c>
      <c r="EB71" s="74">
        <v>9.2486840000000005E-4</v>
      </c>
      <c r="EC71" s="74">
        <v>9.0738690000000002E-4</v>
      </c>
      <c r="ED71" s="74">
        <v>8.9023559999999995E-4</v>
      </c>
      <c r="EE71" s="74">
        <v>8.7340829999999999E-4</v>
      </c>
      <c r="EF71" s="74">
        <v>8.5689869999999995E-4</v>
      </c>
      <c r="EG71" s="74">
        <v>8.4070089999999998E-4</v>
      </c>
      <c r="EH71" s="74">
        <v>8.2480900000000002E-4</v>
      </c>
      <c r="EI71" s="74">
        <v>8.0921729999999998E-4</v>
      </c>
      <c r="EJ71" s="74">
        <v>7.939202E-4</v>
      </c>
      <c r="EK71" s="74">
        <v>7.7891199999999999E-4</v>
      </c>
      <c r="EL71" s="74">
        <v>7.6418730000000004E-4</v>
      </c>
      <c r="EM71" s="74">
        <v>7.4974079999999999E-4</v>
      </c>
      <c r="EN71" s="74">
        <v>7.3556719999999997E-4</v>
      </c>
      <c r="EO71" s="74">
        <v>7.2166139999999999E-4</v>
      </c>
      <c r="EP71" s="74">
        <v>7.0801830000000003E-4</v>
      </c>
      <c r="EQ71" s="74">
        <v>6.9463299999999995E-4</v>
      </c>
      <c r="ER71" s="74">
        <v>6.8150060000000002E-4</v>
      </c>
      <c r="ES71" s="74">
        <v>6.6861630000000002E-4</v>
      </c>
      <c r="ET71" s="74">
        <v>6.559755E-4</v>
      </c>
      <c r="EU71" s="74">
        <v>6.4357360000000003E-4</v>
      </c>
      <c r="EV71" s="74">
        <v>6.3140600000000005E-4</v>
      </c>
      <c r="EW71" s="74">
        <v>6.1946829999999997E-4</v>
      </c>
      <c r="EX71" s="74">
        <v>6.0775629999999998E-4</v>
      </c>
      <c r="EY71" s="74">
        <v>5.9626549999999996E-4</v>
      </c>
      <c r="EZ71" s="74">
        <v>5.84992E-4</v>
      </c>
      <c r="FA71" s="74">
        <v>5.7393139999999999E-4</v>
      </c>
      <c r="FB71" s="74">
        <v>5.6307999999999998E-4</v>
      </c>
      <c r="FC71" s="74">
        <v>5.5243359999999995E-4</v>
      </c>
      <c r="FD71" s="74">
        <v>5.419884E-4</v>
      </c>
      <c r="FE71" s="74">
        <v>5.3174060000000004E-4</v>
      </c>
      <c r="FF71" s="74">
        <v>5.2168660000000003E-4</v>
      </c>
      <c r="FG71" s="74">
        <v>5.1182249999999995E-4</v>
      </c>
      <c r="FH71" s="74">
        <v>5.0214490000000003E-4</v>
      </c>
      <c r="FI71" s="74">
        <v>4.9265029999999996E-4</v>
      </c>
      <c r="FJ71" s="74">
        <v>4.8333510000000003E-4</v>
      </c>
      <c r="FK71" s="74">
        <v>4.7419589999999999E-4</v>
      </c>
      <c r="FL71" s="74">
        <v>4.6522959999999999E-4</v>
      </c>
      <c r="FM71" s="74">
        <v>4.5643270000000002E-4</v>
      </c>
      <c r="FN71" s="74">
        <v>4.478021E-4</v>
      </c>
      <c r="FO71" s="74">
        <v>4.3933470000000001E-4</v>
      </c>
      <c r="FP71" s="74">
        <v>4.310273E-4</v>
      </c>
      <c r="FQ71" s="74">
        <v>4.2287690000000002E-4</v>
      </c>
    </row>
    <row r="72" spans="1:173" x14ac:dyDescent="0.25">
      <c r="A72" s="76">
        <v>70</v>
      </c>
      <c r="B72" s="74">
        <v>1.13313207E-2</v>
      </c>
      <c r="C72" s="74">
        <v>1.11514647E-2</v>
      </c>
      <c r="D72" s="74">
        <v>1.0972542599999999E-2</v>
      </c>
      <c r="E72" s="74">
        <v>1.0794698199999999E-2</v>
      </c>
      <c r="F72" s="74">
        <v>1.0618062500000001E-2</v>
      </c>
      <c r="G72" s="74">
        <v>1.0442755099999999E-2</v>
      </c>
      <c r="H72" s="74">
        <v>1.02688845E-2</v>
      </c>
      <c r="I72" s="74">
        <v>1.0096548699999999E-2</v>
      </c>
      <c r="J72" s="74">
        <v>9.9258362999999992E-3</v>
      </c>
      <c r="K72" s="74">
        <v>9.7568267000000004E-3</v>
      </c>
      <c r="L72" s="74">
        <v>9.5895906999999992E-3</v>
      </c>
      <c r="M72" s="74">
        <v>9.4241915999999995E-3</v>
      </c>
      <c r="N72" s="74">
        <v>9.2606848999999998E-3</v>
      </c>
      <c r="O72" s="74">
        <v>9.0991195000000007E-3</v>
      </c>
      <c r="P72" s="74">
        <v>8.9395377999999994E-3</v>
      </c>
      <c r="Q72" s="74">
        <v>8.7819764000000005E-3</v>
      </c>
      <c r="R72" s="74">
        <v>8.6264661000000006E-3</v>
      </c>
      <c r="S72" s="74">
        <v>8.4730329E-3</v>
      </c>
      <c r="T72" s="74">
        <v>8.3216980000000006E-3</v>
      </c>
      <c r="U72" s="74">
        <v>8.1724779000000008E-3</v>
      </c>
      <c r="V72" s="74">
        <v>8.0253853999999996E-3</v>
      </c>
      <c r="W72" s="74">
        <v>7.8804294999999993E-3</v>
      </c>
      <c r="X72" s="74">
        <v>7.7376156E-3</v>
      </c>
      <c r="Y72" s="74">
        <v>7.5969460999999999E-3</v>
      </c>
      <c r="Z72" s="74">
        <v>7.4584202000000004E-3</v>
      </c>
      <c r="AA72" s="74">
        <v>7.3220348000000001E-3</v>
      </c>
      <c r="AB72" s="74">
        <v>7.1877840999999996E-3</v>
      </c>
      <c r="AC72" s="74">
        <v>7.0556600000000001E-3</v>
      </c>
      <c r="AD72" s="74">
        <v>6.9256526000000002E-3</v>
      </c>
      <c r="AE72" s="74">
        <v>6.79775E-3</v>
      </c>
      <c r="AF72" s="74">
        <v>6.6719383999999998E-3</v>
      </c>
      <c r="AG72" s="74">
        <v>6.5482027999999998E-3</v>
      </c>
      <c r="AH72" s="74">
        <v>6.4265266000000003E-3</v>
      </c>
      <c r="AI72" s="74">
        <v>6.3068921000000002E-3</v>
      </c>
      <c r="AJ72" s="74">
        <v>6.1892802000000002E-3</v>
      </c>
      <c r="AK72" s="74">
        <v>6.0736712000000002E-3</v>
      </c>
      <c r="AL72" s="74">
        <v>5.9600440999999999E-3</v>
      </c>
      <c r="AM72" s="74">
        <v>5.8483774000000002E-3</v>
      </c>
      <c r="AN72" s="74">
        <v>5.7386486E-3</v>
      </c>
      <c r="AO72" s="74">
        <v>5.6308349999999998E-3</v>
      </c>
      <c r="AP72" s="74">
        <v>5.5249130000000002E-3</v>
      </c>
      <c r="AQ72" s="74">
        <v>5.4208587000000004E-3</v>
      </c>
      <c r="AR72" s="74">
        <v>5.3186478000000004E-3</v>
      </c>
      <c r="AS72" s="74">
        <v>5.2182558E-3</v>
      </c>
      <c r="AT72" s="74">
        <v>5.1196575999999999E-3</v>
      </c>
      <c r="AU72" s="74">
        <v>5.0228282000000001E-3</v>
      </c>
      <c r="AV72" s="74">
        <v>4.9277423999999998E-3</v>
      </c>
      <c r="AW72" s="74">
        <v>4.8343748999999997E-3</v>
      </c>
      <c r="AX72" s="74">
        <v>4.7427001000000003E-3</v>
      </c>
      <c r="AY72" s="74">
        <v>4.6526926000000001E-3</v>
      </c>
      <c r="AZ72" s="74">
        <v>4.564327E-3</v>
      </c>
      <c r="BA72" s="74">
        <v>4.4775778000000002E-3</v>
      </c>
      <c r="BB72" s="74">
        <v>4.3924196999999996E-3</v>
      </c>
      <c r="BC72" s="74">
        <v>4.3088275000000001E-3</v>
      </c>
      <c r="BD72" s="74">
        <v>4.2267761000000003E-3</v>
      </c>
      <c r="BE72" s="74">
        <v>4.1462403000000004E-3</v>
      </c>
      <c r="BF72" s="74">
        <v>4.0671954999999997E-3</v>
      </c>
      <c r="BG72" s="74">
        <v>3.9896169000000004E-3</v>
      </c>
      <c r="BH72" s="74">
        <v>3.9134801999999996E-3</v>
      </c>
      <c r="BI72" s="74">
        <v>3.838761E-3</v>
      </c>
      <c r="BJ72" s="74">
        <v>3.7654354999999999E-3</v>
      </c>
      <c r="BK72" s="74">
        <v>3.6934797999999998E-3</v>
      </c>
      <c r="BL72" s="74">
        <v>3.6228704E-3</v>
      </c>
      <c r="BM72" s="74">
        <v>3.5535840999999999E-3</v>
      </c>
      <c r="BN72" s="74">
        <v>3.4855977999999998E-3</v>
      </c>
      <c r="BO72" s="74">
        <v>3.4188889E-3</v>
      </c>
      <c r="BP72" s="74">
        <v>3.3534349000000001E-3</v>
      </c>
      <c r="BQ72" s="74">
        <v>3.2892136999999998E-3</v>
      </c>
      <c r="BR72" s="74">
        <v>3.2262034000000001E-3</v>
      </c>
      <c r="BS72" s="74">
        <v>3.1643824E-3</v>
      </c>
      <c r="BT72" s="74">
        <v>3.1037295000000001E-3</v>
      </c>
      <c r="BU72" s="74">
        <v>3.0442236999999998E-3</v>
      </c>
      <c r="BV72" s="74">
        <v>2.9858443999999998E-3</v>
      </c>
      <c r="BW72" s="74">
        <v>2.9285711000000001E-3</v>
      </c>
      <c r="BX72" s="74">
        <v>2.8723837999999999E-3</v>
      </c>
      <c r="BY72" s="74">
        <v>2.8172627999999999E-3</v>
      </c>
      <c r="BZ72" s="74">
        <v>2.7631884999999999E-3</v>
      </c>
      <c r="CA72" s="74">
        <v>2.7101419E-3</v>
      </c>
      <c r="CB72" s="74">
        <v>2.6581040000000001E-3</v>
      </c>
      <c r="CC72" s="74">
        <v>2.6070563000000001E-3</v>
      </c>
      <c r="CD72" s="74">
        <v>2.5569806000000001E-3</v>
      </c>
      <c r="CE72" s="74">
        <v>2.5078589999999999E-3</v>
      </c>
      <c r="CF72" s="74">
        <v>2.4596736000000001E-3</v>
      </c>
      <c r="CG72" s="74">
        <v>2.4124072000000002E-3</v>
      </c>
      <c r="CH72" s="74">
        <v>2.3660426999999999E-3</v>
      </c>
      <c r="CI72" s="74">
        <v>2.3205631999999999E-3</v>
      </c>
      <c r="CJ72" s="74">
        <v>2.2759524000000001E-3</v>
      </c>
      <c r="CK72" s="74">
        <v>2.2321938999999998E-3</v>
      </c>
      <c r="CL72" s="74">
        <v>2.1892717999999999E-3</v>
      </c>
      <c r="CM72" s="74">
        <v>2.1471704E-3</v>
      </c>
      <c r="CN72" s="74">
        <v>2.1058743999999999E-3</v>
      </c>
      <c r="CO72" s="74">
        <v>2.0653684999999999E-3</v>
      </c>
      <c r="CP72" s="74">
        <v>2.0256380000000002E-3</v>
      </c>
      <c r="CQ72" s="74">
        <v>1.9866683000000001E-3</v>
      </c>
      <c r="CR72" s="74">
        <v>1.9484449E-3</v>
      </c>
      <c r="CS72" s="74">
        <v>1.9109538E-3</v>
      </c>
      <c r="CT72" s="74">
        <v>1.8741812E-3</v>
      </c>
      <c r="CU72" s="74">
        <v>1.8381134999999999E-3</v>
      </c>
      <c r="CV72" s="74">
        <v>1.8027373000000001E-3</v>
      </c>
      <c r="CW72" s="74">
        <v>1.7680396000000001E-3</v>
      </c>
      <c r="CX72" s="74">
        <v>1.7340074E-3</v>
      </c>
      <c r="CY72" s="74">
        <v>1.7006282000000001E-3</v>
      </c>
      <c r="CZ72" s="74">
        <v>1.6678896000000001E-3</v>
      </c>
      <c r="DA72" s="74">
        <v>1.6357793000000001E-3</v>
      </c>
      <c r="DB72" s="74">
        <v>1.6042855E-3</v>
      </c>
      <c r="DC72" s="74">
        <v>1.5733964E-3</v>
      </c>
      <c r="DD72" s="74">
        <v>1.5431004000000001E-3</v>
      </c>
      <c r="DE72" s="74">
        <v>1.5133863999999999E-3</v>
      </c>
      <c r="DF72" s="74">
        <v>1.4842432E-3</v>
      </c>
      <c r="DG72" s="74">
        <v>1.4556599000000001E-3</v>
      </c>
      <c r="DH72" s="74">
        <v>1.4276258999999999E-3</v>
      </c>
      <c r="DI72" s="74">
        <v>1.4001306000000001E-3</v>
      </c>
      <c r="DJ72" s="74">
        <v>1.3731638E-3</v>
      </c>
      <c r="DK72" s="74">
        <v>1.3467154E-3</v>
      </c>
      <c r="DL72" s="74">
        <v>1.3207754999999999E-3</v>
      </c>
      <c r="DM72" s="74">
        <v>1.2953343000000001E-3</v>
      </c>
      <c r="DN72" s="74">
        <v>1.2703823999999999E-3</v>
      </c>
      <c r="DO72" s="74">
        <v>1.2459102999999999E-3</v>
      </c>
      <c r="DP72" s="74">
        <v>1.2219087999999999E-3</v>
      </c>
      <c r="DQ72" s="74">
        <v>1.1983690999999999E-3</v>
      </c>
      <c r="DR72" s="74">
        <v>1.1752821E-3</v>
      </c>
      <c r="DS72" s="74">
        <v>1.1526393999999999E-3</v>
      </c>
      <c r="DT72" s="74">
        <v>1.1304322000000001E-3</v>
      </c>
      <c r="DU72" s="74">
        <v>1.1086524E-3</v>
      </c>
      <c r="DV72" s="74">
        <v>1.0872917E-3</v>
      </c>
      <c r="DW72" s="74">
        <v>1.0663420000000001E-3</v>
      </c>
      <c r="DX72" s="74">
        <v>1.0457954999999999E-3</v>
      </c>
      <c r="DY72" s="74">
        <v>1.0256445E-3</v>
      </c>
      <c r="DZ72" s="74">
        <v>1.0058814000000001E-3</v>
      </c>
      <c r="EA72" s="74">
        <v>9.8649859999999992E-4</v>
      </c>
      <c r="EB72" s="74">
        <v>9.6748899999999998E-4</v>
      </c>
      <c r="EC72" s="74">
        <v>9.4884539999999995E-4</v>
      </c>
      <c r="ED72" s="74">
        <v>9.305607E-4</v>
      </c>
      <c r="EE72" s="74">
        <v>9.1262799999999996E-4</v>
      </c>
      <c r="EF72" s="74">
        <v>8.9504060000000004E-4</v>
      </c>
      <c r="EG72" s="74">
        <v>8.777918E-4</v>
      </c>
      <c r="EH72" s="74">
        <v>8.6087519999999995E-4</v>
      </c>
      <c r="EI72" s="74">
        <v>8.4428439999999997E-4</v>
      </c>
      <c r="EJ72" s="74">
        <v>8.2801309999999998E-4</v>
      </c>
      <c r="EK72" s="74">
        <v>8.1205510000000004E-4</v>
      </c>
      <c r="EL72" s="74">
        <v>7.9640440000000004E-4</v>
      </c>
      <c r="EM72" s="74">
        <v>7.8105519999999997E-4</v>
      </c>
      <c r="EN72" s="74">
        <v>7.6600159999999997E-4</v>
      </c>
      <c r="EO72" s="74">
        <v>7.5123799999999999E-4</v>
      </c>
      <c r="EP72" s="74">
        <v>7.3675870000000003E-4</v>
      </c>
      <c r="EQ72" s="74">
        <v>7.2255840000000002E-4</v>
      </c>
      <c r="ER72" s="74">
        <v>7.0863160000000003E-4</v>
      </c>
      <c r="ES72" s="74">
        <v>6.9497299999999999E-4</v>
      </c>
      <c r="ET72" s="74">
        <v>6.8157760000000004E-4</v>
      </c>
      <c r="EU72" s="74">
        <v>6.6844029999999996E-4</v>
      </c>
      <c r="EV72" s="74">
        <v>6.5555599999999996E-4</v>
      </c>
      <c r="EW72" s="74">
        <v>6.4291999999999995E-4</v>
      </c>
      <c r="EX72" s="74">
        <v>6.305274E-4</v>
      </c>
      <c r="EY72" s="74">
        <v>6.1837359999999996E-4</v>
      </c>
      <c r="EZ72" s="74">
        <v>6.0645390000000005E-4</v>
      </c>
      <c r="FA72" s="74">
        <v>5.9476389999999998E-4</v>
      </c>
      <c r="FB72" s="74">
        <v>5.8329919999999997E-4</v>
      </c>
      <c r="FC72" s="74">
        <v>5.7205530000000002E-4</v>
      </c>
      <c r="FD72" s="74">
        <v>5.6102820000000005E-4</v>
      </c>
      <c r="FE72" s="74">
        <v>5.5021340000000005E-4</v>
      </c>
      <c r="FF72" s="74">
        <v>5.3960710000000003E-4</v>
      </c>
      <c r="FG72" s="74">
        <v>5.292052E-4</v>
      </c>
      <c r="FH72" s="74">
        <v>5.190037E-4</v>
      </c>
      <c r="FI72" s="74">
        <v>5.0899880000000004E-4</v>
      </c>
      <c r="FJ72" s="74">
        <v>4.9918670000000001E-4</v>
      </c>
      <c r="FK72" s="74">
        <v>4.8956369999999996E-4</v>
      </c>
      <c r="FL72" s="74">
        <v>4.8012610000000002E-4</v>
      </c>
      <c r="FM72" s="74">
        <v>4.708704E-4</v>
      </c>
      <c r="FN72" s="74">
        <v>4.6179309999999998E-4</v>
      </c>
      <c r="FO72" s="74">
        <v>4.5289080000000001E-4</v>
      </c>
      <c r="FP72" s="74">
        <v>4.4415999999999998E-4</v>
      </c>
      <c r="FQ72" s="74">
        <v>4.355974E-4</v>
      </c>
    </row>
    <row r="73" spans="1:173" x14ac:dyDescent="0.25">
      <c r="A73" s="76">
        <v>71</v>
      </c>
      <c r="B73" s="74">
        <v>1.25498568E-2</v>
      </c>
      <c r="C73" s="74">
        <v>1.23460423E-2</v>
      </c>
      <c r="D73" s="74">
        <v>1.21434669E-2</v>
      </c>
      <c r="E73" s="74">
        <v>1.19422825E-2</v>
      </c>
      <c r="F73" s="74">
        <v>1.17426276E-2</v>
      </c>
      <c r="G73" s="74">
        <v>1.1544627700000001E-2</v>
      </c>
      <c r="H73" s="74">
        <v>1.13483965E-2</v>
      </c>
      <c r="I73" s="74">
        <v>1.1154036399999999E-2</v>
      </c>
      <c r="J73" s="74">
        <v>1.0961639E-2</v>
      </c>
      <c r="K73" s="74">
        <v>1.07712864E-2</v>
      </c>
      <c r="L73" s="74">
        <v>1.05830514E-2</v>
      </c>
      <c r="M73" s="74">
        <v>1.03969982E-2</v>
      </c>
      <c r="N73" s="74">
        <v>1.02131831E-2</v>
      </c>
      <c r="O73" s="74">
        <v>1.0031654799999999E-2</v>
      </c>
      <c r="P73" s="74">
        <v>9.8524553999999997E-3</v>
      </c>
      <c r="Q73" s="74">
        <v>9.6756202999999999E-3</v>
      </c>
      <c r="R73" s="74">
        <v>9.5011790000000002E-3</v>
      </c>
      <c r="S73" s="74">
        <v>9.3291558000000007E-3</v>
      </c>
      <c r="T73" s="74">
        <v>9.1595695000000008E-3</v>
      </c>
      <c r="U73" s="74">
        <v>8.9924344000000007E-3</v>
      </c>
      <c r="V73" s="74">
        <v>8.8277604000000006E-3</v>
      </c>
      <c r="W73" s="74">
        <v>8.6655536000000005E-3</v>
      </c>
      <c r="X73" s="74">
        <v>8.5058161000000007E-3</v>
      </c>
      <c r="Y73" s="74">
        <v>8.3485468000000004E-3</v>
      </c>
      <c r="Z73" s="74">
        <v>8.1937416000000002E-3</v>
      </c>
      <c r="AA73" s="74">
        <v>8.0413932999999996E-3</v>
      </c>
      <c r="AB73" s="74">
        <v>7.8914921999999992E-3</v>
      </c>
      <c r="AC73" s="74">
        <v>7.7440264000000003E-3</v>
      </c>
      <c r="AD73" s="74">
        <v>7.5989815999999996E-3</v>
      </c>
      <c r="AE73" s="74">
        <v>7.4563416999999998E-3</v>
      </c>
      <c r="AF73" s="74">
        <v>7.3160886999999999E-3</v>
      </c>
      <c r="AG73" s="74">
        <v>7.1782032999999999E-3</v>
      </c>
      <c r="AH73" s="74">
        <v>7.0426643000000002E-3</v>
      </c>
      <c r="AI73" s="74">
        <v>6.9094495000000004E-3</v>
      </c>
      <c r="AJ73" s="74">
        <v>6.7785355999999998E-3</v>
      </c>
      <c r="AK73" s="74">
        <v>6.6498979999999996E-3</v>
      </c>
      <c r="AL73" s="74">
        <v>6.5235114999999998E-3</v>
      </c>
      <c r="AM73" s="74">
        <v>6.3993499000000002E-3</v>
      </c>
      <c r="AN73" s="74">
        <v>6.2773862999999999E-3</v>
      </c>
      <c r="AO73" s="74">
        <v>6.1575932999999999E-3</v>
      </c>
      <c r="AP73" s="74">
        <v>6.0399429999999999E-3</v>
      </c>
      <c r="AQ73" s="74">
        <v>5.9244069999999996E-3</v>
      </c>
      <c r="AR73" s="74">
        <v>5.8109564000000001E-3</v>
      </c>
      <c r="AS73" s="74">
        <v>5.6995624000000002E-3</v>
      </c>
      <c r="AT73" s="74">
        <v>5.5901956000000003E-3</v>
      </c>
      <c r="AU73" s="74">
        <v>5.4828265000000003E-3</v>
      </c>
      <c r="AV73" s="74">
        <v>5.3774256999999997E-3</v>
      </c>
      <c r="AW73" s="74">
        <v>5.2739635000000002E-3</v>
      </c>
      <c r="AX73" s="74">
        <v>5.1724101999999997E-3</v>
      </c>
      <c r="AY73" s="74">
        <v>5.0727363000000001E-3</v>
      </c>
      <c r="AZ73" s="74">
        <v>4.9749121000000002E-3</v>
      </c>
      <c r="BA73" s="74">
        <v>4.8789083E-3</v>
      </c>
      <c r="BB73" s="74">
        <v>4.7846954000000004E-3</v>
      </c>
      <c r="BC73" s="74">
        <v>4.6922442E-3</v>
      </c>
      <c r="BD73" s="74">
        <v>4.6015257999999998E-3</v>
      </c>
      <c r="BE73" s="74">
        <v>4.5125112000000004E-3</v>
      </c>
      <c r="BF73" s="74">
        <v>4.4251719999999998E-3</v>
      </c>
      <c r="BG73" s="74">
        <v>4.3394795999999996E-3</v>
      </c>
      <c r="BH73" s="74">
        <v>4.2554061000000002E-3</v>
      </c>
      <c r="BI73" s="74">
        <v>4.1729235999999996E-3</v>
      </c>
      <c r="BJ73" s="74">
        <v>4.0920045000000004E-3</v>
      </c>
      <c r="BK73" s="74">
        <v>4.0126214999999998E-3</v>
      </c>
      <c r="BL73" s="74">
        <v>3.9347478E-3</v>
      </c>
      <c r="BM73" s="74">
        <v>3.8583568000000001E-3</v>
      </c>
      <c r="BN73" s="74">
        <v>3.7834219999999998E-3</v>
      </c>
      <c r="BO73" s="74">
        <v>3.7099174999999998E-3</v>
      </c>
      <c r="BP73" s="74">
        <v>3.6378178000000001E-3</v>
      </c>
      <c r="BQ73" s="74">
        <v>3.5670975000000001E-3</v>
      </c>
      <c r="BR73" s="74">
        <v>3.4977315999999998E-3</v>
      </c>
      <c r="BS73" s="74">
        <v>3.4296957000000002E-3</v>
      </c>
      <c r="BT73" s="74">
        <v>3.3629654E-3</v>
      </c>
      <c r="BU73" s="74">
        <v>3.2975169000000002E-3</v>
      </c>
      <c r="BV73" s="74">
        <v>3.2333267000000001E-3</v>
      </c>
      <c r="BW73" s="74">
        <v>3.1703716000000002E-3</v>
      </c>
      <c r="BX73" s="74">
        <v>3.1086286999999998E-3</v>
      </c>
      <c r="BY73" s="74">
        <v>3.0480756000000001E-3</v>
      </c>
      <c r="BZ73" s="74">
        <v>2.9886903000000001E-3</v>
      </c>
      <c r="CA73" s="74">
        <v>2.9304509000000001E-3</v>
      </c>
      <c r="CB73" s="74">
        <v>2.8733360999999998E-3</v>
      </c>
      <c r="CC73" s="74">
        <v>2.8173248999999998E-3</v>
      </c>
      <c r="CD73" s="74">
        <v>2.7623965E-3</v>
      </c>
      <c r="CE73" s="74">
        <v>2.7085306E-3</v>
      </c>
      <c r="CF73" s="74">
        <v>2.6557071999999998E-3</v>
      </c>
      <c r="CG73" s="74">
        <v>2.6039065999999998E-3</v>
      </c>
      <c r="CH73" s="74">
        <v>2.5531095000000002E-3</v>
      </c>
      <c r="CI73" s="74">
        <v>2.5032969000000002E-3</v>
      </c>
      <c r="CJ73" s="74">
        <v>2.4544501E-3</v>
      </c>
      <c r="CK73" s="74">
        <v>2.4065508000000002E-3</v>
      </c>
      <c r="CL73" s="74">
        <v>2.3595809999999999E-3</v>
      </c>
      <c r="CM73" s="74">
        <v>2.3135229E-3</v>
      </c>
      <c r="CN73" s="74">
        <v>2.2683592999999998E-3</v>
      </c>
      <c r="CO73" s="74">
        <v>2.2240729E-3</v>
      </c>
      <c r="CP73" s="74">
        <v>2.1806471E-3</v>
      </c>
      <c r="CQ73" s="74">
        <v>2.1380653999999999E-3</v>
      </c>
      <c r="CR73" s="74">
        <v>2.0963116000000002E-3</v>
      </c>
      <c r="CS73" s="74">
        <v>2.0553697999999999E-3</v>
      </c>
      <c r="CT73" s="74">
        <v>2.0152245000000001E-3</v>
      </c>
      <c r="CU73" s="74">
        <v>1.9758604E-3</v>
      </c>
      <c r="CV73" s="74">
        <v>1.9372624000000001E-3</v>
      </c>
      <c r="CW73" s="74">
        <v>1.8994158000000001E-3</v>
      </c>
      <c r="CX73" s="74">
        <v>1.8623061E-3</v>
      </c>
      <c r="CY73" s="74">
        <v>1.8259191999999999E-3</v>
      </c>
      <c r="CZ73" s="74">
        <v>1.7902411E-3</v>
      </c>
      <c r="DA73" s="74">
        <v>1.7552581E-3</v>
      </c>
      <c r="DB73" s="74">
        <v>1.7209568000000001E-3</v>
      </c>
      <c r="DC73" s="74">
        <v>1.687324E-3</v>
      </c>
      <c r="DD73" s="74">
        <v>1.6543469E-3</v>
      </c>
      <c r="DE73" s="74">
        <v>1.6220125999999999E-3</v>
      </c>
      <c r="DF73" s="74">
        <v>1.5903089E-3</v>
      </c>
      <c r="DG73" s="74">
        <v>1.5592234999999999E-3</v>
      </c>
      <c r="DH73" s="74">
        <v>1.5287443E-3</v>
      </c>
      <c r="DI73" s="74">
        <v>1.4988597E-3</v>
      </c>
      <c r="DJ73" s="74">
        <v>1.4695582E-3</v>
      </c>
      <c r="DK73" s="74">
        <v>1.4408284E-3</v>
      </c>
      <c r="DL73" s="74">
        <v>1.4126592E-3</v>
      </c>
      <c r="DM73" s="74">
        <v>1.3850398000000001E-3</v>
      </c>
      <c r="DN73" s="74">
        <v>1.3579594000000001E-3</v>
      </c>
      <c r="DO73" s="74">
        <v>1.3314077E-3</v>
      </c>
      <c r="DP73" s="74">
        <v>1.3053743000000001E-3</v>
      </c>
      <c r="DQ73" s="74">
        <v>1.2798492000000001E-3</v>
      </c>
      <c r="DR73" s="74">
        <v>1.2548225E-3</v>
      </c>
      <c r="DS73" s="74">
        <v>1.2302845000000001E-3</v>
      </c>
      <c r="DT73" s="74">
        <v>1.2062257E-3</v>
      </c>
      <c r="DU73" s="74">
        <v>1.1826367E-3</v>
      </c>
      <c r="DV73" s="74">
        <v>1.1595085E-3</v>
      </c>
      <c r="DW73" s="74">
        <v>1.1368321E-3</v>
      </c>
      <c r="DX73" s="74">
        <v>1.1145986000000001E-3</v>
      </c>
      <c r="DY73" s="74">
        <v>1.0927994999999999E-3</v>
      </c>
      <c r="DZ73" s="74">
        <v>1.0714262E-3</v>
      </c>
      <c r="EA73" s="74">
        <v>1.0504706E-3</v>
      </c>
      <c r="EB73" s="74">
        <v>1.0299243999999999E-3</v>
      </c>
      <c r="EC73" s="74">
        <v>1.0097797E-3</v>
      </c>
      <c r="ED73" s="74">
        <v>9.9002859999999999E-4</v>
      </c>
      <c r="EE73" s="74">
        <v>9.7066350000000003E-4</v>
      </c>
      <c r="EF73" s="74">
        <v>9.5167690000000002E-4</v>
      </c>
      <c r="EG73" s="74">
        <v>9.330613E-4</v>
      </c>
      <c r="EH73" s="74">
        <v>9.1480960000000003E-4</v>
      </c>
      <c r="EI73" s="74">
        <v>8.9691460000000005E-4</v>
      </c>
      <c r="EJ73" s="74">
        <v>8.7936950000000002E-4</v>
      </c>
      <c r="EK73" s="74">
        <v>8.6216720000000001E-4</v>
      </c>
      <c r="EL73" s="74">
        <v>8.4530130000000001E-4</v>
      </c>
      <c r="EM73" s="74">
        <v>8.287651E-4</v>
      </c>
      <c r="EN73" s="74">
        <v>8.1255209999999995E-4</v>
      </c>
      <c r="EO73" s="74">
        <v>7.966561E-4</v>
      </c>
      <c r="EP73" s="74">
        <v>7.8107090000000001E-4</v>
      </c>
      <c r="EQ73" s="74">
        <v>7.6579040000000005E-4</v>
      </c>
      <c r="ER73" s="74">
        <v>7.5080869999999997E-4</v>
      </c>
      <c r="ES73" s="74">
        <v>7.3611990000000001E-4</v>
      </c>
      <c r="ET73" s="74">
        <v>7.2171829999999998E-4</v>
      </c>
      <c r="EU73" s="74">
        <v>7.0759830000000003E-4</v>
      </c>
      <c r="EV73" s="74">
        <v>6.9375440000000001E-4</v>
      </c>
      <c r="EW73" s="74">
        <v>6.8018129999999997E-4</v>
      </c>
      <c r="EX73" s="74">
        <v>6.668736E-4</v>
      </c>
      <c r="EY73" s="74">
        <v>6.5382609999999996E-4</v>
      </c>
      <c r="EZ73" s="74">
        <v>6.410338E-4</v>
      </c>
      <c r="FA73" s="74">
        <v>6.284916E-4</v>
      </c>
      <c r="FB73" s="74">
        <v>6.1619470000000005E-4</v>
      </c>
      <c r="FC73" s="74">
        <v>6.0413839999999997E-4</v>
      </c>
      <c r="FD73" s="74">
        <v>5.9231780000000003E-4</v>
      </c>
      <c r="FE73" s="74">
        <v>5.807284E-4</v>
      </c>
      <c r="FF73" s="74">
        <v>5.6936569999999998E-4</v>
      </c>
      <c r="FG73" s="74">
        <v>5.5822529999999997E-4</v>
      </c>
      <c r="FH73" s="74">
        <v>5.4730269999999997E-4</v>
      </c>
      <c r="FI73" s="74">
        <v>5.3659379999999998E-4</v>
      </c>
      <c r="FJ73" s="74">
        <v>5.2609429999999995E-4</v>
      </c>
      <c r="FK73" s="74">
        <v>5.1580020000000003E-4</v>
      </c>
      <c r="FL73" s="74">
        <v>5.0570750000000005E-4</v>
      </c>
      <c r="FM73" s="74">
        <v>4.9581219999999995E-4</v>
      </c>
      <c r="FN73" s="74">
        <v>4.861105E-4</v>
      </c>
      <c r="FO73" s="74">
        <v>4.7659850000000001E-4</v>
      </c>
      <c r="FP73" s="74">
        <v>4.6727269999999999E-4</v>
      </c>
      <c r="FQ73" s="74">
        <v>4.581292E-4</v>
      </c>
    </row>
    <row r="74" spans="1:173" x14ac:dyDescent="0.25">
      <c r="A74" s="76">
        <v>72</v>
      </c>
      <c r="B74" s="74">
        <v>1.3734027899999999E-2</v>
      </c>
      <c r="C74" s="74">
        <v>1.35081843E-2</v>
      </c>
      <c r="D74" s="74">
        <v>1.3283669200000001E-2</v>
      </c>
      <c r="E74" s="74">
        <v>1.3060659800000001E-2</v>
      </c>
      <c r="F74" s="74">
        <v>1.28393177E-2</v>
      </c>
      <c r="G74" s="74">
        <v>1.2619789500000001E-2</v>
      </c>
      <c r="H74" s="74">
        <v>1.24022079E-2</v>
      </c>
      <c r="I74" s="74">
        <v>1.2186692400000001E-2</v>
      </c>
      <c r="J74" s="74">
        <v>1.19733505E-2</v>
      </c>
      <c r="K74" s="74">
        <v>1.1762278100000001E-2</v>
      </c>
      <c r="L74" s="74">
        <v>1.15535603E-2</v>
      </c>
      <c r="M74" s="74">
        <v>1.13472725E-2</v>
      </c>
      <c r="N74" s="74">
        <v>1.1143480799999999E-2</v>
      </c>
      <c r="O74" s="74">
        <v>1.09422423E-2</v>
      </c>
      <c r="P74" s="74">
        <v>1.07436066E-2</v>
      </c>
      <c r="Q74" s="74">
        <v>1.05476155E-2</v>
      </c>
      <c r="R74" s="74">
        <v>1.0354304E-2</v>
      </c>
      <c r="S74" s="74">
        <v>1.0163700600000001E-2</v>
      </c>
      <c r="T74" s="74">
        <v>9.9758280000000008E-3</v>
      </c>
      <c r="U74" s="74">
        <v>9.7907033999999997E-3</v>
      </c>
      <c r="V74" s="74">
        <v>9.6083389000000009E-3</v>
      </c>
      <c r="W74" s="74">
        <v>9.4287420000000004E-3</v>
      </c>
      <c r="X74" s="74">
        <v>9.2519158999999993E-3</v>
      </c>
      <c r="Y74" s="74">
        <v>9.0778600000000001E-3</v>
      </c>
      <c r="Z74" s="74">
        <v>8.9065697999999999E-3</v>
      </c>
      <c r="AA74" s="74">
        <v>8.7380376999999995E-3</v>
      </c>
      <c r="AB74" s="74">
        <v>8.5722530999999998E-3</v>
      </c>
      <c r="AC74" s="74">
        <v>8.4092026000000004E-3</v>
      </c>
      <c r="AD74" s="74">
        <v>8.2488703000000007E-3</v>
      </c>
      <c r="AE74" s="74">
        <v>8.0912381000000002E-3</v>
      </c>
      <c r="AF74" s="74">
        <v>7.9362857000000002E-3</v>
      </c>
      <c r="AG74" s="74">
        <v>7.7839909999999997E-3</v>
      </c>
      <c r="AH74" s="74">
        <v>7.6343302E-3</v>
      </c>
      <c r="AI74" s="74">
        <v>7.4872782999999997E-3</v>
      </c>
      <c r="AJ74" s="74">
        <v>7.3428084000000003E-3</v>
      </c>
      <c r="AK74" s="74">
        <v>7.2008929999999999E-3</v>
      </c>
      <c r="AL74" s="74">
        <v>7.0615030999999998E-3</v>
      </c>
      <c r="AM74" s="74">
        <v>6.924609E-3</v>
      </c>
      <c r="AN74" s="74">
        <v>6.7901801999999999E-3</v>
      </c>
      <c r="AO74" s="74">
        <v>6.6581853999999998E-3</v>
      </c>
      <c r="AP74" s="74">
        <v>6.5285928E-3</v>
      </c>
      <c r="AQ74" s="74">
        <v>6.40137E-3</v>
      </c>
      <c r="AR74" s="74">
        <v>6.2764843999999998E-3</v>
      </c>
      <c r="AS74" s="74">
        <v>6.1539029E-3</v>
      </c>
      <c r="AT74" s="74">
        <v>6.0335919999999999E-3</v>
      </c>
      <c r="AU74" s="74">
        <v>5.9155183000000004E-3</v>
      </c>
      <c r="AV74" s="74">
        <v>5.7996482000000002E-3</v>
      </c>
      <c r="AW74" s="74">
        <v>5.6859477999999996E-3</v>
      </c>
      <c r="AX74" s="74">
        <v>5.5743835000000002E-3</v>
      </c>
      <c r="AY74" s="74">
        <v>5.4649216000000004E-3</v>
      </c>
      <c r="AZ74" s="74">
        <v>5.3575282000000004E-3</v>
      </c>
      <c r="BA74" s="74">
        <v>5.2521699999999996E-3</v>
      </c>
      <c r="BB74" s="74">
        <v>5.1488135000000001E-3</v>
      </c>
      <c r="BC74" s="74">
        <v>5.0474255000000001E-3</v>
      </c>
      <c r="BD74" s="74">
        <v>4.9479729999999996E-3</v>
      </c>
      <c r="BE74" s="74">
        <v>4.8504231999999996E-3</v>
      </c>
      <c r="BF74" s="74">
        <v>4.7547435000000002E-3</v>
      </c>
      <c r="BG74" s="74">
        <v>4.6609017000000001E-3</v>
      </c>
      <c r="BH74" s="74">
        <v>4.5688659E-3</v>
      </c>
      <c r="BI74" s="74">
        <v>4.4786045000000003E-3</v>
      </c>
      <c r="BJ74" s="74">
        <v>4.3900861000000001E-3</v>
      </c>
      <c r="BK74" s="74">
        <v>4.3032799E-3</v>
      </c>
      <c r="BL74" s="74">
        <v>4.2181552000000004E-3</v>
      </c>
      <c r="BM74" s="74">
        <v>4.1346817999999997E-3</v>
      </c>
      <c r="BN74" s="74">
        <v>4.0528298000000003E-3</v>
      </c>
      <c r="BO74" s="74">
        <v>3.9725699000000003E-3</v>
      </c>
      <c r="BP74" s="74">
        <v>3.8938728999999999E-3</v>
      </c>
      <c r="BQ74" s="74">
        <v>3.8167102000000001E-3</v>
      </c>
      <c r="BR74" s="74">
        <v>3.7410536E-3</v>
      </c>
      <c r="BS74" s="74">
        <v>3.6668751E-3</v>
      </c>
      <c r="BT74" s="74">
        <v>3.5941473999999999E-3</v>
      </c>
      <c r="BU74" s="74">
        <v>3.5228434E-3</v>
      </c>
      <c r="BV74" s="74">
        <v>3.4529363999999999E-3</v>
      </c>
      <c r="BW74" s="74">
        <v>3.3844003000000002E-3</v>
      </c>
      <c r="BX74" s="74">
        <v>3.3172091999999999E-3</v>
      </c>
      <c r="BY74" s="74">
        <v>3.2513378999999999E-3</v>
      </c>
      <c r="BZ74" s="74">
        <v>3.1867611999999998E-3</v>
      </c>
      <c r="CA74" s="74">
        <v>3.1234546000000001E-3</v>
      </c>
      <c r="CB74" s="74">
        <v>3.0613939999999998E-3</v>
      </c>
      <c r="CC74" s="74">
        <v>3.0005556E-3</v>
      </c>
      <c r="CD74" s="74">
        <v>2.9409161000000001E-3</v>
      </c>
      <c r="CE74" s="74">
        <v>2.8824523999999999E-3</v>
      </c>
      <c r="CF74" s="74">
        <v>2.8251420000000001E-3</v>
      </c>
      <c r="CG74" s="74">
        <v>2.7689628000000001E-3</v>
      </c>
      <c r="CH74" s="74">
        <v>2.7138929000000002E-3</v>
      </c>
      <c r="CI74" s="74">
        <v>2.659911E-3</v>
      </c>
      <c r="CJ74" s="74">
        <v>2.6069959999999999E-3</v>
      </c>
      <c r="CK74" s="74">
        <v>2.5551273E-3</v>
      </c>
      <c r="CL74" s="74">
        <v>2.5042846000000001E-3</v>
      </c>
      <c r="CM74" s="74">
        <v>2.4544480000000001E-3</v>
      </c>
      <c r="CN74" s="74">
        <v>2.4055979000000001E-3</v>
      </c>
      <c r="CO74" s="74">
        <v>2.3577151999999999E-3</v>
      </c>
      <c r="CP74" s="74">
        <v>2.3107809E-3</v>
      </c>
      <c r="CQ74" s="74">
        <v>2.2647766999999998E-3</v>
      </c>
      <c r="CR74" s="74">
        <v>2.2196843000000001E-3</v>
      </c>
      <c r="CS74" s="74">
        <v>2.1754858999999999E-3</v>
      </c>
      <c r="CT74" s="74">
        <v>2.1321640000000002E-3</v>
      </c>
      <c r="CU74" s="74">
        <v>2.0897015E-3</v>
      </c>
      <c r="CV74" s="74">
        <v>2.0480814999999999E-3</v>
      </c>
      <c r="CW74" s="74">
        <v>2.0072876000000002E-3</v>
      </c>
      <c r="CX74" s="74">
        <v>1.9673033999999998E-3</v>
      </c>
      <c r="CY74" s="74">
        <v>1.9281131E-3</v>
      </c>
      <c r="CZ74" s="74">
        <v>1.8897011E-3</v>
      </c>
      <c r="DA74" s="74">
        <v>1.8520520000000001E-3</v>
      </c>
      <c r="DB74" s="74">
        <v>1.8151509000000001E-3</v>
      </c>
      <c r="DC74" s="74">
        <v>1.7789831000000001E-3</v>
      </c>
      <c r="DD74" s="74">
        <v>1.7435339999999999E-3</v>
      </c>
      <c r="DE74" s="74">
        <v>1.7087895E-3</v>
      </c>
      <c r="DF74" s="74">
        <v>1.6747358E-3</v>
      </c>
      <c r="DG74" s="74">
        <v>1.6413591E-3</v>
      </c>
      <c r="DH74" s="74">
        <v>1.6086461000000001E-3</v>
      </c>
      <c r="DI74" s="74">
        <v>1.5765836999999999E-3</v>
      </c>
      <c r="DJ74" s="74">
        <v>1.5451591E-3</v>
      </c>
      <c r="DK74" s="74">
        <v>1.5143596E-3</v>
      </c>
      <c r="DL74" s="74">
        <v>1.4841728E-3</v>
      </c>
      <c r="DM74" s="74">
        <v>1.4545866999999999E-3</v>
      </c>
      <c r="DN74" s="74">
        <v>1.4255894E-3</v>
      </c>
      <c r="DO74" s="74">
        <v>1.3971692E-3</v>
      </c>
      <c r="DP74" s="74">
        <v>1.3693145999999999E-3</v>
      </c>
      <c r="DQ74" s="74">
        <v>1.3420145000000001E-3</v>
      </c>
      <c r="DR74" s="74">
        <v>1.3152578000000001E-3</v>
      </c>
      <c r="DS74" s="74">
        <v>1.2890339000000001E-3</v>
      </c>
      <c r="DT74" s="74">
        <v>1.2633321000000001E-3</v>
      </c>
      <c r="DU74" s="74">
        <v>1.2381421000000001E-3</v>
      </c>
      <c r="DV74" s="74">
        <v>1.2134537E-3</v>
      </c>
      <c r="DW74" s="74">
        <v>1.189257E-3</v>
      </c>
      <c r="DX74" s="74">
        <v>1.1655421999999999E-3</v>
      </c>
      <c r="DY74" s="74">
        <v>1.1422998000000001E-3</v>
      </c>
      <c r="DZ74" s="74">
        <v>1.1195203E-3</v>
      </c>
      <c r="EA74" s="74">
        <v>1.0971946000000001E-3</v>
      </c>
      <c r="EB74" s="74">
        <v>1.0753137000000001E-3</v>
      </c>
      <c r="EC74" s="74">
        <v>1.0538686999999999E-3</v>
      </c>
      <c r="ED74" s="74">
        <v>1.032851E-3</v>
      </c>
      <c r="EE74" s="74">
        <v>1.0122521E-3</v>
      </c>
      <c r="EF74" s="74">
        <v>9.9206360000000005E-4</v>
      </c>
      <c r="EG74" s="74">
        <v>9.7227740000000004E-4</v>
      </c>
      <c r="EH74" s="74">
        <v>9.5288549999999995E-4</v>
      </c>
      <c r="EI74" s="74">
        <v>9.3388010000000003E-4</v>
      </c>
      <c r="EJ74" s="74">
        <v>9.1525340000000001E-4</v>
      </c>
      <c r="EK74" s="74">
        <v>8.9699799999999998E-4</v>
      </c>
      <c r="EL74" s="74">
        <v>8.7910639999999997E-4</v>
      </c>
      <c r="EM74" s="74">
        <v>8.6157149999999995E-4</v>
      </c>
      <c r="EN74" s="74">
        <v>8.4438600000000003E-4</v>
      </c>
      <c r="EO74" s="74">
        <v>8.2754319999999999E-4</v>
      </c>
      <c r="EP74" s="74">
        <v>8.1103600000000001E-4</v>
      </c>
      <c r="EQ74" s="74">
        <v>7.9485799999999996E-4</v>
      </c>
      <c r="ER74" s="74">
        <v>7.7900240000000002E-4</v>
      </c>
      <c r="ES74" s="74">
        <v>7.6346300000000003E-4</v>
      </c>
      <c r="ET74" s="74">
        <v>7.4823339999999998E-4</v>
      </c>
      <c r="EU74" s="74">
        <v>7.3330740000000002E-4</v>
      </c>
      <c r="EV74" s="74">
        <v>7.1867899999999995E-4</v>
      </c>
      <c r="EW74" s="74">
        <v>7.0434220000000001E-4</v>
      </c>
      <c r="EX74" s="74">
        <v>6.9029129999999999E-4</v>
      </c>
      <c r="EY74" s="74">
        <v>6.765206E-4</v>
      </c>
      <c r="EZ74" s="74">
        <v>6.6302449999999997E-4</v>
      </c>
      <c r="FA74" s="74">
        <v>6.4979739999999995E-4</v>
      </c>
      <c r="FB74" s="74">
        <v>6.3683420000000004E-4</v>
      </c>
      <c r="FC74" s="74">
        <v>6.2412939999999999E-4</v>
      </c>
      <c r="FD74" s="74">
        <v>6.1167800000000005E-4</v>
      </c>
      <c r="FE74" s="74">
        <v>5.994749E-4</v>
      </c>
      <c r="FF74" s="74">
        <v>5.875152E-4</v>
      </c>
      <c r="FG74" s="74">
        <v>5.7579389999999999E-4</v>
      </c>
      <c r="FH74" s="74">
        <v>5.6430650000000005E-4</v>
      </c>
      <c r="FI74" s="74">
        <v>5.5304810000000003E-4</v>
      </c>
      <c r="FJ74" s="74">
        <v>5.4201420000000002E-4</v>
      </c>
      <c r="FK74" s="74">
        <v>5.3120049999999996E-4</v>
      </c>
      <c r="FL74" s="74">
        <v>5.2060240000000003E-4</v>
      </c>
      <c r="FM74" s="74">
        <v>5.1021560000000005E-4</v>
      </c>
      <c r="FN74" s="74">
        <v>5.0003609999999996E-4</v>
      </c>
      <c r="FO74" s="74">
        <v>4.900595E-4</v>
      </c>
      <c r="FP74" s="74">
        <v>4.8028200000000001E-4</v>
      </c>
      <c r="FQ74" s="74">
        <v>4.706995E-4</v>
      </c>
    </row>
    <row r="75" spans="1:173" x14ac:dyDescent="0.25">
      <c r="A75" s="76">
        <v>73</v>
      </c>
      <c r="B75" s="74">
        <v>1.5288279599999999E-2</v>
      </c>
      <c r="C75" s="74">
        <v>1.5032305899999999E-2</v>
      </c>
      <c r="D75" s="74">
        <v>1.47780245E-2</v>
      </c>
      <c r="E75" s="74">
        <v>1.45256247E-2</v>
      </c>
      <c r="F75" s="74">
        <v>1.4275278799999999E-2</v>
      </c>
      <c r="G75" s="74">
        <v>1.40271422E-2</v>
      </c>
      <c r="H75" s="74">
        <v>1.37813556E-2</v>
      </c>
      <c r="I75" s="74">
        <v>1.3538045E-2</v>
      </c>
      <c r="J75" s="74">
        <v>1.3297323099999999E-2</v>
      </c>
      <c r="K75" s="74">
        <v>1.3059290100000001E-2</v>
      </c>
      <c r="L75" s="74">
        <v>1.28240347E-2</v>
      </c>
      <c r="M75" s="74">
        <v>1.2591634399999999E-2</v>
      </c>
      <c r="N75" s="74">
        <v>1.2362157E-2</v>
      </c>
      <c r="O75" s="74">
        <v>1.2135660499999999E-2</v>
      </c>
      <c r="P75" s="74">
        <v>1.1912194399999999E-2</v>
      </c>
      <c r="Q75" s="74">
        <v>1.16918001E-2</v>
      </c>
      <c r="R75" s="74">
        <v>1.14745114E-2</v>
      </c>
      <c r="S75" s="74">
        <v>1.12603554E-2</v>
      </c>
      <c r="T75" s="74">
        <v>1.10493525E-2</v>
      </c>
      <c r="U75" s="74">
        <v>1.0841517300000001E-2</v>
      </c>
      <c r="V75" s="74">
        <v>1.0636859E-2</v>
      </c>
      <c r="W75" s="74">
        <v>1.0435381800000001E-2</v>
      </c>
      <c r="X75" s="74">
        <v>1.0237085199999999E-2</v>
      </c>
      <c r="Y75" s="74">
        <v>1.00419646E-2</v>
      </c>
      <c r="Z75" s="74">
        <v>9.8500114000000007E-3</v>
      </c>
      <c r="AA75" s="74">
        <v>9.6612134999999998E-3</v>
      </c>
      <c r="AB75" s="74">
        <v>9.4755558000000004E-3</v>
      </c>
      <c r="AC75" s="74">
        <v>9.2930200000000008E-3</v>
      </c>
      <c r="AD75" s="74">
        <v>9.1135851999999996E-3</v>
      </c>
      <c r="AE75" s="74">
        <v>8.9372281999999994E-3</v>
      </c>
      <c r="AF75" s="74">
        <v>8.7639235999999992E-3</v>
      </c>
      <c r="AG75" s="74">
        <v>8.5936438E-3</v>
      </c>
      <c r="AH75" s="74">
        <v>8.4263598999999995E-3</v>
      </c>
      <c r="AI75" s="74">
        <v>8.2620409999999995E-3</v>
      </c>
      <c r="AJ75" s="74">
        <v>8.1006551999999992E-3</v>
      </c>
      <c r="AK75" s="74">
        <v>7.9421690000000007E-3</v>
      </c>
      <c r="AL75" s="74">
        <v>7.7865479999999999E-3</v>
      </c>
      <c r="AM75" s="74">
        <v>7.6337569999999997E-3</v>
      </c>
      <c r="AN75" s="74">
        <v>7.4837597999999998E-3</v>
      </c>
      <c r="AO75" s="74">
        <v>7.3365195999999999E-3</v>
      </c>
      <c r="AP75" s="74">
        <v>7.1919988000000001E-3</v>
      </c>
      <c r="AQ75" s="74">
        <v>7.0501597000000001E-3</v>
      </c>
      <c r="AR75" s="74">
        <v>6.9109638999999999E-3</v>
      </c>
      <c r="AS75" s="74">
        <v>6.7743728999999997E-3</v>
      </c>
      <c r="AT75" s="74">
        <v>6.6403479000000003E-3</v>
      </c>
      <c r="AU75" s="74">
        <v>6.5088498E-3</v>
      </c>
      <c r="AV75" s="74">
        <v>6.3798396000000002E-3</v>
      </c>
      <c r="AW75" s="74">
        <v>6.2532784000000003E-3</v>
      </c>
      <c r="AX75" s="74">
        <v>6.1291269000000002E-3</v>
      </c>
      <c r="AY75" s="74">
        <v>6.0073464000000003E-3</v>
      </c>
      <c r="AZ75" s="74">
        <v>5.8878979000000003E-3</v>
      </c>
      <c r="BA75" s="74">
        <v>5.7707428E-3</v>
      </c>
      <c r="BB75" s="74">
        <v>5.6558427000000001E-3</v>
      </c>
      <c r="BC75" s="74">
        <v>5.5431593000000003E-3</v>
      </c>
      <c r="BD75" s="74">
        <v>5.4326547999999997E-3</v>
      </c>
      <c r="BE75" s="74">
        <v>5.3242914999999998E-3</v>
      </c>
      <c r="BF75" s="74">
        <v>5.2180320999999997E-3</v>
      </c>
      <c r="BG75" s="74">
        <v>5.1138397E-3</v>
      </c>
      <c r="BH75" s="74">
        <v>5.0116776999999998E-3</v>
      </c>
      <c r="BI75" s="74">
        <v>4.91151E-3</v>
      </c>
      <c r="BJ75" s="74">
        <v>4.8133007000000002E-3</v>
      </c>
      <c r="BK75" s="74">
        <v>4.7170145999999996E-3</v>
      </c>
      <c r="BL75" s="74">
        <v>4.6226165999999997E-3</v>
      </c>
      <c r="BM75" s="74">
        <v>4.5300723999999997E-3</v>
      </c>
      <c r="BN75" s="74">
        <v>4.4393478999999996E-3</v>
      </c>
      <c r="BO75" s="74">
        <v>4.3504095000000001E-3</v>
      </c>
      <c r="BP75" s="74">
        <v>4.2632241E-3</v>
      </c>
      <c r="BQ75" s="74">
        <v>4.1777591000000001E-3</v>
      </c>
      <c r="BR75" s="74">
        <v>4.0939823999999996E-3</v>
      </c>
      <c r="BS75" s="74">
        <v>4.0118621999999998E-3</v>
      </c>
      <c r="BT75" s="74">
        <v>3.9313674E-3</v>
      </c>
      <c r="BU75" s="74">
        <v>3.8524672000000001E-3</v>
      </c>
      <c r="BV75" s="74">
        <v>3.7751313999999998E-3</v>
      </c>
      <c r="BW75" s="74">
        <v>3.6993301999999999E-3</v>
      </c>
      <c r="BX75" s="74">
        <v>3.6250344000000002E-3</v>
      </c>
      <c r="BY75" s="74">
        <v>3.5522151000000001E-3</v>
      </c>
      <c r="BZ75" s="74">
        <v>3.4808440999999999E-3</v>
      </c>
      <c r="CA75" s="74">
        <v>3.4108934E-3</v>
      </c>
      <c r="CB75" s="74">
        <v>3.3423357999999999E-3</v>
      </c>
      <c r="CC75" s="74">
        <v>3.2751441999999999E-3</v>
      </c>
      <c r="CD75" s="74">
        <v>3.2092923E-3</v>
      </c>
      <c r="CE75" s="74">
        <v>3.144754E-3</v>
      </c>
      <c r="CF75" s="74">
        <v>3.0815039000000001E-3</v>
      </c>
      <c r="CG75" s="74">
        <v>3.0195168000000001E-3</v>
      </c>
      <c r="CH75" s="74">
        <v>2.9587681000000001E-3</v>
      </c>
      <c r="CI75" s="74">
        <v>2.8992334999999999E-3</v>
      </c>
      <c r="CJ75" s="74">
        <v>2.8408894999999998E-3</v>
      </c>
      <c r="CK75" s="74">
        <v>2.7837125E-3</v>
      </c>
      <c r="CL75" s="74">
        <v>2.7276798000000001E-3</v>
      </c>
      <c r="CM75" s="74">
        <v>2.6727688000000001E-3</v>
      </c>
      <c r="CN75" s="74">
        <v>2.6189574E-3</v>
      </c>
      <c r="CO75" s="74">
        <v>2.5662240999999998E-3</v>
      </c>
      <c r="CP75" s="74">
        <v>2.5145475E-3</v>
      </c>
      <c r="CQ75" s="74">
        <v>2.4639067999999999E-3</v>
      </c>
      <c r="CR75" s="74">
        <v>2.4142815000000001E-3</v>
      </c>
      <c r="CS75" s="74">
        <v>2.3656516000000001E-3</v>
      </c>
      <c r="CT75" s="74">
        <v>2.3179972000000001E-3</v>
      </c>
      <c r="CU75" s="74">
        <v>2.2712992000000001E-3</v>
      </c>
      <c r="CV75" s="74">
        <v>2.2255385000000002E-3</v>
      </c>
      <c r="CW75" s="74">
        <v>2.1806964999999999E-3</v>
      </c>
      <c r="CX75" s="74">
        <v>2.1367551000000002E-3</v>
      </c>
      <c r="CY75" s="74">
        <v>2.0936962E-3</v>
      </c>
      <c r="CZ75" s="74">
        <v>2.0515022999999999E-3</v>
      </c>
      <c r="DA75" s="74">
        <v>2.0101562E-3</v>
      </c>
      <c r="DB75" s="74">
        <v>1.9696410999999999E-3</v>
      </c>
      <c r="DC75" s="74">
        <v>1.9299403000000001E-3</v>
      </c>
      <c r="DD75" s="74">
        <v>1.8910376999999999E-3</v>
      </c>
      <c r="DE75" s="74">
        <v>1.8529172E-3</v>
      </c>
      <c r="DF75" s="74">
        <v>1.8155634E-3</v>
      </c>
      <c r="DG75" s="74">
        <v>1.7789609000000001E-3</v>
      </c>
      <c r="DH75" s="74">
        <v>1.7430947E-3</v>
      </c>
      <c r="DI75" s="74">
        <v>1.70795E-3</v>
      </c>
      <c r="DJ75" s="74">
        <v>1.6735125E-3</v>
      </c>
      <c r="DK75" s="74">
        <v>1.639768E-3</v>
      </c>
      <c r="DL75" s="74">
        <v>1.6067026E-3</v>
      </c>
      <c r="DM75" s="74">
        <v>1.5743027000000001E-3</v>
      </c>
      <c r="DN75" s="74">
        <v>1.5425551E-3</v>
      </c>
      <c r="DO75" s="74">
        <v>1.5114466E-3</v>
      </c>
      <c r="DP75" s="74">
        <v>1.4809644999999999E-3</v>
      </c>
      <c r="DQ75" s="74">
        <v>1.4510961000000001E-3</v>
      </c>
      <c r="DR75" s="74">
        <v>1.4218293E-3</v>
      </c>
      <c r="DS75" s="74">
        <v>1.3931518000000001E-3</v>
      </c>
      <c r="DT75" s="74">
        <v>1.3650520000000001E-3</v>
      </c>
      <c r="DU75" s="74">
        <v>1.3375182000000001E-3</v>
      </c>
      <c r="DV75" s="74">
        <v>1.3105390000000001E-3</v>
      </c>
      <c r="DW75" s="74">
        <v>1.2841033000000001E-3</v>
      </c>
      <c r="DX75" s="74">
        <v>1.2582003E-3</v>
      </c>
      <c r="DY75" s="74">
        <v>1.2328191E-3</v>
      </c>
      <c r="DZ75" s="74">
        <v>1.2079494E-3</v>
      </c>
      <c r="EA75" s="74">
        <v>1.1835808999999999E-3</v>
      </c>
      <c r="EB75" s="74">
        <v>1.1597033999999999E-3</v>
      </c>
      <c r="EC75" s="74">
        <v>1.1363071000000001E-3</v>
      </c>
      <c r="ED75" s="74">
        <v>1.1133823999999999E-3</v>
      </c>
      <c r="EE75" s="74">
        <v>1.0909197999999999E-3</v>
      </c>
      <c r="EF75" s="74">
        <v>1.0689098999999999E-3</v>
      </c>
      <c r="EG75" s="74">
        <v>1.0473437000000001E-3</v>
      </c>
      <c r="EH75" s="74">
        <v>1.0262123E-3</v>
      </c>
      <c r="EI75" s="74">
        <v>1.0055068E-3</v>
      </c>
      <c r="EJ75" s="74">
        <v>9.852188E-4</v>
      </c>
      <c r="EK75" s="74">
        <v>9.6533980000000001E-4</v>
      </c>
      <c r="EL75" s="74">
        <v>9.4586159999999998E-4</v>
      </c>
      <c r="EM75" s="74">
        <v>9.2677619999999999E-4</v>
      </c>
      <c r="EN75" s="74">
        <v>9.080755E-4</v>
      </c>
      <c r="EO75" s="74">
        <v>8.8975199999999995E-4</v>
      </c>
      <c r="EP75" s="74">
        <v>8.7179800000000002E-4</v>
      </c>
      <c r="EQ75" s="74">
        <v>8.5420600000000004E-4</v>
      </c>
      <c r="ER75" s="74">
        <v>8.3696879999999995E-4</v>
      </c>
      <c r="ES75" s="74">
        <v>8.2007919999999999E-4</v>
      </c>
      <c r="ET75" s="74">
        <v>8.0353029999999999E-4</v>
      </c>
      <c r="EU75" s="74">
        <v>7.8731510000000005E-4</v>
      </c>
      <c r="EV75" s="74">
        <v>7.7142689999999995E-4</v>
      </c>
      <c r="EW75" s="74">
        <v>7.5585919999999996E-4</v>
      </c>
      <c r="EX75" s="74">
        <v>7.4060559999999996E-4</v>
      </c>
      <c r="EY75" s="74">
        <v>7.2565949999999998E-4</v>
      </c>
      <c r="EZ75" s="74">
        <v>7.1101499999999995E-4</v>
      </c>
      <c r="FA75" s="74">
        <v>6.9666590000000005E-4</v>
      </c>
      <c r="FB75" s="74">
        <v>6.8260619999999995E-4</v>
      </c>
      <c r="FC75" s="74">
        <v>6.6883009999999996E-4</v>
      </c>
      <c r="FD75" s="74">
        <v>6.5533189999999997E-4</v>
      </c>
      <c r="FE75" s="74">
        <v>6.4210609999999996E-4</v>
      </c>
      <c r="FF75" s="74">
        <v>6.2914700000000004E-4</v>
      </c>
      <c r="FG75" s="74">
        <v>6.1644939999999995E-4</v>
      </c>
      <c r="FH75" s="74">
        <v>6.0400790000000003E-4</v>
      </c>
      <c r="FI75" s="74">
        <v>5.9181749999999997E-4</v>
      </c>
      <c r="FJ75" s="74">
        <v>5.7987299999999996E-4</v>
      </c>
      <c r="FK75" s="74">
        <v>5.6816950000000005E-4</v>
      </c>
      <c r="FL75" s="74">
        <v>5.5670209999999999E-4</v>
      </c>
      <c r="FM75" s="74">
        <v>5.4546610000000002E-4</v>
      </c>
      <c r="FN75" s="74">
        <v>5.3445680000000005E-4</v>
      </c>
      <c r="FO75" s="74">
        <v>5.2366960000000003E-4</v>
      </c>
      <c r="FP75" s="74">
        <v>5.1310009999999998E-4</v>
      </c>
      <c r="FQ75" s="74">
        <v>5.027438E-4</v>
      </c>
    </row>
    <row r="76" spans="1:173" x14ac:dyDescent="0.25">
      <c r="A76" s="76">
        <v>74</v>
      </c>
      <c r="B76" s="74">
        <v>1.6988263100000001E-2</v>
      </c>
      <c r="C76" s="74">
        <v>1.6697722299999999E-2</v>
      </c>
      <c r="D76" s="74">
        <v>1.6409349199999999E-2</v>
      </c>
      <c r="E76" s="74">
        <v>1.61233434E-2</v>
      </c>
      <c r="F76" s="74">
        <v>1.5839885599999999E-2</v>
      </c>
      <c r="G76" s="74">
        <v>1.5559138700000001E-2</v>
      </c>
      <c r="H76" s="74">
        <v>1.5281249E-2</v>
      </c>
      <c r="I76" s="74">
        <v>1.5006347099999999E-2</v>
      </c>
      <c r="J76" s="74">
        <v>1.4734549E-2</v>
      </c>
      <c r="K76" s="74">
        <v>1.44659574E-2</v>
      </c>
      <c r="L76" s="74">
        <v>1.4200661999999999E-2</v>
      </c>
      <c r="M76" s="74">
        <v>1.3938740999999999E-2</v>
      </c>
      <c r="N76" s="74">
        <v>1.3680261500000001E-2</v>
      </c>
      <c r="O76" s="74">
        <v>1.3425280499999999E-2</v>
      </c>
      <c r="P76" s="74">
        <v>1.3173845599999999E-2</v>
      </c>
      <c r="Q76" s="74">
        <v>1.29259956E-2</v>
      </c>
      <c r="R76" s="74">
        <v>1.26817614E-2</v>
      </c>
      <c r="S76" s="74">
        <v>1.24411664E-2</v>
      </c>
      <c r="T76" s="74">
        <v>1.22042269E-2</v>
      </c>
      <c r="U76" s="74">
        <v>1.19709533E-2</v>
      </c>
      <c r="V76" s="74">
        <v>1.1741349700000001E-2</v>
      </c>
      <c r="W76" s="74">
        <v>1.15154153E-2</v>
      </c>
      <c r="X76" s="74">
        <v>1.1293144099999999E-2</v>
      </c>
      <c r="Y76" s="74">
        <v>1.1074525700000001E-2</v>
      </c>
      <c r="Z76" s="74">
        <v>1.0859545700000001E-2</v>
      </c>
      <c r="AA76" s="74">
        <v>1.0648185900000001E-2</v>
      </c>
      <c r="AB76" s="74">
        <v>1.04404246E-2</v>
      </c>
      <c r="AC76" s="74">
        <v>1.0236237299999999E-2</v>
      </c>
      <c r="AD76" s="74">
        <v>1.0035596500000001E-2</v>
      </c>
      <c r="AE76" s="74">
        <v>9.8384721000000005E-3</v>
      </c>
      <c r="AF76" s="74">
        <v>9.6448321000000004E-3</v>
      </c>
      <c r="AG76" s="74">
        <v>9.4546421000000005E-3</v>
      </c>
      <c r="AH76" s="74">
        <v>9.2678662000000005E-3</v>
      </c>
      <c r="AI76" s="74">
        <v>9.0844666000000004E-3</v>
      </c>
      <c r="AJ76" s="74">
        <v>8.9044044999999992E-3</v>
      </c>
      <c r="AK76" s="74">
        <v>8.7276394000000007E-3</v>
      </c>
      <c r="AL76" s="74">
        <v>8.5541300999999997E-3</v>
      </c>
      <c r="AM76" s="74">
        <v>8.3838343000000003E-3</v>
      </c>
      <c r="AN76" s="74">
        <v>8.2167088999999995E-3</v>
      </c>
      <c r="AO76" s="74">
        <v>8.0527102000000003E-3</v>
      </c>
      <c r="AP76" s="74">
        <v>7.8917940000000006E-3</v>
      </c>
      <c r="AQ76" s="74">
        <v>7.7339156999999999E-3</v>
      </c>
      <c r="AR76" s="74">
        <v>7.5790301000000001E-3</v>
      </c>
      <c r="AS76" s="74">
        <v>7.4270919999999997E-3</v>
      </c>
      <c r="AT76" s="74">
        <v>7.2780559999999998E-3</v>
      </c>
      <c r="AU76" s="74">
        <v>7.1318765999999999E-3</v>
      </c>
      <c r="AV76" s="74">
        <v>6.9885082999999997E-3</v>
      </c>
      <c r="AW76" s="74">
        <v>6.8479055999999998E-3</v>
      </c>
      <c r="AX76" s="74">
        <v>6.7100231999999999E-3</v>
      </c>
      <c r="AY76" s="74">
        <v>6.5748159000000002E-3</v>
      </c>
      <c r="AZ76" s="74">
        <v>6.4422387000000001E-3</v>
      </c>
      <c r="BA76" s="74">
        <v>6.312247E-3</v>
      </c>
      <c r="BB76" s="74">
        <v>6.1847962000000003E-3</v>
      </c>
      <c r="BC76" s="74">
        <v>6.0598424000000003E-3</v>
      </c>
      <c r="BD76" s="74">
        <v>5.9373417999999999E-3</v>
      </c>
      <c r="BE76" s="74">
        <v>5.8172511000000003E-3</v>
      </c>
      <c r="BF76" s="74">
        <v>5.6995275E-3</v>
      </c>
      <c r="BG76" s="74">
        <v>5.5841283000000004E-3</v>
      </c>
      <c r="BH76" s="74">
        <v>5.4710117000000003E-3</v>
      </c>
      <c r="BI76" s="74">
        <v>5.3601361999999998E-3</v>
      </c>
      <c r="BJ76" s="74">
        <v>5.2514607000000001E-3</v>
      </c>
      <c r="BK76" s="74">
        <v>5.1449447000000001E-3</v>
      </c>
      <c r="BL76" s="74">
        <v>5.0405483999999999E-3</v>
      </c>
      <c r="BM76" s="74">
        <v>4.9382321999999999E-3</v>
      </c>
      <c r="BN76" s="74">
        <v>4.8379571999999996E-3</v>
      </c>
      <c r="BO76" s="74">
        <v>4.7396851E-3</v>
      </c>
      <c r="BP76" s="74">
        <v>4.6433782000000002E-3</v>
      </c>
      <c r="BQ76" s="74">
        <v>4.5489991000000002E-3</v>
      </c>
      <c r="BR76" s="74">
        <v>4.4565113000000003E-3</v>
      </c>
      <c r="BS76" s="74">
        <v>4.3658786000000003E-3</v>
      </c>
      <c r="BT76" s="74">
        <v>4.2770654000000002E-3</v>
      </c>
      <c r="BU76" s="74">
        <v>4.1900369000000002E-3</v>
      </c>
      <c r="BV76" s="74">
        <v>4.1047586000000002E-3</v>
      </c>
      <c r="BW76" s="74">
        <v>4.0211965999999997E-3</v>
      </c>
      <c r="BX76" s="74">
        <v>3.9393177000000001E-3</v>
      </c>
      <c r="BY76" s="74">
        <v>3.8590891E-3</v>
      </c>
      <c r="BZ76" s="74">
        <v>3.7804788000000001E-3</v>
      </c>
      <c r="CA76" s="74">
        <v>3.703455E-3</v>
      </c>
      <c r="CB76" s="74">
        <v>3.6279866999999999E-3</v>
      </c>
      <c r="CC76" s="74">
        <v>3.5540433999999999E-3</v>
      </c>
      <c r="CD76" s="74">
        <v>3.4815951000000001E-3</v>
      </c>
      <c r="CE76" s="74">
        <v>3.4106124000000001E-3</v>
      </c>
      <c r="CF76" s="74">
        <v>3.3410662999999998E-3</v>
      </c>
      <c r="CG76" s="74">
        <v>3.2729284000000002E-3</v>
      </c>
      <c r="CH76" s="74">
        <v>3.2061708999999998E-3</v>
      </c>
      <c r="CI76" s="74">
        <v>3.1407662999999998E-3</v>
      </c>
      <c r="CJ76" s="74">
        <v>3.0766879000000001E-3</v>
      </c>
      <c r="CK76" s="74">
        <v>3.0139091E-3</v>
      </c>
      <c r="CL76" s="74">
        <v>2.9524043000000002E-3</v>
      </c>
      <c r="CM76" s="74">
        <v>2.8921478000000001E-3</v>
      </c>
      <c r="CN76" s="74">
        <v>2.8331149000000002E-3</v>
      </c>
      <c r="CO76" s="74">
        <v>2.7752811000000001E-3</v>
      </c>
      <c r="CP76" s="74">
        <v>2.7186224000000001E-3</v>
      </c>
      <c r="CQ76" s="74">
        <v>2.6631151999999998E-3</v>
      </c>
      <c r="CR76" s="74">
        <v>2.6087365000000001E-3</v>
      </c>
      <c r="CS76" s="74">
        <v>2.5554636000000002E-3</v>
      </c>
      <c r="CT76" s="74">
        <v>2.5032742999999999E-3</v>
      </c>
      <c r="CU76" s="74">
        <v>2.4521467999999999E-3</v>
      </c>
      <c r="CV76" s="74">
        <v>2.4020598000000001E-3</v>
      </c>
      <c r="CW76" s="74">
        <v>2.3529924000000001E-3</v>
      </c>
      <c r="CX76" s="74">
        <v>2.3049238999999998E-3</v>
      </c>
      <c r="CY76" s="74">
        <v>2.2578342999999999E-3</v>
      </c>
      <c r="CZ76" s="74">
        <v>2.2117038E-3</v>
      </c>
      <c r="DA76" s="74">
        <v>2.1665131000000002E-3</v>
      </c>
      <c r="DB76" s="74">
        <v>2.1222430999999998E-3</v>
      </c>
      <c r="DC76" s="74">
        <v>2.0788753000000001E-3</v>
      </c>
      <c r="DD76" s="74">
        <v>2.0363913999999999E-3</v>
      </c>
      <c r="DE76" s="74">
        <v>1.9947735000000002E-3</v>
      </c>
      <c r="DF76" s="74">
        <v>1.9540042000000001E-3</v>
      </c>
      <c r="DG76" s="74">
        <v>1.9140661999999999E-3</v>
      </c>
      <c r="DH76" s="74">
        <v>1.8749426999999999E-3</v>
      </c>
      <c r="DI76" s="74">
        <v>1.8366172000000001E-3</v>
      </c>
      <c r="DJ76" s="74">
        <v>1.7990733999999999E-3</v>
      </c>
      <c r="DK76" s="74">
        <v>1.7622956999999999E-3</v>
      </c>
      <c r="DL76" s="74">
        <v>1.7262683000000001E-3</v>
      </c>
      <c r="DM76" s="74">
        <v>1.6909761000000001E-3</v>
      </c>
      <c r="DN76" s="74">
        <v>1.6564042000000001E-3</v>
      </c>
      <c r="DO76" s="74">
        <v>1.6225378999999999E-3</v>
      </c>
      <c r="DP76" s="74">
        <v>1.5893629000000001E-3</v>
      </c>
      <c r="DQ76" s="74">
        <v>1.5568652E-3</v>
      </c>
      <c r="DR76" s="74">
        <v>1.5250309E-3</v>
      </c>
      <c r="DS76" s="74">
        <v>1.4938466000000001E-3</v>
      </c>
      <c r="DT76" s="74">
        <v>1.4632991E-3</v>
      </c>
      <c r="DU76" s="74">
        <v>1.4333754000000001E-3</v>
      </c>
      <c r="DV76" s="74">
        <v>1.4040629000000001E-3</v>
      </c>
      <c r="DW76" s="74">
        <v>1.3753490000000001E-3</v>
      </c>
      <c r="DX76" s="74">
        <v>1.3472216E-3</v>
      </c>
      <c r="DY76" s="74">
        <v>1.3196688E-3</v>
      </c>
      <c r="DZ76" s="74">
        <v>1.2926788000000001E-3</v>
      </c>
      <c r="EA76" s="74">
        <v>1.2662401999999999E-3</v>
      </c>
      <c r="EB76" s="74">
        <v>1.2403417999999999E-3</v>
      </c>
      <c r="EC76" s="74">
        <v>1.2149725999999999E-3</v>
      </c>
      <c r="ED76" s="74">
        <v>1.1901217E-3</v>
      </c>
      <c r="EE76" s="74">
        <v>1.1657785999999999E-3</v>
      </c>
      <c r="EF76" s="74">
        <v>1.1419329999999999E-3</v>
      </c>
      <c r="EG76" s="74">
        <v>1.1185747E-3</v>
      </c>
      <c r="EH76" s="74">
        <v>1.0956938000000001E-3</v>
      </c>
      <c r="EI76" s="74">
        <v>1.0732806E-3</v>
      </c>
      <c r="EJ76" s="74">
        <v>1.0513254E-3</v>
      </c>
      <c r="EK76" s="74">
        <v>1.029819E-3</v>
      </c>
      <c r="EL76" s="74">
        <v>1.0087522E-3</v>
      </c>
      <c r="EM76" s="74">
        <v>9.8811610000000007E-4</v>
      </c>
      <c r="EN76" s="74">
        <v>9.6790180000000002E-4</v>
      </c>
      <c r="EO76" s="74">
        <v>9.4810070000000003E-4</v>
      </c>
      <c r="EP76" s="74">
        <v>9.2870449999999998E-4</v>
      </c>
      <c r="EQ76" s="74">
        <v>9.0970479999999995E-4</v>
      </c>
      <c r="ER76" s="74">
        <v>8.9109360000000002E-4</v>
      </c>
      <c r="ES76" s="74">
        <v>8.7286289999999995E-4</v>
      </c>
      <c r="ET76" s="74">
        <v>8.5500490000000001E-4</v>
      </c>
      <c r="EU76" s="74">
        <v>8.3751210000000003E-4</v>
      </c>
      <c r="EV76" s="74">
        <v>8.2037699999999996E-4</v>
      </c>
      <c r="EW76" s="74">
        <v>8.0359229999999999E-4</v>
      </c>
      <c r="EX76" s="74">
        <v>7.8715079999999997E-4</v>
      </c>
      <c r="EY76" s="74">
        <v>7.710455E-4</v>
      </c>
      <c r="EZ76" s="74">
        <v>7.5526960000000002E-4</v>
      </c>
      <c r="FA76" s="74">
        <v>7.3981619999999998E-4</v>
      </c>
      <c r="FB76" s="74">
        <v>7.2467899999999999E-4</v>
      </c>
      <c r="FC76" s="74">
        <v>7.0985130000000005E-4</v>
      </c>
      <c r="FD76" s="74">
        <v>6.9532679999999996E-4</v>
      </c>
      <c r="FE76" s="74">
        <v>6.8109949999999996E-4</v>
      </c>
      <c r="FF76" s="74">
        <v>6.6716309999999995E-4</v>
      </c>
      <c r="FG76" s="74">
        <v>6.5351169999999998E-4</v>
      </c>
      <c r="FH76" s="74">
        <v>6.4013959999999995E-4</v>
      </c>
      <c r="FI76" s="74">
        <v>6.2704099999999995E-4</v>
      </c>
      <c r="FJ76" s="74">
        <v>6.1421030000000001E-4</v>
      </c>
      <c r="FK76" s="74">
        <v>6.0164210000000003E-4</v>
      </c>
      <c r="FL76" s="74">
        <v>5.8933089999999998E-4</v>
      </c>
      <c r="FM76" s="74">
        <v>5.7727159999999996E-4</v>
      </c>
      <c r="FN76" s="74">
        <v>5.654589E-4</v>
      </c>
      <c r="FO76" s="74">
        <v>5.5388789999999996E-4</v>
      </c>
      <c r="FP76" s="74">
        <v>5.4255359999999997E-4</v>
      </c>
      <c r="FQ76" s="74">
        <v>5.3145120000000002E-4</v>
      </c>
    </row>
    <row r="77" spans="1:173" x14ac:dyDescent="0.25">
      <c r="A77" s="76">
        <v>75</v>
      </c>
      <c r="B77" s="74">
        <v>1.9055742399999999E-2</v>
      </c>
      <c r="C77" s="74">
        <v>1.8728960900000001E-2</v>
      </c>
      <c r="D77" s="74">
        <v>1.8404613399999999E-2</v>
      </c>
      <c r="E77" s="74">
        <v>1.8082925999999999E-2</v>
      </c>
      <c r="F77" s="74">
        <v>1.7764103400000002E-2</v>
      </c>
      <c r="G77" s="74">
        <v>1.7448330000000001E-2</v>
      </c>
      <c r="H77" s="74">
        <v>1.7135771500000001E-2</v>
      </c>
      <c r="I77" s="74">
        <v>1.6826575900000001E-2</v>
      </c>
      <c r="J77" s="74">
        <v>1.6520874800000002E-2</v>
      </c>
      <c r="K77" s="74">
        <v>1.6218784300000001E-2</v>
      </c>
      <c r="L77" s="74">
        <v>1.5920406200000001E-2</v>
      </c>
      <c r="M77" s="74">
        <v>1.5625829099999999E-2</v>
      </c>
      <c r="N77" s="74">
        <v>1.53351292E-2</v>
      </c>
      <c r="O77" s="74">
        <v>1.5048371099999999E-2</v>
      </c>
      <c r="P77" s="74">
        <v>1.4765608899999999E-2</v>
      </c>
      <c r="Q77" s="74">
        <v>1.4486886500000001E-2</v>
      </c>
      <c r="R77" s="74">
        <v>1.4212239200000001E-2</v>
      </c>
      <c r="S77" s="74">
        <v>1.39416934E-2</v>
      </c>
      <c r="T77" s="74">
        <v>1.36752679E-2</v>
      </c>
      <c r="U77" s="74">
        <v>1.34129744E-2</v>
      </c>
      <c r="V77" s="74">
        <v>1.3154817900000001E-2</v>
      </c>
      <c r="W77" s="74">
        <v>1.2900797300000001E-2</v>
      </c>
      <c r="X77" s="74">
        <v>1.26509063E-2</v>
      </c>
      <c r="Y77" s="74">
        <v>1.2405133E-2</v>
      </c>
      <c r="Z77" s="74">
        <v>1.21634612E-2</v>
      </c>
      <c r="AA77" s="74">
        <v>1.19258705E-2</v>
      </c>
      <c r="AB77" s="74">
        <v>1.16923366E-2</v>
      </c>
      <c r="AC77" s="74">
        <v>1.1462831499999999E-2</v>
      </c>
      <c r="AD77" s="74">
        <v>1.12373244E-2</v>
      </c>
      <c r="AE77" s="74">
        <v>1.10157815E-2</v>
      </c>
      <c r="AF77" s="74">
        <v>1.07981663E-2</v>
      </c>
      <c r="AG77" s="74">
        <v>1.05844402E-2</v>
      </c>
      <c r="AH77" s="74">
        <v>1.03745626E-2</v>
      </c>
      <c r="AI77" s="74">
        <v>1.0168491E-2</v>
      </c>
      <c r="AJ77" s="74">
        <v>9.9661812000000002E-3</v>
      </c>
      <c r="AK77" s="74">
        <v>9.7675877999999997E-3</v>
      </c>
      <c r="AL77" s="74">
        <v>9.5726639999999998E-3</v>
      </c>
      <c r="AM77" s="74">
        <v>9.3813621999999999E-3</v>
      </c>
      <c r="AN77" s="74">
        <v>9.1936337000000003E-3</v>
      </c>
      <c r="AO77" s="74">
        <v>9.0094289999999994E-3</v>
      </c>
      <c r="AP77" s="74">
        <v>8.8286982999999999E-3</v>
      </c>
      <c r="AQ77" s="74">
        <v>8.6513909999999996E-3</v>
      </c>
      <c r="AR77" s="74">
        <v>8.4774562000000005E-3</v>
      </c>
      <c r="AS77" s="74">
        <v>8.3068428000000003E-3</v>
      </c>
      <c r="AT77" s="74">
        <v>8.1394994999999994E-3</v>
      </c>
      <c r="AU77" s="74">
        <v>7.9753749000000002E-3</v>
      </c>
      <c r="AV77" s="74">
        <v>7.8144175999999999E-3</v>
      </c>
      <c r="AW77" s="74">
        <v>7.6565760999999996E-3</v>
      </c>
      <c r="AX77" s="74">
        <v>7.5017992999999996E-3</v>
      </c>
      <c r="AY77" s="74">
        <v>7.3500361000000004E-3</v>
      </c>
      <c r="AZ77" s="74">
        <v>7.2012357000000001E-3</v>
      </c>
      <c r="BA77" s="74">
        <v>7.0553476000000002E-3</v>
      </c>
      <c r="BB77" s="74">
        <v>6.9123214999999997E-3</v>
      </c>
      <c r="BC77" s="74">
        <v>6.7721077999999997E-3</v>
      </c>
      <c r="BD77" s="74">
        <v>6.6346570000000004E-3</v>
      </c>
      <c r="BE77" s="74">
        <v>6.4999200999999998E-3</v>
      </c>
      <c r="BF77" s="74">
        <v>6.3678488E-3</v>
      </c>
      <c r="BG77" s="74">
        <v>6.2383949999999999E-3</v>
      </c>
      <c r="BH77" s="74">
        <v>6.1115112999999997E-3</v>
      </c>
      <c r="BI77" s="74">
        <v>5.9871508000000004E-3</v>
      </c>
      <c r="BJ77" s="74">
        <v>5.8652673000000001E-3</v>
      </c>
      <c r="BK77" s="74">
        <v>5.7458149E-3</v>
      </c>
      <c r="BL77" s="74">
        <v>5.6287485E-3</v>
      </c>
      <c r="BM77" s="74">
        <v>5.5140236999999996E-3</v>
      </c>
      <c r="BN77" s="74">
        <v>5.4015964E-3</v>
      </c>
      <c r="BO77" s="74">
        <v>5.2914232999999996E-3</v>
      </c>
      <c r="BP77" s="74">
        <v>5.1834617999999997E-3</v>
      </c>
      <c r="BQ77" s="74">
        <v>5.0776698999999998E-3</v>
      </c>
      <c r="BR77" s="74">
        <v>4.9740061E-3</v>
      </c>
      <c r="BS77" s="74">
        <v>4.8724296000000004E-3</v>
      </c>
      <c r="BT77" s="74">
        <v>4.7729004000000002E-3</v>
      </c>
      <c r="BU77" s="74">
        <v>4.6753788999999999E-3</v>
      </c>
      <c r="BV77" s="74">
        <v>4.5798263999999997E-3</v>
      </c>
      <c r="BW77" s="74">
        <v>4.4862045000000003E-3</v>
      </c>
      <c r="BX77" s="74">
        <v>4.3944758000000004E-3</v>
      </c>
      <c r="BY77" s="74">
        <v>4.3046033000000003E-3</v>
      </c>
      <c r="BZ77" s="74">
        <v>4.2165505999999997E-3</v>
      </c>
      <c r="CA77" s="74">
        <v>4.1302821999999999E-3</v>
      </c>
      <c r="CB77" s="74">
        <v>4.0457629000000004E-3</v>
      </c>
      <c r="CC77" s="74">
        <v>3.9629582999999996E-3</v>
      </c>
      <c r="CD77" s="74">
        <v>3.8818346E-3</v>
      </c>
      <c r="CE77" s="74">
        <v>3.8023585000000002E-3</v>
      </c>
      <c r="CF77" s="74">
        <v>3.7244973999999999E-3</v>
      </c>
      <c r="CG77" s="74">
        <v>3.6482191999999999E-3</v>
      </c>
      <c r="CH77" s="74">
        <v>3.5734924999999999E-3</v>
      </c>
      <c r="CI77" s="74">
        <v>3.5002865000000002E-3</v>
      </c>
      <c r="CJ77" s="74">
        <v>3.4285706999999999E-3</v>
      </c>
      <c r="CK77" s="74">
        <v>3.3583154999999999E-3</v>
      </c>
      <c r="CL77" s="74">
        <v>3.2894917000000001E-3</v>
      </c>
      <c r="CM77" s="74">
        <v>3.2220705999999998E-3</v>
      </c>
      <c r="CN77" s="74">
        <v>3.1560239999999999E-3</v>
      </c>
      <c r="CO77" s="74">
        <v>3.0913245000000001E-3</v>
      </c>
      <c r="CP77" s="74">
        <v>3.0279449000000002E-3</v>
      </c>
      <c r="CQ77" s="74">
        <v>2.9658587999999999E-3</v>
      </c>
      <c r="CR77" s="74">
        <v>2.9050400999999998E-3</v>
      </c>
      <c r="CS77" s="74">
        <v>2.8454633E-3</v>
      </c>
      <c r="CT77" s="74">
        <v>2.7871033000000001E-3</v>
      </c>
      <c r="CU77" s="74">
        <v>2.7299355999999999E-3</v>
      </c>
      <c r="CV77" s="74">
        <v>2.6739361000000001E-3</v>
      </c>
      <c r="CW77" s="74">
        <v>2.6190812000000002E-3</v>
      </c>
      <c r="CX77" s="74">
        <v>2.5653478000000002E-3</v>
      </c>
      <c r="CY77" s="74">
        <v>2.5127130999999998E-3</v>
      </c>
      <c r="CZ77" s="74">
        <v>2.4611549E-3</v>
      </c>
      <c r="DA77" s="74">
        <v>2.4106514999999999E-3</v>
      </c>
      <c r="DB77" s="74">
        <v>2.3611813000000001E-3</v>
      </c>
      <c r="DC77" s="74">
        <v>2.3127235000000002E-3</v>
      </c>
      <c r="DD77" s="74">
        <v>2.2652574999999999E-3</v>
      </c>
      <c r="DE77" s="74">
        <v>2.2187630999999999E-3</v>
      </c>
      <c r="DF77" s="74">
        <v>2.1732205999999998E-3</v>
      </c>
      <c r="DG77" s="74">
        <v>2.1286107000000002E-3</v>
      </c>
      <c r="DH77" s="74">
        <v>2.0849143999999999E-3</v>
      </c>
      <c r="DI77" s="74">
        <v>2.0421130999999999E-3</v>
      </c>
      <c r="DJ77" s="74">
        <v>2.0001886000000002E-3</v>
      </c>
      <c r="DK77" s="74">
        <v>1.9591231000000001E-3</v>
      </c>
      <c r="DL77" s="74">
        <v>1.9188988999999999E-3</v>
      </c>
      <c r="DM77" s="74">
        <v>1.8794991E-3</v>
      </c>
      <c r="DN77" s="74">
        <v>1.8409067E-3</v>
      </c>
      <c r="DO77" s="74">
        <v>1.8031054000000001E-3</v>
      </c>
      <c r="DP77" s="74">
        <v>1.7660789E-3</v>
      </c>
      <c r="DQ77" s="74">
        <v>1.7298115000000001E-3</v>
      </c>
      <c r="DR77" s="74">
        <v>1.6942877000000001E-3</v>
      </c>
      <c r="DS77" s="74">
        <v>1.6594922999999999E-3</v>
      </c>
      <c r="DT77" s="74">
        <v>1.6254105E-3</v>
      </c>
      <c r="DU77" s="74">
        <v>1.5920276E-3</v>
      </c>
      <c r="DV77" s="74">
        <v>1.5593293E-3</v>
      </c>
      <c r="DW77" s="74">
        <v>1.5273018000000001E-3</v>
      </c>
      <c r="DX77" s="74">
        <v>1.4959311999999999E-3</v>
      </c>
      <c r="DY77" s="74">
        <v>1.4652040999999999E-3</v>
      </c>
      <c r="DZ77" s="74">
        <v>1.4351075000000001E-3</v>
      </c>
      <c r="EA77" s="74">
        <v>1.4056283E-3</v>
      </c>
      <c r="EB77" s="74">
        <v>1.376754E-3</v>
      </c>
      <c r="EC77" s="74">
        <v>1.3484721999999999E-3</v>
      </c>
      <c r="ED77" s="74">
        <v>1.3207708E-3</v>
      </c>
      <c r="EE77" s="74">
        <v>1.2936378000000001E-3</v>
      </c>
      <c r="EF77" s="74">
        <v>1.2670616999999999E-3</v>
      </c>
      <c r="EG77" s="74">
        <v>1.2410310000000001E-3</v>
      </c>
      <c r="EH77" s="74">
        <v>1.2155346000000001E-3</v>
      </c>
      <c r="EI77" s="74">
        <v>1.1905615999999999E-3</v>
      </c>
      <c r="EJ77" s="74">
        <v>1.1661010999999999E-3</v>
      </c>
      <c r="EK77" s="74">
        <v>1.1421427999999999E-3</v>
      </c>
      <c r="EL77" s="74">
        <v>1.1186764E-3</v>
      </c>
      <c r="EM77" s="74">
        <v>1.0956917E-3</v>
      </c>
      <c r="EN77" s="74">
        <v>1.0731789E-3</v>
      </c>
      <c r="EO77" s="74">
        <v>1.0511283E-3</v>
      </c>
      <c r="EP77" s="74">
        <v>1.0295304E-3</v>
      </c>
      <c r="EQ77" s="74">
        <v>1.0083760000000001E-3</v>
      </c>
      <c r="ER77" s="74">
        <v>9.8765599999999995E-4</v>
      </c>
      <c r="ES77" s="74">
        <v>9.6736149999999998E-4</v>
      </c>
      <c r="ET77" s="74">
        <v>9.4748369999999996E-4</v>
      </c>
      <c r="EU77" s="74">
        <v>9.2801410000000004E-4</v>
      </c>
      <c r="EV77" s="74">
        <v>9.0894429999999996E-4</v>
      </c>
      <c r="EW77" s="74">
        <v>8.9026619999999998E-4</v>
      </c>
      <c r="EX77" s="74">
        <v>8.7197170000000005E-4</v>
      </c>
      <c r="EY77" s="74">
        <v>8.5405289999999998E-4</v>
      </c>
      <c r="EZ77" s="74">
        <v>8.3650209999999996E-4</v>
      </c>
      <c r="FA77" s="74">
        <v>8.1931180000000003E-4</v>
      </c>
      <c r="FB77" s="74">
        <v>8.0247459999999995E-4</v>
      </c>
      <c r="FC77" s="74">
        <v>7.8598329999999997E-4</v>
      </c>
      <c r="FD77" s="74">
        <v>7.6983059999999998E-4</v>
      </c>
      <c r="FE77" s="74">
        <v>7.5400979999999999E-4</v>
      </c>
      <c r="FF77" s="74">
        <v>7.3851400000000001E-4</v>
      </c>
      <c r="FG77" s="74">
        <v>7.2333640000000002E-4</v>
      </c>
      <c r="FH77" s="74">
        <v>7.0847070000000002E-4</v>
      </c>
      <c r="FI77" s="74">
        <v>6.9391039999999998E-4</v>
      </c>
      <c r="FJ77" s="74">
        <v>6.7964909999999998E-4</v>
      </c>
      <c r="FK77" s="74">
        <v>6.6568089999999996E-4</v>
      </c>
      <c r="FL77" s="74">
        <v>6.5199959999999999E-4</v>
      </c>
      <c r="FM77" s="74">
        <v>6.3859940000000003E-4</v>
      </c>
      <c r="FN77" s="74">
        <v>6.2547440000000002E-4</v>
      </c>
      <c r="FO77" s="74">
        <v>6.1261919999999997E-4</v>
      </c>
      <c r="FP77" s="74">
        <v>6.0002809999999999E-4</v>
      </c>
      <c r="FQ77" s="74">
        <v>5.8769560000000005E-4</v>
      </c>
    </row>
    <row r="78" spans="1:173" x14ac:dyDescent="0.25">
      <c r="A78" s="76">
        <v>76</v>
      </c>
      <c r="B78" s="74">
        <v>2.1406197500000002E-2</v>
      </c>
      <c r="C78" s="74">
        <v>2.1042531600000001E-2</v>
      </c>
      <c r="D78" s="74">
        <v>2.0681479199999998E-2</v>
      </c>
      <c r="E78" s="74">
        <v>2.0323295500000001E-2</v>
      </c>
      <c r="F78" s="74">
        <v>1.9968211999999999E-2</v>
      </c>
      <c r="G78" s="74">
        <v>1.96164375E-2</v>
      </c>
      <c r="H78" s="74">
        <v>1.9268159999999999E-2</v>
      </c>
      <c r="I78" s="74">
        <v>1.89235476E-2</v>
      </c>
      <c r="J78" s="74">
        <v>1.8582750200000001E-2</v>
      </c>
      <c r="K78" s="74">
        <v>1.8245900400000001E-2</v>
      </c>
      <c r="L78" s="74">
        <v>1.7913114800000001E-2</v>
      </c>
      <c r="M78" s="74">
        <v>1.75844951E-2</v>
      </c>
      <c r="N78" s="74">
        <v>1.72601293E-2</v>
      </c>
      <c r="O78" s="74">
        <v>1.6940092399999999E-2</v>
      </c>
      <c r="P78" s="74">
        <v>1.6624447399999999E-2</v>
      </c>
      <c r="Q78" s="74">
        <v>1.6313246300000001E-2</v>
      </c>
      <c r="R78" s="74">
        <v>1.6006531000000001E-2</v>
      </c>
      <c r="S78" s="74">
        <v>1.5704333599999998E-2</v>
      </c>
      <c r="T78" s="74">
        <v>1.54066777E-2</v>
      </c>
      <c r="U78" s="74">
        <v>1.5113578900000001E-2</v>
      </c>
      <c r="V78" s="74">
        <v>1.4825045199999999E-2</v>
      </c>
      <c r="W78" s="74">
        <v>1.4541077899999999E-2</v>
      </c>
      <c r="X78" s="74">
        <v>1.4261672E-2</v>
      </c>
      <c r="Y78" s="74">
        <v>1.39868167E-2</v>
      </c>
      <c r="Z78" s="74">
        <v>1.3716496200000001E-2</v>
      </c>
      <c r="AA78" s="74">
        <v>1.3450689599999999E-2</v>
      </c>
      <c r="AB78" s="74">
        <v>1.3189372E-2</v>
      </c>
      <c r="AC78" s="74">
        <v>1.29325142E-2</v>
      </c>
      <c r="AD78" s="74">
        <v>1.2680083599999999E-2</v>
      </c>
      <c r="AE78" s="74">
        <v>1.2432044499999999E-2</v>
      </c>
      <c r="AF78" s="74">
        <v>1.21883579E-2</v>
      </c>
      <c r="AG78" s="74">
        <v>1.19489826E-2</v>
      </c>
      <c r="AH78" s="74">
        <v>1.1713874900000001E-2</v>
      </c>
      <c r="AI78" s="74">
        <v>1.1482988899999999E-2</v>
      </c>
      <c r="AJ78" s="74">
        <v>1.1256277E-2</v>
      </c>
      <c r="AK78" s="74">
        <v>1.1033690000000001E-2</v>
      </c>
      <c r="AL78" s="74">
        <v>1.0815177299999999E-2</v>
      </c>
      <c r="AM78" s="74">
        <v>1.06006869E-2</v>
      </c>
      <c r="AN78" s="74">
        <v>1.0390165999999999E-2</v>
      </c>
      <c r="AO78" s="74">
        <v>1.0183560600000001E-2</v>
      </c>
      <c r="AP78" s="74">
        <v>9.9808164000000001E-3</v>
      </c>
      <c r="AQ78" s="74">
        <v>9.7818782E-3</v>
      </c>
      <c r="AR78" s="74">
        <v>9.5866904000000003E-3</v>
      </c>
      <c r="AS78" s="74">
        <v>9.3951968999999996E-3</v>
      </c>
      <c r="AT78" s="74">
        <v>9.2073416999999998E-3</v>
      </c>
      <c r="AU78" s="74">
        <v>9.0230684000000005E-3</v>
      </c>
      <c r="AV78" s="74">
        <v>8.8423206000000001E-3</v>
      </c>
      <c r="AW78" s="74">
        <v>8.6650418999999999E-3</v>
      </c>
      <c r="AX78" s="74">
        <v>8.4911759999999996E-3</v>
      </c>
      <c r="AY78" s="74">
        <v>8.3206669000000007E-3</v>
      </c>
      <c r="AZ78" s="74">
        <v>8.1534588000000009E-3</v>
      </c>
      <c r="BA78" s="74">
        <v>7.9894959000000008E-3</v>
      </c>
      <c r="BB78" s="74">
        <v>7.8287231000000006E-3</v>
      </c>
      <c r="BC78" s="74">
        <v>7.6710855999999996E-3</v>
      </c>
      <c r="BD78" s="74">
        <v>7.5165288999999996E-3</v>
      </c>
      <c r="BE78" s="74">
        <v>7.3649991000000001E-3</v>
      </c>
      <c r="BF78" s="74">
        <v>7.2164428000000003E-3</v>
      </c>
      <c r="BG78" s="74">
        <v>7.0708070000000001E-3</v>
      </c>
      <c r="BH78" s="74">
        <v>6.9280395000000002E-3</v>
      </c>
      <c r="BI78" s="74">
        <v>6.7880884000000004E-3</v>
      </c>
      <c r="BJ78" s="74">
        <v>6.6509026000000004E-3</v>
      </c>
      <c r="BK78" s="74">
        <v>6.5164315000000002E-3</v>
      </c>
      <c r="BL78" s="74">
        <v>6.3846253000000002E-3</v>
      </c>
      <c r="BM78" s="74">
        <v>6.2554346E-3</v>
      </c>
      <c r="BN78" s="74">
        <v>6.1288111000000001E-3</v>
      </c>
      <c r="BO78" s="74">
        <v>6.0047065999999996E-3</v>
      </c>
      <c r="BP78" s="74">
        <v>5.8830740000000003E-3</v>
      </c>
      <c r="BQ78" s="74">
        <v>5.7638667999999997E-3</v>
      </c>
      <c r="BR78" s="74">
        <v>5.6470391E-3</v>
      </c>
      <c r="BS78" s="74">
        <v>5.5325456999999996E-3</v>
      </c>
      <c r="BT78" s="74">
        <v>5.4203423000000004E-3</v>
      </c>
      <c r="BU78" s="74">
        <v>5.3103849000000003E-3</v>
      </c>
      <c r="BV78" s="74">
        <v>5.2026307000000004E-3</v>
      </c>
      <c r="BW78" s="74">
        <v>5.0970371E-3</v>
      </c>
      <c r="BX78" s="74">
        <v>4.9935626000000002E-3</v>
      </c>
      <c r="BY78" s="74">
        <v>4.8921661999999999E-3</v>
      </c>
      <c r="BZ78" s="74">
        <v>4.7928075000000002E-3</v>
      </c>
      <c r="CA78" s="74">
        <v>4.6954470000000002E-3</v>
      </c>
      <c r="CB78" s="74">
        <v>4.6000457000000003E-3</v>
      </c>
      <c r="CC78" s="74">
        <v>4.5065653999999998E-3</v>
      </c>
      <c r="CD78" s="74">
        <v>4.4149684999999998E-3</v>
      </c>
      <c r="CE78" s="74">
        <v>4.3252181000000001E-3</v>
      </c>
      <c r="CF78" s="74">
        <v>4.2372779000000001E-3</v>
      </c>
      <c r="CG78" s="74">
        <v>4.1511124000000003E-3</v>
      </c>
      <c r="CH78" s="74">
        <v>4.0666864E-3</v>
      </c>
      <c r="CI78" s="74">
        <v>3.9839658000000002E-3</v>
      </c>
      <c r="CJ78" s="74">
        <v>3.9029167E-3</v>
      </c>
      <c r="CK78" s="74">
        <v>3.8235061E-3</v>
      </c>
      <c r="CL78" s="74">
        <v>3.7457014999999999E-3</v>
      </c>
      <c r="CM78" s="74">
        <v>3.6694710000000001E-3</v>
      </c>
      <c r="CN78" s="74">
        <v>3.5947834E-3</v>
      </c>
      <c r="CO78" s="74">
        <v>3.5216077999999998E-3</v>
      </c>
      <c r="CP78" s="74">
        <v>3.4499143000000002E-3</v>
      </c>
      <c r="CQ78" s="74">
        <v>3.3796732000000002E-3</v>
      </c>
      <c r="CR78" s="74">
        <v>3.3108554999999999E-3</v>
      </c>
      <c r="CS78" s="74">
        <v>3.2434329E-3</v>
      </c>
      <c r="CT78" s="74">
        <v>3.1773773E-3</v>
      </c>
      <c r="CU78" s="74">
        <v>3.1126614999999998E-3</v>
      </c>
      <c r="CV78" s="74">
        <v>3.0492586000000002E-3</v>
      </c>
      <c r="CW78" s="74">
        <v>2.9871422E-3</v>
      </c>
      <c r="CX78" s="74">
        <v>2.9262865999999999E-3</v>
      </c>
      <c r="CY78" s="74">
        <v>2.8666664000000001E-3</v>
      </c>
      <c r="CZ78" s="74">
        <v>2.8082568000000001E-3</v>
      </c>
      <c r="DA78" s="74">
        <v>2.7510335000000001E-3</v>
      </c>
      <c r="DB78" s="74">
        <v>2.6949725000000001E-3</v>
      </c>
      <c r="DC78" s="74">
        <v>2.6400505999999999E-3</v>
      </c>
      <c r="DD78" s="74">
        <v>2.5862446999999999E-3</v>
      </c>
      <c r="DE78" s="74">
        <v>2.5335322999999999E-3</v>
      </c>
      <c r="DF78" s="74">
        <v>2.4818914000000001E-3</v>
      </c>
      <c r="DG78" s="74">
        <v>2.4313005000000001E-3</v>
      </c>
      <c r="DH78" s="74">
        <v>2.3817382000000001E-3</v>
      </c>
      <c r="DI78" s="74">
        <v>2.3331837999999998E-3</v>
      </c>
      <c r="DJ78" s="74">
        <v>2.2856170000000002E-3</v>
      </c>
      <c r="DK78" s="74">
        <v>2.2390178000000001E-3</v>
      </c>
      <c r="DL78" s="74">
        <v>2.1933666000000002E-3</v>
      </c>
      <c r="DM78" s="74">
        <v>2.1486443E-3</v>
      </c>
      <c r="DN78" s="74">
        <v>2.1048320000000001E-3</v>
      </c>
      <c r="DO78" s="74">
        <v>2.0619114000000002E-3</v>
      </c>
      <c r="DP78" s="74">
        <v>2.0198643999999998E-3</v>
      </c>
      <c r="DQ78" s="74">
        <v>1.9786732999999999E-3</v>
      </c>
      <c r="DR78" s="74">
        <v>1.9383206999999999E-3</v>
      </c>
      <c r="DS78" s="74">
        <v>1.8987896999999999E-3</v>
      </c>
      <c r="DT78" s="74">
        <v>1.8600636999999999E-3</v>
      </c>
      <c r="DU78" s="74">
        <v>1.8221261999999999E-3</v>
      </c>
      <c r="DV78" s="74">
        <v>1.7849612999999999E-3</v>
      </c>
      <c r="DW78" s="74">
        <v>1.7485533E-3</v>
      </c>
      <c r="DX78" s="74">
        <v>1.7128868999999999E-3</v>
      </c>
      <c r="DY78" s="74">
        <v>1.6779471E-3</v>
      </c>
      <c r="DZ78" s="74">
        <v>1.6437190000000001E-3</v>
      </c>
      <c r="EA78" s="74">
        <v>1.6101882000000001E-3</v>
      </c>
      <c r="EB78" s="74">
        <v>1.5773406E-3</v>
      </c>
      <c r="EC78" s="74">
        <v>1.5451621999999999E-3</v>
      </c>
      <c r="ED78" s="74">
        <v>1.5136396E-3</v>
      </c>
      <c r="EE78" s="74">
        <v>1.4827593E-3</v>
      </c>
      <c r="EF78" s="74">
        <v>1.4525084000000001E-3</v>
      </c>
      <c r="EG78" s="74">
        <v>1.4228738999999999E-3</v>
      </c>
      <c r="EH78" s="74">
        <v>1.3938435E-3</v>
      </c>
      <c r="EI78" s="74">
        <v>1.3654048E-3</v>
      </c>
      <c r="EJ78" s="74">
        <v>1.3375456999999999E-3</v>
      </c>
      <c r="EK78" s="74">
        <v>1.3102545E-3</v>
      </c>
      <c r="EL78" s="74">
        <v>1.2835196999999999E-3</v>
      </c>
      <c r="EM78" s="74">
        <v>1.2573299E-3</v>
      </c>
      <c r="EN78" s="74">
        <v>1.2316740999999999E-3</v>
      </c>
      <c r="EO78" s="74">
        <v>1.2065413000000001E-3</v>
      </c>
      <c r="EP78" s="74">
        <v>1.1819210000000001E-3</v>
      </c>
      <c r="EQ78" s="74">
        <v>1.1578026000000001E-3</v>
      </c>
      <c r="ER78" s="74">
        <v>1.1341761E-3</v>
      </c>
      <c r="ES78" s="74">
        <v>1.1110313000000001E-3</v>
      </c>
      <c r="ET78" s="74">
        <v>1.0883584999999999E-3</v>
      </c>
      <c r="EU78" s="74">
        <v>1.0661480000000001E-3</v>
      </c>
      <c r="EV78" s="74">
        <v>1.0443906000000001E-3</v>
      </c>
      <c r="EW78" s="74">
        <v>1.0230768E-3</v>
      </c>
      <c r="EX78" s="74">
        <v>1.0021977E-3</v>
      </c>
      <c r="EY78" s="74">
        <v>9.8174450000000006E-4</v>
      </c>
      <c r="EZ78" s="74">
        <v>9.6170839999999995E-4</v>
      </c>
      <c r="FA78" s="74">
        <v>9.4208099999999999E-4</v>
      </c>
      <c r="FB78" s="74">
        <v>9.2285390000000004E-4</v>
      </c>
      <c r="FC78" s="74">
        <v>9.0401900000000005E-4</v>
      </c>
      <c r="FD78" s="74">
        <v>8.8556829999999998E-4</v>
      </c>
      <c r="FE78" s="74">
        <v>8.6749400000000001E-4</v>
      </c>
      <c r="FF78" s="74">
        <v>8.497884E-4</v>
      </c>
      <c r="FG78" s="74">
        <v>8.32444E-4</v>
      </c>
      <c r="FH78" s="74">
        <v>8.1545339999999997E-4</v>
      </c>
      <c r="FI78" s="74">
        <v>7.988095E-4</v>
      </c>
      <c r="FJ78" s="74">
        <v>7.825051E-4</v>
      </c>
      <c r="FK78" s="74">
        <v>7.6653330000000001E-4</v>
      </c>
      <c r="FL78" s="74">
        <v>7.5088740000000002E-4</v>
      </c>
      <c r="FM78" s="74">
        <v>7.3556070000000003E-4</v>
      </c>
      <c r="FN78" s="74">
        <v>7.2054669999999999E-4</v>
      </c>
      <c r="FO78" s="74">
        <v>7.0583910000000002E-4</v>
      </c>
      <c r="FP78" s="74">
        <v>6.9143150000000001E-4</v>
      </c>
      <c r="FQ78" s="74">
        <v>6.7731789999999996E-4</v>
      </c>
    </row>
    <row r="79" spans="1:173" x14ac:dyDescent="0.25">
      <c r="A79" s="76">
        <v>77</v>
      </c>
      <c r="B79" s="74">
        <v>2.41592861E-2</v>
      </c>
      <c r="C79" s="74">
        <v>2.3744306499999999E-2</v>
      </c>
      <c r="D79" s="74">
        <v>2.33326692E-2</v>
      </c>
      <c r="E79" s="74">
        <v>2.29246356E-2</v>
      </c>
      <c r="F79" s="74">
        <v>2.25204416E-2</v>
      </c>
      <c r="G79" s="74">
        <v>2.21202993E-2</v>
      </c>
      <c r="H79" s="74">
        <v>2.1724398299999999E-2</v>
      </c>
      <c r="I79" s="74">
        <v>2.1332907700000001E-2</v>
      </c>
      <c r="J79" s="74">
        <v>2.0945976599999999E-2</v>
      </c>
      <c r="K79" s="74">
        <v>2.05637366E-2</v>
      </c>
      <c r="L79" s="74">
        <v>2.0186301800000001E-2</v>
      </c>
      <c r="M79" s="74">
        <v>1.9813771099999999E-2</v>
      </c>
      <c r="N79" s="74">
        <v>1.9446228400000001E-2</v>
      </c>
      <c r="O79" s="74">
        <v>1.90837443E-2</v>
      </c>
      <c r="P79" s="74">
        <v>1.8726376900000001E-2</v>
      </c>
      <c r="Q79" s="74">
        <v>1.8374172500000001E-2</v>
      </c>
      <c r="R79" s="74">
        <v>1.80271667E-2</v>
      </c>
      <c r="S79" s="74">
        <v>1.76853854E-2</v>
      </c>
      <c r="T79" s="74">
        <v>1.7348845000000002E-2</v>
      </c>
      <c r="U79" s="74">
        <v>1.7017553899999999E-2</v>
      </c>
      <c r="V79" s="74">
        <v>1.6691512499999998E-2</v>
      </c>
      <c r="W79" s="74">
        <v>1.6370714200000001E-2</v>
      </c>
      <c r="X79" s="74">
        <v>1.6055145999999999E-2</v>
      </c>
      <c r="Y79" s="74">
        <v>1.5744788700000002E-2</v>
      </c>
      <c r="Z79" s="74">
        <v>1.5439617900000001E-2</v>
      </c>
      <c r="AA79" s="74">
        <v>1.51396043E-2</v>
      </c>
      <c r="AB79" s="74">
        <v>1.4844714E-2</v>
      </c>
      <c r="AC79" s="74">
        <v>1.4554909E-2</v>
      </c>
      <c r="AD79" s="74">
        <v>1.42701479E-2</v>
      </c>
      <c r="AE79" s="74">
        <v>1.39903858E-2</v>
      </c>
      <c r="AF79" s="74">
        <v>1.37155747E-2</v>
      </c>
      <c r="AG79" s="74">
        <v>1.34456643E-2</v>
      </c>
      <c r="AH79" s="74">
        <v>1.31806018E-2</v>
      </c>
      <c r="AI79" s="74">
        <v>1.2920332099999999E-2</v>
      </c>
      <c r="AJ79" s="74">
        <v>1.26647987E-2</v>
      </c>
      <c r="AK79" s="74">
        <v>1.24139431E-2</v>
      </c>
      <c r="AL79" s="74">
        <v>1.21677057E-2</v>
      </c>
      <c r="AM79" s="74">
        <v>1.1926025599999999E-2</v>
      </c>
      <c r="AN79" s="74">
        <v>1.1688841E-2</v>
      </c>
      <c r="AO79" s="74">
        <v>1.1456088999999999E-2</v>
      </c>
      <c r="AP79" s="74">
        <v>1.1227706400000001E-2</v>
      </c>
      <c r="AQ79" s="74">
        <v>1.10036292E-2</v>
      </c>
      <c r="AR79" s="74">
        <v>1.0783793200000001E-2</v>
      </c>
      <c r="AS79" s="74">
        <v>1.05681339E-2</v>
      </c>
      <c r="AT79" s="74">
        <v>1.0356586399999999E-2</v>
      </c>
      <c r="AU79" s="74">
        <v>1.0149086099999999E-2</v>
      </c>
      <c r="AV79" s="74">
        <v>9.9455681999999993E-3</v>
      </c>
      <c r="AW79" s="74">
        <v>9.7459681000000003E-3</v>
      </c>
      <c r="AX79" s="74">
        <v>9.5502212999999999E-3</v>
      </c>
      <c r="AY79" s="74">
        <v>9.3582639000000002E-3</v>
      </c>
      <c r="AZ79" s="74">
        <v>9.1700319000000002E-3</v>
      </c>
      <c r="BA79" s="74">
        <v>8.9854619999999996E-3</v>
      </c>
      <c r="BB79" s="74">
        <v>8.8044912000000003E-3</v>
      </c>
      <c r="BC79" s="74">
        <v>8.6270570000000005E-3</v>
      </c>
      <c r="BD79" s="74">
        <v>8.4530977000000004E-3</v>
      </c>
      <c r="BE79" s="74">
        <v>8.2825516999999998E-3</v>
      </c>
      <c r="BF79" s="74">
        <v>8.1153584999999993E-3</v>
      </c>
      <c r="BG79" s="74">
        <v>7.9514579000000002E-3</v>
      </c>
      <c r="BH79" s="74">
        <v>7.7907905999999999E-3</v>
      </c>
      <c r="BI79" s="74">
        <v>7.6332976999999996E-3</v>
      </c>
      <c r="BJ79" s="74">
        <v>7.4789213999999996E-3</v>
      </c>
      <c r="BK79" s="74">
        <v>7.3276043999999999E-3</v>
      </c>
      <c r="BL79" s="74">
        <v>7.1792901000000001E-3</v>
      </c>
      <c r="BM79" s="74">
        <v>7.0339228E-3</v>
      </c>
      <c r="BN79" s="74">
        <v>6.8914474999999999E-3</v>
      </c>
      <c r="BO79" s="74">
        <v>6.7518099999999996E-3</v>
      </c>
      <c r="BP79" s="74">
        <v>6.6149570000000003E-3</v>
      </c>
      <c r="BQ79" s="74">
        <v>6.4808356999999997E-3</v>
      </c>
      <c r="BR79" s="74">
        <v>6.3493945000000001E-3</v>
      </c>
      <c r="BS79" s="74">
        <v>6.2205821999999997E-3</v>
      </c>
      <c r="BT79" s="74">
        <v>6.0943485999999996E-3</v>
      </c>
      <c r="BU79" s="74">
        <v>5.9706443000000003E-3</v>
      </c>
      <c r="BV79" s="74">
        <v>5.8494208000000004E-3</v>
      </c>
      <c r="BW79" s="74">
        <v>5.7306301E-3</v>
      </c>
      <c r="BX79" s="74">
        <v>5.6142253000000001E-3</v>
      </c>
      <c r="BY79" s="74">
        <v>5.5001601000000001E-3</v>
      </c>
      <c r="BZ79" s="74">
        <v>5.3883890000000004E-3</v>
      </c>
      <c r="CA79" s="74">
        <v>5.2788673999999997E-3</v>
      </c>
      <c r="CB79" s="74">
        <v>5.1715512999999996E-3</v>
      </c>
      <c r="CC79" s="74">
        <v>5.0663977000000001E-3</v>
      </c>
      <c r="CD79" s="74">
        <v>4.9633641999999997E-3</v>
      </c>
      <c r="CE79" s="74">
        <v>4.8624089999999998E-3</v>
      </c>
      <c r="CF79" s="74">
        <v>4.7634914E-3</v>
      </c>
      <c r="CG79" s="74">
        <v>4.6665711999999996E-3</v>
      </c>
      <c r="CH79" s="74">
        <v>4.5716089999999999E-3</v>
      </c>
      <c r="CI79" s="74">
        <v>4.4785661000000003E-3</v>
      </c>
      <c r="CJ79" s="74">
        <v>4.3874044999999999E-3</v>
      </c>
      <c r="CK79" s="74">
        <v>4.2980867999999998E-3</v>
      </c>
      <c r="CL79" s="74">
        <v>4.2105765999999999E-3</v>
      </c>
      <c r="CM79" s="74">
        <v>4.1248378000000004E-3</v>
      </c>
      <c r="CN79" s="74">
        <v>4.0408353000000001E-3</v>
      </c>
      <c r="CO79" s="74">
        <v>3.9585345000000003E-3</v>
      </c>
      <c r="CP79" s="74">
        <v>3.8779013000000001E-3</v>
      </c>
      <c r="CQ79" s="74">
        <v>3.7989026E-3</v>
      </c>
      <c r="CR79" s="74">
        <v>3.7215057000000002E-3</v>
      </c>
      <c r="CS79" s="74">
        <v>3.6456785E-3</v>
      </c>
      <c r="CT79" s="74">
        <v>3.5713896000000001E-3</v>
      </c>
      <c r="CU79" s="74">
        <v>3.4986082999999999E-3</v>
      </c>
      <c r="CV79" s="74">
        <v>3.4273042E-3</v>
      </c>
      <c r="CW79" s="74">
        <v>3.3574477000000002E-3</v>
      </c>
      <c r="CX79" s="74">
        <v>3.2890099000000002E-3</v>
      </c>
      <c r="CY79" s="74">
        <v>3.2219620000000001E-3</v>
      </c>
      <c r="CZ79" s="74">
        <v>3.1562763000000001E-3</v>
      </c>
      <c r="DA79" s="74">
        <v>3.0919252999999998E-3</v>
      </c>
      <c r="DB79" s="74">
        <v>3.0288822000000002E-3</v>
      </c>
      <c r="DC79" s="74">
        <v>2.9671204999999999E-3</v>
      </c>
      <c r="DD79" s="74">
        <v>2.9066144999999998E-3</v>
      </c>
      <c r="DE79" s="74">
        <v>2.8473387999999999E-3</v>
      </c>
      <c r="DF79" s="74">
        <v>2.7892686999999999E-3</v>
      </c>
      <c r="DG79" s="74">
        <v>2.7323796999999999E-3</v>
      </c>
      <c r="DH79" s="74">
        <v>2.6766480999999998E-3</v>
      </c>
      <c r="DI79" s="74">
        <v>2.6220504E-3</v>
      </c>
      <c r="DJ79" s="74">
        <v>2.5685638000000001E-3</v>
      </c>
      <c r="DK79" s="74">
        <v>2.5161657000000001E-3</v>
      </c>
      <c r="DL79" s="74">
        <v>2.4648341E-3</v>
      </c>
      <c r="DM79" s="74">
        <v>2.4145476000000002E-3</v>
      </c>
      <c r="DN79" s="74">
        <v>2.3652847999999999E-3</v>
      </c>
      <c r="DO79" s="74">
        <v>2.3170250999999999E-3</v>
      </c>
      <c r="DP79" s="74">
        <v>2.2697481999999999E-3</v>
      </c>
      <c r="DQ79" s="74">
        <v>2.2234340999999999E-3</v>
      </c>
      <c r="DR79" s="74">
        <v>2.1780634000000002E-3</v>
      </c>
      <c r="DS79" s="74">
        <v>2.1336167999999999E-3</v>
      </c>
      <c r="DT79" s="74">
        <v>2.0900758000000001E-3</v>
      </c>
      <c r="DU79" s="74">
        <v>2.0474218000000001E-3</v>
      </c>
      <c r="DV79" s="74">
        <v>2.0056369999999998E-3</v>
      </c>
      <c r="DW79" s="74">
        <v>1.9647036000000001E-3</v>
      </c>
      <c r="DX79" s="74">
        <v>1.9246043E-3</v>
      </c>
      <c r="DY79" s="74">
        <v>1.8853224E-3</v>
      </c>
      <c r="DZ79" s="74">
        <v>1.8468410000000001E-3</v>
      </c>
      <c r="EA79" s="74">
        <v>1.8091441E-3</v>
      </c>
      <c r="EB79" s="74">
        <v>1.7722155999999999E-3</v>
      </c>
      <c r="EC79" s="74">
        <v>1.7360399999999999E-3</v>
      </c>
      <c r="ED79" s="74">
        <v>1.7006018E-3</v>
      </c>
      <c r="EE79" s="74">
        <v>1.6658863E-3</v>
      </c>
      <c r="EF79" s="74">
        <v>1.6318785E-3</v>
      </c>
      <c r="EG79" s="74">
        <v>1.5985642999999999E-3</v>
      </c>
      <c r="EH79" s="74">
        <v>1.5659293999999999E-3</v>
      </c>
      <c r="EI79" s="74">
        <v>1.53396E-3</v>
      </c>
      <c r="EJ79" s="74">
        <v>1.5026427E-3</v>
      </c>
      <c r="EK79" s="74">
        <v>1.4719640999999999E-3</v>
      </c>
      <c r="EL79" s="74">
        <v>1.4419112E-3</v>
      </c>
      <c r="EM79" s="74">
        <v>1.4124713000000001E-3</v>
      </c>
      <c r="EN79" s="74">
        <v>1.3836320000000001E-3</v>
      </c>
      <c r="EO79" s="74">
        <v>1.3553809999999999E-3</v>
      </c>
      <c r="EP79" s="74">
        <v>1.3277063E-3</v>
      </c>
      <c r="EQ79" s="74">
        <v>1.3005962000000001E-3</v>
      </c>
      <c r="ER79" s="74">
        <v>1.2740392000000001E-3</v>
      </c>
      <c r="ES79" s="74">
        <v>1.2480241E-3</v>
      </c>
      <c r="ET79" s="74">
        <v>1.2225396999999999E-3</v>
      </c>
      <c r="EU79" s="74">
        <v>1.1975753999999999E-3</v>
      </c>
      <c r="EV79" s="74">
        <v>1.1731204000000001E-3</v>
      </c>
      <c r="EW79" s="74">
        <v>1.1491645E-3</v>
      </c>
      <c r="EX79" s="74">
        <v>1.1256974000000001E-3</v>
      </c>
      <c r="EY79" s="74">
        <v>1.1027092E-3</v>
      </c>
      <c r="EZ79" s="74">
        <v>1.0801902E-3</v>
      </c>
      <c r="FA79" s="74">
        <v>1.0581307E-3</v>
      </c>
      <c r="FB79" s="74">
        <v>1.0365215000000001E-3</v>
      </c>
      <c r="FC79" s="74">
        <v>1.0153533E-3</v>
      </c>
      <c r="FD79" s="74">
        <v>9.9461709999999997E-4</v>
      </c>
      <c r="FE79" s="74">
        <v>9.7430420000000002E-4</v>
      </c>
      <c r="FF79" s="74">
        <v>9.5440589999999995E-4</v>
      </c>
      <c r="FG79" s="74">
        <v>9.3491379999999995E-4</v>
      </c>
      <c r="FH79" s="74">
        <v>9.1581949999999996E-4</v>
      </c>
      <c r="FI79" s="74">
        <v>8.9711499999999998E-4</v>
      </c>
      <c r="FJ79" s="74">
        <v>8.7879240000000001E-4</v>
      </c>
      <c r="FK79" s="74">
        <v>8.6084370000000005E-4</v>
      </c>
      <c r="FL79" s="74">
        <v>8.4326150000000005E-4</v>
      </c>
      <c r="FM79" s="74">
        <v>8.2603820000000004E-4</v>
      </c>
      <c r="FN79" s="74">
        <v>8.0916650000000001E-4</v>
      </c>
      <c r="FO79" s="74">
        <v>7.9263930000000003E-4</v>
      </c>
      <c r="FP79" s="74">
        <v>7.7644949999999997E-4</v>
      </c>
      <c r="FQ79" s="74">
        <v>7.605903E-4</v>
      </c>
    </row>
    <row r="80" spans="1:173" x14ac:dyDescent="0.25">
      <c r="A80" s="76">
        <v>78</v>
      </c>
      <c r="B80" s="74">
        <v>2.7416988400000002E-2</v>
      </c>
      <c r="C80" s="74">
        <v>2.6957718799999999E-2</v>
      </c>
      <c r="D80" s="74">
        <v>2.6501858600000001E-2</v>
      </c>
      <c r="E80" s="74">
        <v>2.6049707200000001E-2</v>
      </c>
      <c r="F80" s="74">
        <v>2.5601535799999998E-2</v>
      </c>
      <c r="G80" s="74">
        <v>2.5157589099999999E-2</v>
      </c>
      <c r="H80" s="74">
        <v>2.4718087199999999E-2</v>
      </c>
      <c r="I80" s="74">
        <v>2.42832267E-2</v>
      </c>
      <c r="J80" s="74">
        <v>2.3853182699999999E-2</v>
      </c>
      <c r="K80" s="74">
        <v>2.3428109999999999E-2</v>
      </c>
      <c r="L80" s="74">
        <v>2.30081447E-2</v>
      </c>
      <c r="M80" s="74">
        <v>2.2593405099999998E-2</v>
      </c>
      <c r="N80" s="74">
        <v>2.21839933E-2</v>
      </c>
      <c r="O80" s="74">
        <v>2.1779996100000001E-2</v>
      </c>
      <c r="P80" s="74">
        <v>2.13814864E-2</v>
      </c>
      <c r="Q80" s="74">
        <v>2.09885239E-2</v>
      </c>
      <c r="R80" s="74">
        <v>2.0601156299999999E-2</v>
      </c>
      <c r="S80" s="74">
        <v>2.0219419999999998E-2</v>
      </c>
      <c r="T80" s="74">
        <v>1.98433412E-2</v>
      </c>
      <c r="U80" s="74">
        <v>1.9472936499999999E-2</v>
      </c>
      <c r="V80" s="74">
        <v>1.9108213799999999E-2</v>
      </c>
      <c r="W80" s="74">
        <v>1.87491729E-2</v>
      </c>
      <c r="X80" s="74">
        <v>1.8395806099999999E-2</v>
      </c>
      <c r="Y80" s="74">
        <v>1.8048099200000001E-2</v>
      </c>
      <c r="Z80" s="74">
        <v>1.7706031399999999E-2</v>
      </c>
      <c r="AA80" s="74">
        <v>1.7369576599999999E-2</v>
      </c>
      <c r="AB80" s="74">
        <v>1.7038703299999999E-2</v>
      </c>
      <c r="AC80" s="74">
        <v>1.6713375499999999E-2</v>
      </c>
      <c r="AD80" s="74">
        <v>1.6393552700000001E-2</v>
      </c>
      <c r="AE80" s="74">
        <v>1.6079190699999999E-2</v>
      </c>
      <c r="AF80" s="74">
        <v>1.5770241899999999E-2</v>
      </c>
      <c r="AG80" s="74">
        <v>1.5466655500000001E-2</v>
      </c>
      <c r="AH80" s="74">
        <v>1.5168377800000001E-2</v>
      </c>
      <c r="AI80" s="74">
        <v>1.4875352999999999E-2</v>
      </c>
      <c r="AJ80" s="74">
        <v>1.45875226E-2</v>
      </c>
      <c r="AK80" s="74">
        <v>1.4304826499999999E-2</v>
      </c>
      <c r="AL80" s="74">
        <v>1.4027202799999999E-2</v>
      </c>
      <c r="AM80" s="74">
        <v>1.3754588099999999E-2</v>
      </c>
      <c r="AN80" s="74">
        <v>1.3486918000000001E-2</v>
      </c>
      <c r="AO80" s="74">
        <v>1.32241266E-2</v>
      </c>
      <c r="AP80" s="74">
        <v>1.2966147399999999E-2</v>
      </c>
      <c r="AQ80" s="74">
        <v>1.2712913100000001E-2</v>
      </c>
      <c r="AR80" s="74">
        <v>1.24643559E-2</v>
      </c>
      <c r="AS80" s="74">
        <v>1.2220407500000001E-2</v>
      </c>
      <c r="AT80" s="74">
        <v>1.19809993E-2</v>
      </c>
      <c r="AU80" s="74">
        <v>1.17460624E-2</v>
      </c>
      <c r="AV80" s="74">
        <v>1.1515528000000001E-2</v>
      </c>
      <c r="AW80" s="74">
        <v>1.1289327199999999E-2</v>
      </c>
      <c r="AX80" s="74">
        <v>1.1067391399999999E-2</v>
      </c>
      <c r="AY80" s="74">
        <v>1.08496519E-2</v>
      </c>
      <c r="AZ80" s="74">
        <v>1.06360404E-2</v>
      </c>
      <c r="BA80" s="74">
        <v>1.0426489000000001E-2</v>
      </c>
      <c r="BB80" s="74">
        <v>1.0220930099999999E-2</v>
      </c>
      <c r="BC80" s="74">
        <v>1.0019296699999999E-2</v>
      </c>
      <c r="BD80" s="74">
        <v>9.8215219999999992E-3</v>
      </c>
      <c r="BE80" s="74">
        <v>9.6275401E-3</v>
      </c>
      <c r="BF80" s="74">
        <v>9.4372854999999999E-3</v>
      </c>
      <c r="BG80" s="74">
        <v>9.2506932999999996E-3</v>
      </c>
      <c r="BH80" s="74">
        <v>9.0676995E-3</v>
      </c>
      <c r="BI80" s="74">
        <v>8.8882404000000005E-3</v>
      </c>
      <c r="BJ80" s="74">
        <v>8.7122533000000002E-3</v>
      </c>
      <c r="BK80" s="74">
        <v>8.5396763000000001E-3</v>
      </c>
      <c r="BL80" s="74">
        <v>8.3704478999999995E-3</v>
      </c>
      <c r="BM80" s="74">
        <v>8.2045078E-3</v>
      </c>
      <c r="BN80" s="74">
        <v>8.0417961E-3</v>
      </c>
      <c r="BO80" s="74">
        <v>7.8822540999999996E-3</v>
      </c>
      <c r="BP80" s="74">
        <v>7.7258235999999999E-3</v>
      </c>
      <c r="BQ80" s="74">
        <v>7.5724473E-3</v>
      </c>
      <c r="BR80" s="74">
        <v>7.4220687999999998E-3</v>
      </c>
      <c r="BS80" s="74">
        <v>7.2746323999999998E-3</v>
      </c>
      <c r="BT80" s="74">
        <v>7.1300833999999999E-3</v>
      </c>
      <c r="BU80" s="74">
        <v>6.9883679000000004E-3</v>
      </c>
      <c r="BV80" s="74">
        <v>6.8494326000000001E-3</v>
      </c>
      <c r="BW80" s="74">
        <v>6.7132253999999999E-3</v>
      </c>
      <c r="BX80" s="74">
        <v>6.5796947000000003E-3</v>
      </c>
      <c r="BY80" s="74">
        <v>6.4487900999999999E-3</v>
      </c>
      <c r="BZ80" s="74">
        <v>6.3204615999999996E-3</v>
      </c>
      <c r="CA80" s="74">
        <v>6.1946602999999999E-3</v>
      </c>
      <c r="CB80" s="74">
        <v>6.0713381000000004E-3</v>
      </c>
      <c r="CC80" s="74">
        <v>5.9504476000000004E-3</v>
      </c>
      <c r="CD80" s="74">
        <v>5.8319423000000002E-3</v>
      </c>
      <c r="CE80" s="74">
        <v>5.7157763999999998E-3</v>
      </c>
      <c r="CF80" s="74">
        <v>5.6019051000000004E-3</v>
      </c>
      <c r="CG80" s="74">
        <v>5.4902841999999999E-3</v>
      </c>
      <c r="CH80" s="74">
        <v>5.3808702999999999E-3</v>
      </c>
      <c r="CI80" s="74">
        <v>5.2736207000000004E-3</v>
      </c>
      <c r="CJ80" s="74">
        <v>5.1684935999999999E-3</v>
      </c>
      <c r="CK80" s="74">
        <v>5.0654480000000002E-3</v>
      </c>
      <c r="CL80" s="74">
        <v>4.9644433999999999E-3</v>
      </c>
      <c r="CM80" s="74">
        <v>4.8654401999999996E-3</v>
      </c>
      <c r="CN80" s="74">
        <v>4.7683993999999997E-3</v>
      </c>
      <c r="CO80" s="74">
        <v>4.6732828999999998E-3</v>
      </c>
      <c r="CP80" s="74">
        <v>4.5800531999999998E-3</v>
      </c>
      <c r="CQ80" s="74">
        <v>4.4886735000000001E-3</v>
      </c>
      <c r="CR80" s="74">
        <v>4.3991074999999999E-3</v>
      </c>
      <c r="CS80" s="74">
        <v>4.3113199E-3</v>
      </c>
      <c r="CT80" s="74">
        <v>4.2252758E-3</v>
      </c>
      <c r="CU80" s="74">
        <v>4.1409411E-3</v>
      </c>
      <c r="CV80" s="74">
        <v>4.0582823000000004E-3</v>
      </c>
      <c r="CW80" s="74">
        <v>3.9772664000000003E-3</v>
      </c>
      <c r="CX80" s="74">
        <v>3.8978613E-3</v>
      </c>
      <c r="CY80" s="74">
        <v>3.8200351999999999E-3</v>
      </c>
      <c r="CZ80" s="74">
        <v>3.7437570999999999E-3</v>
      </c>
      <c r="DA80" s="74">
        <v>3.6689966000000001E-3</v>
      </c>
      <c r="DB80" s="74">
        <v>3.5957237000000001E-3</v>
      </c>
      <c r="DC80" s="74">
        <v>3.5239092000000001E-3</v>
      </c>
      <c r="DD80" s="74">
        <v>3.4535242E-3</v>
      </c>
      <c r="DE80" s="74">
        <v>3.3845406999999999E-3</v>
      </c>
      <c r="DF80" s="74">
        <v>3.3169307999999999E-3</v>
      </c>
      <c r="DG80" s="74">
        <v>3.2506675999999998E-3</v>
      </c>
      <c r="DH80" s="74">
        <v>3.1857243000000001E-3</v>
      </c>
      <c r="DI80" s="74">
        <v>3.1220750000000002E-3</v>
      </c>
      <c r="DJ80" s="74">
        <v>3.0596938999999999E-3</v>
      </c>
      <c r="DK80" s="74">
        <v>2.9985559999999999E-3</v>
      </c>
      <c r="DL80" s="74">
        <v>2.9386368E-3</v>
      </c>
      <c r="DM80" s="74">
        <v>2.8799120000000001E-3</v>
      </c>
      <c r="DN80" s="74">
        <v>2.8223580000000001E-3</v>
      </c>
      <c r="DO80" s="74">
        <v>2.7659516000000002E-3</v>
      </c>
      <c r="DP80" s="74">
        <v>2.7106701000000001E-3</v>
      </c>
      <c r="DQ80" s="74">
        <v>2.6564911E-3</v>
      </c>
      <c r="DR80" s="74">
        <v>2.6033927999999998E-3</v>
      </c>
      <c r="DS80" s="74">
        <v>2.5513538E-3</v>
      </c>
      <c r="DT80" s="74">
        <v>2.5003528999999998E-3</v>
      </c>
      <c r="DU80" s="74">
        <v>2.4503696999999998E-3</v>
      </c>
      <c r="DV80" s="74">
        <v>2.4013838999999999E-3</v>
      </c>
      <c r="DW80" s="74">
        <v>2.3533756000000002E-3</v>
      </c>
      <c r="DX80" s="74">
        <v>2.3063254999999999E-3</v>
      </c>
      <c r="DY80" s="74">
        <v>2.2602145000000001E-3</v>
      </c>
      <c r="DZ80" s="74">
        <v>2.2150238999999999E-3</v>
      </c>
      <c r="EA80" s="74">
        <v>2.1707355000000002E-3</v>
      </c>
      <c r="EB80" s="74">
        <v>2.1273312000000002E-3</v>
      </c>
      <c r="EC80" s="74">
        <v>2.0847935999999999E-3</v>
      </c>
      <c r="ED80" s="74">
        <v>2.0431054000000001E-3</v>
      </c>
      <c r="EE80" s="74">
        <v>2.0022496E-3</v>
      </c>
      <c r="EF80" s="74">
        <v>1.9622097000000002E-3</v>
      </c>
      <c r="EG80" s="74">
        <v>1.9229695E-3</v>
      </c>
      <c r="EH80" s="74">
        <v>1.884513E-3</v>
      </c>
      <c r="EI80" s="74">
        <v>1.8468247E-3</v>
      </c>
      <c r="EJ80" s="74">
        <v>1.8098891999999999E-3</v>
      </c>
      <c r="EK80" s="74">
        <v>1.7736914999999999E-3</v>
      </c>
      <c r="EL80" s="74">
        <v>1.7382169E-3</v>
      </c>
      <c r="EM80" s="74">
        <v>1.7034511E-3</v>
      </c>
      <c r="EN80" s="74">
        <v>1.6693799E-3</v>
      </c>
      <c r="EO80" s="74">
        <v>1.6359895E-3</v>
      </c>
      <c r="EP80" s="74">
        <v>1.6032662E-3</v>
      </c>
      <c r="EQ80" s="74">
        <v>1.5711968E-3</v>
      </c>
      <c r="ER80" s="74">
        <v>1.5397683000000001E-3</v>
      </c>
      <c r="ES80" s="74">
        <v>1.5089679E-3</v>
      </c>
      <c r="ET80" s="74">
        <v>1.478783E-3</v>
      </c>
      <c r="EU80" s="74">
        <v>1.4492013999999999E-3</v>
      </c>
      <c r="EV80" s="74">
        <v>1.420211E-3</v>
      </c>
      <c r="EW80" s="74">
        <v>1.3918000999999999E-3</v>
      </c>
      <c r="EX80" s="74">
        <v>1.3639571000000001E-3</v>
      </c>
      <c r="EY80" s="74">
        <v>1.3366706000000001E-3</v>
      </c>
      <c r="EZ80" s="74">
        <v>1.3099296E-3</v>
      </c>
      <c r="FA80" s="74">
        <v>1.2837231000000001E-3</v>
      </c>
      <c r="FB80" s="74">
        <v>1.2580404999999999E-3</v>
      </c>
      <c r="FC80" s="74">
        <v>1.2328714000000001E-3</v>
      </c>
      <c r="FD80" s="74">
        <v>1.2082054999999999E-3</v>
      </c>
      <c r="FE80" s="74">
        <v>1.1840327E-3</v>
      </c>
      <c r="FF80" s="74">
        <v>1.1603433E-3</v>
      </c>
      <c r="FG80" s="74">
        <v>1.1371275000000001E-3</v>
      </c>
      <c r="FH80" s="74">
        <v>1.1143758E-3</v>
      </c>
      <c r="FI80" s="74">
        <v>1.0920792E-3</v>
      </c>
      <c r="FJ80" s="74">
        <v>1.0702283E-3</v>
      </c>
      <c r="FK80" s="74">
        <v>1.0488144E-3</v>
      </c>
      <c r="FL80" s="74">
        <v>1.0278288E-3</v>
      </c>
      <c r="FM80" s="74">
        <v>1.0072626999999999E-3</v>
      </c>
      <c r="FN80" s="74">
        <v>9.87108E-4</v>
      </c>
      <c r="FO80" s="74">
        <v>9.6735639999999997E-4</v>
      </c>
      <c r="FP80" s="74">
        <v>9.4799969999999996E-4</v>
      </c>
      <c r="FQ80" s="74">
        <v>9.2903020000000003E-4</v>
      </c>
    </row>
    <row r="81" spans="1:173" x14ac:dyDescent="0.25">
      <c r="A81" s="76">
        <v>79</v>
      </c>
      <c r="B81" s="74">
        <v>3.0965574100000001E-2</v>
      </c>
      <c r="C81" s="74">
        <v>3.04504723E-2</v>
      </c>
      <c r="D81" s="74">
        <v>2.9939495699999999E-2</v>
      </c>
      <c r="E81" s="74">
        <v>2.9432943199999999E-2</v>
      </c>
      <c r="F81" s="74">
        <v>2.89310846E-2</v>
      </c>
      <c r="G81" s="74">
        <v>2.8434162999999998E-2</v>
      </c>
      <c r="H81" s="74">
        <v>2.7942395700000001E-2</v>
      </c>
      <c r="I81" s="74">
        <v>2.7455976600000001E-2</v>
      </c>
      <c r="J81" s="74">
        <v>2.6975077399999998E-2</v>
      </c>
      <c r="K81" s="74">
        <v>2.64998491E-2</v>
      </c>
      <c r="L81" s="74">
        <v>2.6030423600000002E-2</v>
      </c>
      <c r="M81" s="74">
        <v>2.5566914699999999E-2</v>
      </c>
      <c r="N81" s="74">
        <v>2.5109419800000001E-2</v>
      </c>
      <c r="O81" s="74">
        <v>2.4658020700000002E-2</v>
      </c>
      <c r="P81" s="74">
        <v>2.4212785000000001E-2</v>
      </c>
      <c r="Q81" s="74">
        <v>2.3773766700000001E-2</v>
      </c>
      <c r="R81" s="74">
        <v>2.3341008E-2</v>
      </c>
      <c r="S81" s="74">
        <v>2.29145394E-2</v>
      </c>
      <c r="T81" s="74">
        <v>2.2494381000000001E-2</v>
      </c>
      <c r="U81" s="74">
        <v>2.2080543300000002E-2</v>
      </c>
      <c r="V81" s="74">
        <v>2.1673027800000001E-2</v>
      </c>
      <c r="W81" s="74">
        <v>2.1271828E-2</v>
      </c>
      <c r="X81" s="74">
        <v>2.0876929700000001E-2</v>
      </c>
      <c r="Y81" s="74">
        <v>2.0488312000000002E-2</v>
      </c>
      <c r="Z81" s="74">
        <v>2.01059476E-2</v>
      </c>
      <c r="AA81" s="74">
        <v>1.97298035E-2</v>
      </c>
      <c r="AB81" s="74">
        <v>1.93598416E-2</v>
      </c>
      <c r="AC81" s="74">
        <v>1.8996018900000002E-2</v>
      </c>
      <c r="AD81" s="74">
        <v>1.8638288199999999E-2</v>
      </c>
      <c r="AE81" s="74">
        <v>1.8286598500000001E-2</v>
      </c>
      <c r="AF81" s="74">
        <v>1.79408951E-2</v>
      </c>
      <c r="AG81" s="74">
        <v>1.76011204E-2</v>
      </c>
      <c r="AH81" s="74">
        <v>1.72672138E-2</v>
      </c>
      <c r="AI81" s="74">
        <v>1.6939112400000001E-2</v>
      </c>
      <c r="AJ81" s="74">
        <v>1.66167511E-2</v>
      </c>
      <c r="AK81" s="74">
        <v>1.63000627E-2</v>
      </c>
      <c r="AL81" s="74">
        <v>1.5988978399999999E-2</v>
      </c>
      <c r="AM81" s="74">
        <v>1.5683428100000001E-2</v>
      </c>
      <c r="AN81" s="74">
        <v>1.5383340299999999E-2</v>
      </c>
      <c r="AO81" s="74">
        <v>1.5088642500000001E-2</v>
      </c>
      <c r="AP81" s="74">
        <v>1.47992613E-2</v>
      </c>
      <c r="AQ81" s="74">
        <v>1.4515122700000001E-2</v>
      </c>
      <c r="AR81" s="74">
        <v>1.42361521E-2</v>
      </c>
      <c r="AS81" s="74">
        <v>1.39622746E-2</v>
      </c>
      <c r="AT81" s="74">
        <v>1.36934148E-2</v>
      </c>
      <c r="AU81" s="74">
        <v>1.34294975E-2</v>
      </c>
      <c r="AV81" s="74">
        <v>1.31704471E-2</v>
      </c>
      <c r="AW81" s="74">
        <v>1.2916188300000001E-2</v>
      </c>
      <c r="AX81" s="74">
        <v>1.2666646E-2</v>
      </c>
      <c r="AY81" s="74">
        <v>1.2421745200000001E-2</v>
      </c>
      <c r="AZ81" s="74">
        <v>1.2181411200000001E-2</v>
      </c>
      <c r="BA81" s="74">
        <v>1.19455697E-2</v>
      </c>
      <c r="BB81" s="74">
        <v>1.1714147100000001E-2</v>
      </c>
      <c r="BC81" s="74">
        <v>1.148707E-2</v>
      </c>
      <c r="BD81" s="74">
        <v>1.12642656E-2</v>
      </c>
      <c r="BE81" s="74">
        <v>1.1045661999999999E-2</v>
      </c>
      <c r="BF81" s="74">
        <v>1.0831187500000001E-2</v>
      </c>
      <c r="BG81" s="74">
        <v>1.06207716E-2</v>
      </c>
      <c r="BH81" s="74">
        <v>1.0414344000000001E-2</v>
      </c>
      <c r="BI81" s="74">
        <v>1.02118355E-2</v>
      </c>
      <c r="BJ81" s="74">
        <v>1.0013177599999999E-2</v>
      </c>
      <c r="BK81" s="74">
        <v>9.8183026000000003E-3</v>
      </c>
      <c r="BL81" s="74">
        <v>9.6271436000000005E-3</v>
      </c>
      <c r="BM81" s="74">
        <v>9.4396345000000003E-3</v>
      </c>
      <c r="BN81" s="74">
        <v>9.2557101999999995E-3</v>
      </c>
      <c r="BO81" s="74">
        <v>9.0753063000000005E-3</v>
      </c>
      <c r="BP81" s="74">
        <v>8.8983593000000003E-3</v>
      </c>
      <c r="BQ81" s="74">
        <v>8.7248067000000006E-3</v>
      </c>
      <c r="BR81" s="74">
        <v>8.5545867000000001E-3</v>
      </c>
      <c r="BS81" s="74">
        <v>8.3876387E-3</v>
      </c>
      <c r="BT81" s="74">
        <v>8.2239028000000002E-3</v>
      </c>
      <c r="BU81" s="74">
        <v>8.0633197999999996E-3</v>
      </c>
      <c r="BV81" s="74">
        <v>7.9058318000000006E-3</v>
      </c>
      <c r="BW81" s="74">
        <v>7.7513816000000001E-3</v>
      </c>
      <c r="BX81" s="74">
        <v>7.5999127999999997E-3</v>
      </c>
      <c r="BY81" s="74">
        <v>7.4513701000000002E-3</v>
      </c>
      <c r="BZ81" s="74">
        <v>7.3056989999999997E-3</v>
      </c>
      <c r="CA81" s="74">
        <v>7.1628459E-3</v>
      </c>
      <c r="CB81" s="74">
        <v>7.0227579E-3</v>
      </c>
      <c r="CC81" s="74">
        <v>6.8853834000000003E-3</v>
      </c>
      <c r="CD81" s="74">
        <v>6.7506711000000002E-3</v>
      </c>
      <c r="CE81" s="74">
        <v>6.6185710999999998E-3</v>
      </c>
      <c r="CF81" s="74">
        <v>6.4890340999999999E-3</v>
      </c>
      <c r="CG81" s="74">
        <v>6.3620114999999996E-3</v>
      </c>
      <c r="CH81" s="74">
        <v>6.2374557999999997E-3</v>
      </c>
      <c r="CI81" s="74">
        <v>6.1153201999999997E-3</v>
      </c>
      <c r="CJ81" s="74">
        <v>5.9955588000000001E-3</v>
      </c>
      <c r="CK81" s="74">
        <v>5.8781264000000001E-3</v>
      </c>
      <c r="CL81" s="74">
        <v>5.7629786000000004E-3</v>
      </c>
      <c r="CM81" s="74">
        <v>5.6500717999999998E-3</v>
      </c>
      <c r="CN81" s="74">
        <v>5.5393634000000004E-3</v>
      </c>
      <c r="CO81" s="74">
        <v>5.4308111000000003E-3</v>
      </c>
      <c r="CP81" s="74">
        <v>5.3243739000000002E-3</v>
      </c>
      <c r="CQ81" s="74">
        <v>5.2200110999999997E-3</v>
      </c>
      <c r="CR81" s="74">
        <v>5.1176829E-3</v>
      </c>
      <c r="CS81" s="74">
        <v>5.0173504000000004E-3</v>
      </c>
      <c r="CT81" s="74">
        <v>4.9189751000000004E-3</v>
      </c>
      <c r="CU81" s="74">
        <v>4.8225194000000001E-3</v>
      </c>
      <c r="CV81" s="74">
        <v>4.7279464000000004E-3</v>
      </c>
      <c r="CW81" s="74">
        <v>4.6352197000000001E-3</v>
      </c>
      <c r="CX81" s="74">
        <v>4.5443037999999998E-3</v>
      </c>
      <c r="CY81" s="74">
        <v>4.4551636999999996E-3</v>
      </c>
      <c r="CZ81" s="74">
        <v>4.3677652000000001E-3</v>
      </c>
      <c r="DA81" s="74">
        <v>4.2820745999999996E-3</v>
      </c>
      <c r="DB81" s="74">
        <v>4.1980587999999996E-3</v>
      </c>
      <c r="DC81" s="74">
        <v>4.1156854999999997E-3</v>
      </c>
      <c r="DD81" s="74">
        <v>4.0349228000000001E-3</v>
      </c>
      <c r="DE81" s="74">
        <v>3.9557396E-3</v>
      </c>
      <c r="DF81" s="74">
        <v>3.8781052999999998E-3</v>
      </c>
      <c r="DG81" s="74">
        <v>3.8019897000000002E-3</v>
      </c>
      <c r="DH81" s="74">
        <v>3.7273635999999998E-3</v>
      </c>
      <c r="DI81" s="74">
        <v>3.6541977999999999E-3</v>
      </c>
      <c r="DJ81" s="74">
        <v>3.5824642000000001E-3</v>
      </c>
      <c r="DK81" s="74">
        <v>3.5121346999999999E-3</v>
      </c>
      <c r="DL81" s="74">
        <v>3.4431823E-3</v>
      </c>
      <c r="DM81" s="74">
        <v>3.3755801E-3</v>
      </c>
      <c r="DN81" s="74">
        <v>3.3093017E-3</v>
      </c>
      <c r="DO81" s="74">
        <v>3.2443215999999999E-3</v>
      </c>
      <c r="DP81" s="74">
        <v>3.1806143000000001E-3</v>
      </c>
      <c r="DQ81" s="74">
        <v>3.1181552000000001E-3</v>
      </c>
      <c r="DR81" s="74">
        <v>3.0569198999999998E-3</v>
      </c>
      <c r="DS81" s="74">
        <v>2.9968845000000002E-3</v>
      </c>
      <c r="DT81" s="74">
        <v>2.9380256000000001E-3</v>
      </c>
      <c r="DU81" s="74">
        <v>2.8803205000000002E-3</v>
      </c>
      <c r="DV81" s="74">
        <v>2.8237463999999999E-3</v>
      </c>
      <c r="DW81" s="74">
        <v>2.7682814000000002E-3</v>
      </c>
      <c r="DX81" s="74">
        <v>2.7139038E-3</v>
      </c>
      <c r="DY81" s="74">
        <v>2.6605925E-3</v>
      </c>
      <c r="DZ81" s="74">
        <v>2.6083265E-3</v>
      </c>
      <c r="EA81" s="74">
        <v>2.5570854999999999E-3</v>
      </c>
      <c r="EB81" s="74">
        <v>2.5068495E-3</v>
      </c>
      <c r="EC81" s="74">
        <v>2.4575987999999999E-3</v>
      </c>
      <c r="ED81" s="74">
        <v>2.4093141000000001E-3</v>
      </c>
      <c r="EE81" s="74">
        <v>2.3619766999999998E-3</v>
      </c>
      <c r="EF81" s="74">
        <v>2.3155679E-3</v>
      </c>
      <c r="EG81" s="74">
        <v>2.2700696999999998E-3</v>
      </c>
      <c r="EH81" s="74">
        <v>2.2254642E-3</v>
      </c>
      <c r="EI81" s="74">
        <v>2.1817338999999998E-3</v>
      </c>
      <c r="EJ81" s="74">
        <v>2.1388619E-3</v>
      </c>
      <c r="EK81" s="74">
        <v>2.0968311E-3</v>
      </c>
      <c r="EL81" s="74">
        <v>2.0556252999999998E-3</v>
      </c>
      <c r="EM81" s="74">
        <v>2.0152282000000001E-3</v>
      </c>
      <c r="EN81" s="74">
        <v>1.975624E-3</v>
      </c>
      <c r="EO81" s="74">
        <v>1.9367971999999999E-3</v>
      </c>
      <c r="EP81" s="74">
        <v>1.8987327E-3</v>
      </c>
      <c r="EQ81" s="74">
        <v>1.8614153E-3</v>
      </c>
      <c r="ER81" s="74">
        <v>1.8248305999999999E-3</v>
      </c>
      <c r="ES81" s="74">
        <v>1.7889641999999999E-3</v>
      </c>
      <c r="ET81" s="74">
        <v>1.7538020000000001E-3</v>
      </c>
      <c r="EU81" s="74">
        <v>1.7193302000000001E-3</v>
      </c>
      <c r="EV81" s="74">
        <v>1.6855354000000001E-3</v>
      </c>
      <c r="EW81" s="74">
        <v>1.6524040999999999E-3</v>
      </c>
      <c r="EX81" s="74">
        <v>1.6199234E-3</v>
      </c>
      <c r="EY81" s="74">
        <v>1.5880807E-3</v>
      </c>
      <c r="EZ81" s="74">
        <v>1.5568633E-3</v>
      </c>
      <c r="FA81" s="74">
        <v>1.5262590000000001E-3</v>
      </c>
      <c r="FB81" s="74">
        <v>1.4962558E-3</v>
      </c>
      <c r="FC81" s="74">
        <v>1.4668419000000001E-3</v>
      </c>
      <c r="FD81" s="74">
        <v>1.4380058000000001E-3</v>
      </c>
      <c r="FE81" s="74">
        <v>1.4097361E-3</v>
      </c>
      <c r="FF81" s="74">
        <v>1.3820217E-3</v>
      </c>
      <c r="FG81" s="74">
        <v>1.3548518000000001E-3</v>
      </c>
      <c r="FH81" s="74">
        <v>1.3282156E-3</v>
      </c>
      <c r="FI81" s="74">
        <v>1.3021027000000001E-3</v>
      </c>
      <c r="FJ81" s="74">
        <v>1.2765027999999999E-3</v>
      </c>
      <c r="FK81" s="74">
        <v>1.2514059E-3</v>
      </c>
      <c r="FL81" s="74">
        <v>1.2268021E-3</v>
      </c>
      <c r="FM81" s="74">
        <v>1.2026817E-3</v>
      </c>
      <c r="FN81" s="74">
        <v>1.1790352E-3</v>
      </c>
      <c r="FO81" s="74">
        <v>1.1558533E-3</v>
      </c>
      <c r="FP81" s="74">
        <v>1.133127E-3</v>
      </c>
      <c r="FQ81" s="74">
        <v>1.1108471999999999E-3</v>
      </c>
    </row>
    <row r="82" spans="1:173" x14ac:dyDescent="0.25">
      <c r="A82" s="76">
        <v>80</v>
      </c>
      <c r="B82" s="74">
        <v>3.5836686100000001E-2</v>
      </c>
      <c r="C82" s="74">
        <v>3.5265168200000002E-2</v>
      </c>
      <c r="D82" s="74">
        <v>3.4697577700000003E-2</v>
      </c>
      <c r="E82" s="74">
        <v>3.4134273E-2</v>
      </c>
      <c r="F82" s="74">
        <v>3.3575580000000001E-2</v>
      </c>
      <c r="G82" s="74">
        <v>3.3021793899999999E-2</v>
      </c>
      <c r="H82" s="74">
        <v>3.2473181099999998E-2</v>
      </c>
      <c r="I82" s="74">
        <v>3.1929980900000002E-2</v>
      </c>
      <c r="J82" s="74">
        <v>3.13924077E-2</v>
      </c>
      <c r="K82" s="74">
        <v>3.0860651999999999E-2</v>
      </c>
      <c r="L82" s="74">
        <v>3.03348825E-2</v>
      </c>
      <c r="M82" s="74">
        <v>2.98152473E-2</v>
      </c>
      <c r="N82" s="74">
        <v>2.93018754E-2</v>
      </c>
      <c r="O82" s="74">
        <v>2.8794877900000002E-2</v>
      </c>
      <c r="P82" s="74">
        <v>2.8294349600000001E-2</v>
      </c>
      <c r="Q82" s="74">
        <v>2.7800369599999999E-2</v>
      </c>
      <c r="R82" s="74">
        <v>2.7313002900000001E-2</v>
      </c>
      <c r="S82" s="74">
        <v>2.6832301400000001E-2</v>
      </c>
      <c r="T82" s="74">
        <v>2.6358304400000001E-2</v>
      </c>
      <c r="U82" s="74">
        <v>2.5891040300000001E-2</v>
      </c>
      <c r="V82" s="74">
        <v>2.5430526799999999E-2</v>
      </c>
      <c r="W82" s="74">
        <v>2.49767719E-2</v>
      </c>
      <c r="X82" s="74">
        <v>2.4529775E-2</v>
      </c>
      <c r="Y82" s="74">
        <v>2.4089527100000001E-2</v>
      </c>
      <c r="Z82" s="74">
        <v>2.36560117E-2</v>
      </c>
      <c r="AA82" s="74">
        <v>2.32292056E-2</v>
      </c>
      <c r="AB82" s="74">
        <v>2.2809079199999999E-2</v>
      </c>
      <c r="AC82" s="74">
        <v>2.2395597100000001E-2</v>
      </c>
      <c r="AD82" s="74">
        <v>2.1988718800000001E-2</v>
      </c>
      <c r="AE82" s="74">
        <v>2.15883989E-2</v>
      </c>
      <c r="AF82" s="74">
        <v>2.1194587899999999E-2</v>
      </c>
      <c r="AG82" s="74">
        <v>2.0807232200000001E-2</v>
      </c>
      <c r="AH82" s="74">
        <v>2.04262747E-2</v>
      </c>
      <c r="AI82" s="74">
        <v>2.0051655299999999E-2</v>
      </c>
      <c r="AJ82" s="74">
        <v>1.9683310900000001E-2</v>
      </c>
      <c r="AK82" s="74">
        <v>1.9321175900000001E-2</v>
      </c>
      <c r="AL82" s="74">
        <v>1.89651827E-2</v>
      </c>
      <c r="AM82" s="74">
        <v>1.8615261399999999E-2</v>
      </c>
      <c r="AN82" s="74">
        <v>1.8271340600000002E-2</v>
      </c>
      <c r="AO82" s="74">
        <v>1.7933347499999999E-2</v>
      </c>
      <c r="AP82" s="74">
        <v>1.7601207800000001E-2</v>
      </c>
      <c r="AQ82" s="74">
        <v>1.72748463E-2</v>
      </c>
      <c r="AR82" s="74">
        <v>1.6954186699999998E-2</v>
      </c>
      <c r="AS82" s="74">
        <v>1.6639152300000001E-2</v>
      </c>
      <c r="AT82" s="74">
        <v>1.6329665600000001E-2</v>
      </c>
      <c r="AU82" s="74">
        <v>1.6025648699999999E-2</v>
      </c>
      <c r="AV82" s="74">
        <v>1.5727023400000002E-2</v>
      </c>
      <c r="AW82" s="74">
        <v>1.5433711399999999E-2</v>
      </c>
      <c r="AX82" s="74">
        <v>1.51456344E-2</v>
      </c>
      <c r="AY82" s="74">
        <v>1.4862713899999999E-2</v>
      </c>
      <c r="AZ82" s="74">
        <v>1.45848717E-2</v>
      </c>
      <c r="BA82" s="74">
        <v>1.43120299E-2</v>
      </c>
      <c r="BB82" s="74">
        <v>1.4044110699999999E-2</v>
      </c>
      <c r="BC82" s="74">
        <v>1.37810368E-2</v>
      </c>
      <c r="BD82" s="74">
        <v>1.35227313E-2</v>
      </c>
      <c r="BE82" s="74">
        <v>1.3269117800000001E-2</v>
      </c>
      <c r="BF82" s="74">
        <v>1.3020120499999999E-2</v>
      </c>
      <c r="BG82" s="74">
        <v>1.27756641E-2</v>
      </c>
      <c r="BH82" s="74">
        <v>1.2535674E-2</v>
      </c>
      <c r="BI82" s="74">
        <v>1.2300076300000001E-2</v>
      </c>
      <c r="BJ82" s="74">
        <v>1.20687976E-2</v>
      </c>
      <c r="BK82" s="74">
        <v>1.18417657E-2</v>
      </c>
      <c r="BL82" s="74">
        <v>1.16189087E-2</v>
      </c>
      <c r="BM82" s="74">
        <v>1.1400155699999999E-2</v>
      </c>
      <c r="BN82" s="74">
        <v>1.1185436700000001E-2</v>
      </c>
      <c r="BO82" s="74">
        <v>1.09746824E-2</v>
      </c>
      <c r="BP82" s="74">
        <v>1.07678245E-2</v>
      </c>
      <c r="BQ82" s="74">
        <v>1.05647954E-2</v>
      </c>
      <c r="BR82" s="74">
        <v>1.0365528400000001E-2</v>
      </c>
      <c r="BS82" s="74">
        <v>1.0169957800000001E-2</v>
      </c>
      <c r="BT82" s="74">
        <v>9.9780187000000006E-3</v>
      </c>
      <c r="BU82" s="74">
        <v>9.7896471999999995E-3</v>
      </c>
      <c r="BV82" s="74">
        <v>9.6047800999999999E-3</v>
      </c>
      <c r="BW82" s="74">
        <v>9.4233554999999993E-3</v>
      </c>
      <c r="BX82" s="74">
        <v>9.2453119000000007E-3</v>
      </c>
      <c r="BY82" s="74">
        <v>9.0705891E-3</v>
      </c>
      <c r="BZ82" s="74">
        <v>8.8991276000000008E-3</v>
      </c>
      <c r="CA82" s="74">
        <v>8.7308690000000005E-3</v>
      </c>
      <c r="CB82" s="74">
        <v>8.5657554999999993E-3</v>
      </c>
      <c r="CC82" s="74">
        <v>8.4037305999999992E-3</v>
      </c>
      <c r="CD82" s="74">
        <v>8.2447383000000003E-3</v>
      </c>
      <c r="CE82" s="74">
        <v>8.0887237999999993E-3</v>
      </c>
      <c r="CF82" s="74">
        <v>7.9356328999999996E-3</v>
      </c>
      <c r="CG82" s="74">
        <v>7.7854125E-3</v>
      </c>
      <c r="CH82" s="74">
        <v>7.6380103000000003E-3</v>
      </c>
      <c r="CI82" s="74">
        <v>7.4933748E-3</v>
      </c>
      <c r="CJ82" s="74">
        <v>7.3514555000000004E-3</v>
      </c>
      <c r="CK82" s="74">
        <v>7.2122026000000002E-3</v>
      </c>
      <c r="CL82" s="74">
        <v>7.0755671999999997E-3</v>
      </c>
      <c r="CM82" s="74">
        <v>6.9415010999999997E-3</v>
      </c>
      <c r="CN82" s="74">
        <v>6.8099572000000002E-3</v>
      </c>
      <c r="CO82" s="74">
        <v>6.6808889000000002E-3</v>
      </c>
      <c r="CP82" s="74">
        <v>6.5542506000000004E-3</v>
      </c>
      <c r="CQ82" s="74">
        <v>6.4299973999999999E-3</v>
      </c>
      <c r="CR82" s="74">
        <v>6.3080851999999998E-3</v>
      </c>
      <c r="CS82" s="74">
        <v>6.1884707000000004E-3</v>
      </c>
      <c r="CT82" s="74">
        <v>6.0711113000000002E-3</v>
      </c>
      <c r="CU82" s="74">
        <v>5.9559651000000002E-3</v>
      </c>
      <c r="CV82" s="74">
        <v>5.8429911999999997E-3</v>
      </c>
      <c r="CW82" s="74">
        <v>5.7321489999999998E-3</v>
      </c>
      <c r="CX82" s="74">
        <v>5.6233990000000003E-3</v>
      </c>
      <c r="CY82" s="74">
        <v>5.5167022999999997E-3</v>
      </c>
      <c r="CZ82" s="74">
        <v>5.4120204000000002E-3</v>
      </c>
      <c r="DA82" s="74">
        <v>5.3093159999999997E-3</v>
      </c>
      <c r="DB82" s="74">
        <v>5.2085520999999996E-3</v>
      </c>
      <c r="DC82" s="74">
        <v>5.1096924E-3</v>
      </c>
      <c r="DD82" s="74">
        <v>5.0127013999999998E-3</v>
      </c>
      <c r="DE82" s="74">
        <v>4.9175440999999999E-3</v>
      </c>
      <c r="DF82" s="74">
        <v>4.8241862999999999E-3</v>
      </c>
      <c r="DG82" s="74">
        <v>4.7325943000000002E-3</v>
      </c>
      <c r="DH82" s="74">
        <v>4.6427348999999998E-3</v>
      </c>
      <c r="DI82" s="74">
        <v>4.5545758000000002E-3</v>
      </c>
      <c r="DJ82" s="74">
        <v>4.4680848999999996E-3</v>
      </c>
      <c r="DK82" s="74">
        <v>4.3832311999999997E-3</v>
      </c>
      <c r="DL82" s="74">
        <v>4.2999837000000001E-3</v>
      </c>
      <c r="DM82" s="74">
        <v>4.2183124000000002E-3</v>
      </c>
      <c r="DN82" s="74">
        <v>4.1381876E-3</v>
      </c>
      <c r="DO82" s="74">
        <v>4.0595802999999998E-3</v>
      </c>
      <c r="DP82" s="74">
        <v>3.982462E-3</v>
      </c>
      <c r="DQ82" s="74">
        <v>3.9068046E-3</v>
      </c>
      <c r="DR82" s="74">
        <v>3.8325807000000002E-3</v>
      </c>
      <c r="DS82" s="74">
        <v>3.7597632999999998E-3</v>
      </c>
      <c r="DT82" s="74">
        <v>3.6883259E-3</v>
      </c>
      <c r="DU82" s="74">
        <v>3.6182425E-3</v>
      </c>
      <c r="DV82" s="74">
        <v>3.5494875000000002E-3</v>
      </c>
      <c r="DW82" s="74">
        <v>3.4820361E-3</v>
      </c>
      <c r="DX82" s="74">
        <v>3.4158635000000001E-3</v>
      </c>
      <c r="DY82" s="74">
        <v>3.3509456999999999E-3</v>
      </c>
      <c r="DZ82" s="74">
        <v>3.2872590999999999E-3</v>
      </c>
      <c r="EA82" s="74">
        <v>3.2247803000000001E-3</v>
      </c>
      <c r="EB82" s="74">
        <v>3.1634864999999998E-3</v>
      </c>
      <c r="EC82" s="74">
        <v>3.1033555000000001E-3</v>
      </c>
      <c r="ED82" s="74">
        <v>3.0443652999999999E-3</v>
      </c>
      <c r="EE82" s="74">
        <v>2.9864942999999998E-3</v>
      </c>
      <c r="EF82" s="74">
        <v>2.9297212999999998E-3</v>
      </c>
      <c r="EG82" s="74">
        <v>2.8740256999999999E-3</v>
      </c>
      <c r="EH82" s="74">
        <v>2.819387E-3</v>
      </c>
      <c r="EI82" s="74">
        <v>2.7657852999999999E-3</v>
      </c>
      <c r="EJ82" s="74">
        <v>2.7132010000000002E-3</v>
      </c>
      <c r="EK82" s="74">
        <v>2.6616149E-3</v>
      </c>
      <c r="EL82" s="74">
        <v>2.6110080000000002E-3</v>
      </c>
      <c r="EM82" s="74">
        <v>2.5613619000000002E-3</v>
      </c>
      <c r="EN82" s="74">
        <v>2.5126583000000002E-3</v>
      </c>
      <c r="EO82" s="74">
        <v>2.4648794999999999E-3</v>
      </c>
      <c r="EP82" s="74">
        <v>2.4180079000000001E-3</v>
      </c>
      <c r="EQ82" s="74">
        <v>2.3720262999999998E-3</v>
      </c>
      <c r="ER82" s="74">
        <v>2.3269179999999999E-3</v>
      </c>
      <c r="ES82" s="74">
        <v>2.2826664000000002E-3</v>
      </c>
      <c r="ET82" s="74">
        <v>2.2392552E-3</v>
      </c>
      <c r="EU82" s="74">
        <v>2.1966684999999999E-3</v>
      </c>
      <c r="EV82" s="74">
        <v>2.1548907999999999E-3</v>
      </c>
      <c r="EW82" s="74">
        <v>2.1139066999999998E-3</v>
      </c>
      <c r="EX82" s="74">
        <v>2.0737010999999999E-3</v>
      </c>
      <c r="EY82" s="74">
        <v>2.0342594000000002E-3</v>
      </c>
      <c r="EZ82" s="74">
        <v>1.9955670000000002E-3</v>
      </c>
      <c r="FA82" s="74">
        <v>1.9576097000000002E-3</v>
      </c>
      <c r="FB82" s="74">
        <v>1.9203735999999999E-3</v>
      </c>
      <c r="FC82" s="74">
        <v>1.8838450999999999E-3</v>
      </c>
      <c r="FD82" s="74">
        <v>1.8480107E-3</v>
      </c>
      <c r="FE82" s="74">
        <v>1.8128572E-3</v>
      </c>
      <c r="FF82" s="74">
        <v>1.7783718E-3</v>
      </c>
      <c r="FG82" s="74">
        <v>1.7445417999999999E-3</v>
      </c>
      <c r="FH82" s="74">
        <v>1.7113547E-3</v>
      </c>
      <c r="FI82" s="74">
        <v>1.6787982999999999E-3</v>
      </c>
      <c r="FJ82" s="74">
        <v>1.6468608E-3</v>
      </c>
      <c r="FK82" s="74">
        <v>1.6155302000000001E-3</v>
      </c>
      <c r="FL82" s="74">
        <v>1.5847953000000001E-3</v>
      </c>
      <c r="FM82" s="74">
        <v>1.5546444999999999E-3</v>
      </c>
      <c r="FN82" s="74">
        <v>1.5250668999999999E-3</v>
      </c>
      <c r="FO82" s="74">
        <v>1.4960516E-3</v>
      </c>
      <c r="FP82" s="74">
        <v>1.4675879000000001E-3</v>
      </c>
      <c r="FQ82" s="74">
        <v>1.4396653E-3</v>
      </c>
    </row>
    <row r="83" spans="1:173" x14ac:dyDescent="0.25">
      <c r="A83" s="76">
        <v>81</v>
      </c>
      <c r="B83" s="74">
        <v>4.11192638E-2</v>
      </c>
      <c r="C83" s="74">
        <v>4.0483158399999997E-2</v>
      </c>
      <c r="D83" s="74">
        <v>3.9851450900000002E-2</v>
      </c>
      <c r="E83" s="74">
        <v>3.92245081E-2</v>
      </c>
      <c r="F83" s="74">
        <v>3.8602663699999998E-2</v>
      </c>
      <c r="G83" s="74">
        <v>3.79862199E-2</v>
      </c>
      <c r="H83" s="74">
        <v>3.7375449599999999E-2</v>
      </c>
      <c r="I83" s="74">
        <v>3.67705984E-2</v>
      </c>
      <c r="J83" s="74">
        <v>3.6171885799999998E-2</v>
      </c>
      <c r="K83" s="74">
        <v>3.5579507699999999E-2</v>
      </c>
      <c r="L83" s="74">
        <v>3.4993637399999999E-2</v>
      </c>
      <c r="M83" s="74">
        <v>3.4414426999999997E-2</v>
      </c>
      <c r="N83" s="74">
        <v>3.3842009399999998E-2</v>
      </c>
      <c r="O83" s="74">
        <v>3.3276499100000002E-2</v>
      </c>
      <c r="P83" s="74">
        <v>3.2717993799999998E-2</v>
      </c>
      <c r="Q83" s="74">
        <v>3.2166575400000001E-2</v>
      </c>
      <c r="R83" s="74">
        <v>3.1622311200000003E-2</v>
      </c>
      <c r="S83" s="74">
        <v>3.1085254999999999E-2</v>
      </c>
      <c r="T83" s="74">
        <v>3.05554478E-2</v>
      </c>
      <c r="U83" s="74">
        <v>3.0032919299999999E-2</v>
      </c>
      <c r="V83" s="74">
        <v>2.9517688199999999E-2</v>
      </c>
      <c r="W83" s="74">
        <v>2.9009763500000001E-2</v>
      </c>
      <c r="X83" s="74">
        <v>2.8509144899999998E-2</v>
      </c>
      <c r="Y83" s="74">
        <v>2.80158236E-2</v>
      </c>
      <c r="Z83" s="74">
        <v>2.7529783200000001E-2</v>
      </c>
      <c r="AA83" s="74">
        <v>2.70510001E-2</v>
      </c>
      <c r="AB83" s="74">
        <v>2.6579444399999999E-2</v>
      </c>
      <c r="AC83" s="74">
        <v>2.61150798E-2</v>
      </c>
      <c r="AD83" s="74">
        <v>2.5657864900000001E-2</v>
      </c>
      <c r="AE83" s="74">
        <v>2.5207753199999999E-2</v>
      </c>
      <c r="AF83" s="74">
        <v>2.4764693899999999E-2</v>
      </c>
      <c r="AG83" s="74">
        <v>2.4328631699999999E-2</v>
      </c>
      <c r="AH83" s="74">
        <v>2.3899508E-2</v>
      </c>
      <c r="AI83" s="74">
        <v>2.3477260699999999E-2</v>
      </c>
      <c r="AJ83" s="74">
        <v>2.3061824700000001E-2</v>
      </c>
      <c r="AK83" s="74">
        <v>2.2653132199999999E-2</v>
      </c>
      <c r="AL83" s="74">
        <v>2.2251113199999999E-2</v>
      </c>
      <c r="AM83" s="74">
        <v>2.1855695500000001E-2</v>
      </c>
      <c r="AN83" s="74">
        <v>2.1466804900000001E-2</v>
      </c>
      <c r="AO83" s="74">
        <v>2.1084365899999999E-2</v>
      </c>
      <c r="AP83" s="74">
        <v>2.0708301299999999E-2</v>
      </c>
      <c r="AQ83" s="74">
        <v>2.0338532900000001E-2</v>
      </c>
      <c r="AR83" s="74">
        <v>1.9974981499999999E-2</v>
      </c>
      <c r="AS83" s="74">
        <v>1.9617566999999999E-2</v>
      </c>
      <c r="AT83" s="74">
        <v>1.9266208699999999E-2</v>
      </c>
      <c r="AU83" s="74">
        <v>1.8920825299999999E-2</v>
      </c>
      <c r="AV83" s="74">
        <v>1.8581335300000001E-2</v>
      </c>
      <c r="AW83" s="74">
        <v>1.82476567E-2</v>
      </c>
      <c r="AX83" s="74">
        <v>1.79197075E-2</v>
      </c>
      <c r="AY83" s="74">
        <v>1.7597405699999999E-2</v>
      </c>
      <c r="AZ83" s="74">
        <v>1.72806694E-2</v>
      </c>
      <c r="BA83" s="74">
        <v>1.69694167E-2</v>
      </c>
      <c r="BB83" s="74">
        <v>1.6663566099999999E-2</v>
      </c>
      <c r="BC83" s="74">
        <v>1.6363036300000001E-2</v>
      </c>
      <c r="BD83" s="74">
        <v>1.6067746599999998E-2</v>
      </c>
      <c r="BE83" s="74">
        <v>1.57776164E-2</v>
      </c>
      <c r="BF83" s="74">
        <v>1.5492565999999999E-2</v>
      </c>
      <c r="BG83" s="74">
        <v>1.5212516000000001E-2</v>
      </c>
      <c r="BH83" s="74">
        <v>1.49373878E-2</v>
      </c>
      <c r="BI83" s="74">
        <v>1.46671031E-2</v>
      </c>
      <c r="BJ83" s="74">
        <v>1.4401584800000001E-2</v>
      </c>
      <c r="BK83" s="74">
        <v>1.4140756000000001E-2</v>
      </c>
      <c r="BL83" s="74">
        <v>1.38845411E-2</v>
      </c>
      <c r="BM83" s="74">
        <v>1.36328647E-2</v>
      </c>
      <c r="BN83" s="74">
        <v>1.33856527E-2</v>
      </c>
      <c r="BO83" s="74">
        <v>1.31428315E-2</v>
      </c>
      <c r="BP83" s="74">
        <v>1.2904328600000001E-2</v>
      </c>
      <c r="BQ83" s="74">
        <v>1.26700722E-2</v>
      </c>
      <c r="BR83" s="74">
        <v>1.24399913E-2</v>
      </c>
      <c r="BS83" s="74">
        <v>1.2214015999999999E-2</v>
      </c>
      <c r="BT83" s="74">
        <v>1.1992077199999999E-2</v>
      </c>
      <c r="BU83" s="74">
        <v>1.17741067E-2</v>
      </c>
      <c r="BV83" s="74">
        <v>1.15600371E-2</v>
      </c>
      <c r="BW83" s="74">
        <v>1.13498021E-2</v>
      </c>
      <c r="BX83" s="74">
        <v>1.1143336300000001E-2</v>
      </c>
      <c r="BY83" s="74">
        <v>1.0940575100000001E-2</v>
      </c>
      <c r="BZ83" s="74">
        <v>1.0741454900000001E-2</v>
      </c>
      <c r="CA83" s="74">
        <v>1.0545912899999999E-2</v>
      </c>
      <c r="CB83" s="74">
        <v>1.0353887500000001E-2</v>
      </c>
      <c r="CC83" s="74">
        <v>1.0165317700000001E-2</v>
      </c>
      <c r="CD83" s="74">
        <v>9.9801435999999997E-3</v>
      </c>
      <c r="CE83" s="74">
        <v>9.7983059999999997E-3</v>
      </c>
      <c r="CF83" s="74">
        <v>9.6197469999999997E-3</v>
      </c>
      <c r="CG83" s="74">
        <v>9.4444092E-3</v>
      </c>
      <c r="CH83" s="74">
        <v>9.2722362000000006E-3</v>
      </c>
      <c r="CI83" s="74">
        <v>9.1031727000000003E-3</v>
      </c>
      <c r="CJ83" s="74">
        <v>8.9371638999999996E-3</v>
      </c>
      <c r="CK83" s="74">
        <v>8.7741561999999992E-3</v>
      </c>
      <c r="CL83" s="74">
        <v>8.6140965999999992E-3</v>
      </c>
      <c r="CM83" s="74">
        <v>8.4569332000000007E-3</v>
      </c>
      <c r="CN83" s="74">
        <v>8.3026147000000005E-3</v>
      </c>
      <c r="CO83" s="74">
        <v>8.1510908999999996E-3</v>
      </c>
      <c r="CP83" s="74">
        <v>8.0023122000000002E-3</v>
      </c>
      <c r="CQ83" s="74">
        <v>7.8562298999999992E-3</v>
      </c>
      <c r="CR83" s="74">
        <v>7.7127960999999997E-3</v>
      </c>
      <c r="CS83" s="74">
        <v>7.5719636999999999E-3</v>
      </c>
      <c r="CT83" s="74">
        <v>7.4336864000000002E-3</v>
      </c>
      <c r="CU83" s="74">
        <v>7.2979187000000003E-3</v>
      </c>
      <c r="CV83" s="74">
        <v>7.1646156999999999E-3</v>
      </c>
      <c r="CW83" s="74">
        <v>7.0337335000000001E-3</v>
      </c>
      <c r="CX83" s="74">
        <v>6.9052289000000001E-3</v>
      </c>
      <c r="CY83" s="74">
        <v>6.7790591000000001E-3</v>
      </c>
      <c r="CZ83" s="74">
        <v>6.6551826000000001E-3</v>
      </c>
      <c r="DA83" s="74">
        <v>6.5335580999999997E-3</v>
      </c>
      <c r="DB83" s="74">
        <v>6.4141453000000001E-3</v>
      </c>
      <c r="DC83" s="74">
        <v>6.2969044999999996E-3</v>
      </c>
      <c r="DD83" s="74">
        <v>6.1817966E-3</v>
      </c>
      <c r="DE83" s="74">
        <v>6.0687835000000001E-3</v>
      </c>
      <c r="DF83" s="74">
        <v>5.9578271999999998E-3</v>
      </c>
      <c r="DG83" s="74">
        <v>5.8488910000000002E-3</v>
      </c>
      <c r="DH83" s="74">
        <v>5.7419382999999999E-3</v>
      </c>
      <c r="DI83" s="74">
        <v>5.6369335E-3</v>
      </c>
      <c r="DJ83" s="74">
        <v>5.5338414000000004E-3</v>
      </c>
      <c r="DK83" s="74">
        <v>5.4326276E-3</v>
      </c>
      <c r="DL83" s="74">
        <v>5.3332581E-3</v>
      </c>
      <c r="DM83" s="74">
        <v>5.2356996999999997E-3</v>
      </c>
      <c r="DN83" s="74">
        <v>5.1399195999999999E-3</v>
      </c>
      <c r="DO83" s="74">
        <v>5.0458856999999998E-3</v>
      </c>
      <c r="DP83" s="74">
        <v>4.9535665000000001E-3</v>
      </c>
      <c r="DQ83" s="74">
        <v>4.8629309000000004E-3</v>
      </c>
      <c r="DR83" s="74">
        <v>4.7739484000000002E-3</v>
      </c>
      <c r="DS83" s="74">
        <v>4.6865891000000002E-3</v>
      </c>
      <c r="DT83" s="74">
        <v>4.6008237000000002E-3</v>
      </c>
      <c r="DU83" s="74">
        <v>4.5166232999999997E-3</v>
      </c>
      <c r="DV83" s="74">
        <v>4.4339595000000001E-3</v>
      </c>
      <c r="DW83" s="74">
        <v>4.3528044000000002E-3</v>
      </c>
      <c r="DX83" s="74">
        <v>4.2731308000000003E-3</v>
      </c>
      <c r="DY83" s="74">
        <v>4.1949116000000002E-3</v>
      </c>
      <c r="DZ83" s="74">
        <v>4.1181205999999996E-3</v>
      </c>
      <c r="EA83" s="74">
        <v>4.0427318000000002E-3</v>
      </c>
      <c r="EB83" s="74">
        <v>3.9687198000000002E-3</v>
      </c>
      <c r="EC83" s="74">
        <v>3.8960596000000001E-3</v>
      </c>
      <c r="ED83" s="74">
        <v>3.8247264999999998E-3</v>
      </c>
      <c r="EE83" s="74">
        <v>3.7546964999999998E-3</v>
      </c>
      <c r="EF83" s="74">
        <v>3.6859459999999998E-3</v>
      </c>
      <c r="EG83" s="74">
        <v>3.6184516000000002E-3</v>
      </c>
      <c r="EH83" s="74">
        <v>3.5521904999999999E-3</v>
      </c>
      <c r="EI83" s="74">
        <v>3.4871402999999998E-3</v>
      </c>
      <c r="EJ83" s="74">
        <v>3.423279E-3</v>
      </c>
      <c r="EK83" s="74">
        <v>3.3605848000000001E-3</v>
      </c>
      <c r="EL83" s="74">
        <v>3.2990366999999998E-3</v>
      </c>
      <c r="EM83" s="74">
        <v>3.2386136999999998E-3</v>
      </c>
      <c r="EN83" s="74">
        <v>3.1792954000000001E-3</v>
      </c>
      <c r="EO83" s="74">
        <v>3.1210615999999998E-3</v>
      </c>
      <c r="EP83" s="74">
        <v>3.0638925000000001E-3</v>
      </c>
      <c r="EQ83" s="74">
        <v>3.0077688999999999E-3</v>
      </c>
      <c r="ER83" s="74">
        <v>2.9526715999999998E-3</v>
      </c>
      <c r="ES83" s="74">
        <v>2.8985819000000002E-3</v>
      </c>
      <c r="ET83" s="74">
        <v>2.8454816000000002E-3</v>
      </c>
      <c r="EU83" s="74">
        <v>2.7933525E-3</v>
      </c>
      <c r="EV83" s="74">
        <v>2.7421769000000001E-3</v>
      </c>
      <c r="EW83" s="74">
        <v>2.6919374999999999E-3</v>
      </c>
      <c r="EX83" s="74">
        <v>2.6426172E-3</v>
      </c>
      <c r="EY83" s="74">
        <v>2.5941991999999998E-3</v>
      </c>
      <c r="EZ83" s="74">
        <v>2.5466669999999999E-3</v>
      </c>
      <c r="FA83" s="74">
        <v>2.5000045999999999E-3</v>
      </c>
      <c r="FB83" s="74">
        <v>2.4541961000000001E-3</v>
      </c>
      <c r="FC83" s="74">
        <v>2.4092257999999999E-3</v>
      </c>
      <c r="FD83" s="74">
        <v>2.3650784999999998E-3</v>
      </c>
      <c r="FE83" s="74">
        <v>2.3217391000000002E-3</v>
      </c>
      <c r="FF83" s="74">
        <v>2.2791929000000001E-3</v>
      </c>
      <c r="FG83" s="74">
        <v>2.2374255000000001E-3</v>
      </c>
      <c r="FH83" s="74">
        <v>2.1964226000000002E-3</v>
      </c>
      <c r="FI83" s="74">
        <v>2.1561701999999999E-3</v>
      </c>
      <c r="FJ83" s="74">
        <v>2.1166546000000001E-3</v>
      </c>
      <c r="FK83" s="74">
        <v>2.0778624999999999E-3</v>
      </c>
      <c r="FL83" s="74">
        <v>2.0397804999999999E-3</v>
      </c>
      <c r="FM83" s="74">
        <v>2.0023956999999999E-3</v>
      </c>
      <c r="FN83" s="74">
        <v>1.9656954000000001E-3</v>
      </c>
      <c r="FO83" s="74">
        <v>1.9296671E-3</v>
      </c>
      <c r="FP83" s="74">
        <v>1.8942983999999999E-3</v>
      </c>
      <c r="FQ83" s="74">
        <v>1.8595774E-3</v>
      </c>
    </row>
    <row r="84" spans="1:173" x14ac:dyDescent="0.25">
      <c r="A84" s="76">
        <v>82</v>
      </c>
      <c r="B84" s="74">
        <v>4.7349141099999999E-2</v>
      </c>
      <c r="C84" s="74">
        <v>4.6649605199999999E-2</v>
      </c>
      <c r="D84" s="74">
        <v>4.5953871799999997E-2</v>
      </c>
      <c r="E84" s="74">
        <v>4.5262397000000003E-2</v>
      </c>
      <c r="F84" s="74">
        <v>4.4575598199999997E-2</v>
      </c>
      <c r="G84" s="74">
        <v>4.38938564E-2</v>
      </c>
      <c r="H84" s="74">
        <v>4.3217518400000002E-2</v>
      </c>
      <c r="I84" s="74">
        <v>4.2546898899999998E-2</v>
      </c>
      <c r="J84" s="74">
        <v>4.1882282600000001E-2</v>
      </c>
      <c r="K84" s="74">
        <v>4.1223925699999997E-2</v>
      </c>
      <c r="L84" s="74">
        <v>4.0572058100000002E-2</v>
      </c>
      <c r="M84" s="74">
        <v>3.9926885199999998E-2</v>
      </c>
      <c r="N84" s="74">
        <v>3.9288588899999997E-2</v>
      </c>
      <c r="O84" s="74">
        <v>3.86573297E-2</v>
      </c>
      <c r="P84" s="74">
        <v>3.8033248200000001E-2</v>
      </c>
      <c r="Q84" s="74">
        <v>3.7416465900000001E-2</v>
      </c>
      <c r="R84" s="74">
        <v>3.6807087000000002E-2</v>
      </c>
      <c r="S84" s="74">
        <v>3.6205199299999997E-2</v>
      </c>
      <c r="T84" s="74">
        <v>3.5610875700000003E-2</v>
      </c>
      <c r="U84" s="74">
        <v>3.5024174900000003E-2</v>
      </c>
      <c r="V84" s="74">
        <v>3.4445142800000002E-2</v>
      </c>
      <c r="W84" s="74">
        <v>3.3873812900000001E-2</v>
      </c>
      <c r="X84" s="74">
        <v>3.3310207799999998E-2</v>
      </c>
      <c r="Y84" s="74">
        <v>3.2754339799999997E-2</v>
      </c>
      <c r="Z84" s="74">
        <v>3.2206211499999998E-2</v>
      </c>
      <c r="AA84" s="74">
        <v>3.1665816800000003E-2</v>
      </c>
      <c r="AB84" s="74">
        <v>3.1133141499999999E-2</v>
      </c>
      <c r="AC84" s="74">
        <v>3.0608164E-2</v>
      </c>
      <c r="AD84" s="74">
        <v>3.00908558E-2</v>
      </c>
      <c r="AE84" s="74">
        <v>2.9581182099999999E-2</v>
      </c>
      <c r="AF84" s="74">
        <v>2.9079102499999999E-2</v>
      </c>
      <c r="AG84" s="74">
        <v>2.85845713E-2</v>
      </c>
      <c r="AH84" s="74">
        <v>2.8097537999999998E-2</v>
      </c>
      <c r="AI84" s="74">
        <v>2.7617947699999999E-2</v>
      </c>
      <c r="AJ84" s="74">
        <v>2.7145741800000001E-2</v>
      </c>
      <c r="AK84" s="74">
        <v>2.6680857999999998E-2</v>
      </c>
      <c r="AL84" s="74">
        <v>2.6223230699999999E-2</v>
      </c>
      <c r="AM84" s="74">
        <v>2.5772791699999999E-2</v>
      </c>
      <c r="AN84" s="74">
        <v>2.5329469899999998E-2</v>
      </c>
      <c r="AO84" s="74">
        <v>2.4893192299999999E-2</v>
      </c>
      <c r="AP84" s="74">
        <v>2.4463883499999999E-2</v>
      </c>
      <c r="AQ84" s="74">
        <v>2.4041466599999999E-2</v>
      </c>
      <c r="AR84" s="74">
        <v>2.3625863E-2</v>
      </c>
      <c r="AS84" s="74">
        <v>2.32169929E-2</v>
      </c>
      <c r="AT84" s="74">
        <v>2.2814775299999999E-2</v>
      </c>
      <c r="AU84" s="74">
        <v>2.2419128199999999E-2</v>
      </c>
      <c r="AV84" s="74">
        <v>2.2029968899999999E-2</v>
      </c>
      <c r="AW84" s="74">
        <v>2.1647214000000001E-2</v>
      </c>
      <c r="AX84" s="74">
        <v>2.1270779600000001E-2</v>
      </c>
      <c r="AY84" s="74">
        <v>2.0900581599999999E-2</v>
      </c>
      <c r="AZ84" s="74">
        <v>2.0536535500000001E-2</v>
      </c>
      <c r="BA84" s="74">
        <v>2.0178556699999999E-2</v>
      </c>
      <c r="BB84" s="74">
        <v>1.9826560699999999E-2</v>
      </c>
      <c r="BC84" s="74">
        <v>1.9480463E-2</v>
      </c>
      <c r="BD84" s="74">
        <v>1.9140179300000001E-2</v>
      </c>
      <c r="BE84" s="74">
        <v>1.88056256E-2</v>
      </c>
      <c r="BF84" s="74">
        <v>1.8476718E-2</v>
      </c>
      <c r="BG84" s="74">
        <v>1.8153373300000001E-2</v>
      </c>
      <c r="BH84" s="74">
        <v>1.7835508600000001E-2</v>
      </c>
      <c r="BI84" s="74">
        <v>1.7523041499999999E-2</v>
      </c>
      <c r="BJ84" s="74">
        <v>1.72158902E-2</v>
      </c>
      <c r="BK84" s="74">
        <v>1.6913973499999999E-2</v>
      </c>
      <c r="BL84" s="74">
        <v>1.6617210899999998E-2</v>
      </c>
      <c r="BM84" s="74">
        <v>1.6325522499999998E-2</v>
      </c>
      <c r="BN84" s="74">
        <v>1.60388292E-2</v>
      </c>
      <c r="BO84" s="74">
        <v>1.57570525E-2</v>
      </c>
      <c r="BP84" s="74">
        <v>1.5480114999999999E-2</v>
      </c>
      <c r="BQ84" s="74">
        <v>1.52079398E-2</v>
      </c>
      <c r="BR84" s="74">
        <v>1.4940450900000001E-2</v>
      </c>
      <c r="BS84" s="74">
        <v>1.46775732E-2</v>
      </c>
      <c r="BT84" s="74">
        <v>1.44192325E-2</v>
      </c>
      <c r="BU84" s="74">
        <v>1.4165355399999999E-2</v>
      </c>
      <c r="BV84" s="74">
        <v>1.39158693E-2</v>
      </c>
      <c r="BW84" s="74">
        <v>1.3670702700000001E-2</v>
      </c>
      <c r="BX84" s="74">
        <v>1.34297849E-2</v>
      </c>
      <c r="BY84" s="74">
        <v>1.3193046E-2</v>
      </c>
      <c r="BZ84" s="74">
        <v>1.2960417300000001E-2</v>
      </c>
      <c r="CA84" s="74">
        <v>1.27318307E-2</v>
      </c>
      <c r="CB84" s="74">
        <v>1.2507219199999999E-2</v>
      </c>
      <c r="CC84" s="74">
        <v>1.22865167E-2</v>
      </c>
      <c r="CD84" s="74">
        <v>1.20696581E-2</v>
      </c>
      <c r="CE84" s="74">
        <v>1.1856579000000001E-2</v>
      </c>
      <c r="CF84" s="74">
        <v>1.16472161E-2</v>
      </c>
      <c r="CG84" s="74">
        <v>1.14415069E-2</v>
      </c>
      <c r="CH84" s="74">
        <v>1.123939E-2</v>
      </c>
      <c r="CI84" s="74">
        <v>1.10408047E-2</v>
      </c>
      <c r="CJ84" s="74">
        <v>1.08456913E-2</v>
      </c>
      <c r="CK84" s="74">
        <v>1.06539909E-2</v>
      </c>
      <c r="CL84" s="74">
        <v>1.0465645799999999E-2</v>
      </c>
      <c r="CM84" s="74">
        <v>1.0280598700000001E-2</v>
      </c>
      <c r="CN84" s="74">
        <v>1.00987935E-2</v>
      </c>
      <c r="CO84" s="74">
        <v>9.9201749999999998E-3</v>
      </c>
      <c r="CP84" s="74">
        <v>9.7446886000000007E-3</v>
      </c>
      <c r="CQ84" s="74">
        <v>9.5722809000000006E-3</v>
      </c>
      <c r="CR84" s="74">
        <v>9.4028989999999993E-3</v>
      </c>
      <c r="CS84" s="74">
        <v>9.2364909999999995E-3</v>
      </c>
      <c r="CT84" s="74">
        <v>9.0730059000000002E-3</v>
      </c>
      <c r="CU84" s="74">
        <v>8.9123932999999999E-3</v>
      </c>
      <c r="CV84" s="74">
        <v>8.7546038999999996E-3</v>
      </c>
      <c r="CW84" s="74">
        <v>8.5995888999999999E-3</v>
      </c>
      <c r="CX84" s="74">
        <v>8.4473003999999997E-3</v>
      </c>
      <c r="CY84" s="74">
        <v>8.2976914999999991E-3</v>
      </c>
      <c r="CZ84" s="74">
        <v>8.1507157E-3</v>
      </c>
      <c r="DA84" s="74">
        <v>8.0063274000000007E-3</v>
      </c>
      <c r="DB84" s="74">
        <v>7.8644818999999994E-3</v>
      </c>
      <c r="DC84" s="74">
        <v>7.7251350000000002E-3</v>
      </c>
      <c r="DD84" s="74">
        <v>7.5882435000000003E-3</v>
      </c>
      <c r="DE84" s="74">
        <v>7.4537646000000001E-3</v>
      </c>
      <c r="DF84" s="74">
        <v>7.3216564000000003E-3</v>
      </c>
      <c r="DG84" s="74">
        <v>7.1918777999999996E-3</v>
      </c>
      <c r="DH84" s="74">
        <v>7.0643881E-3</v>
      </c>
      <c r="DI84" s="74">
        <v>6.9391475000000003E-3</v>
      </c>
      <c r="DJ84" s="74">
        <v>6.8161167999999999E-3</v>
      </c>
      <c r="DK84" s="74">
        <v>6.6952575000000002E-3</v>
      </c>
      <c r="DL84" s="74">
        <v>6.5765316000000002E-3</v>
      </c>
      <c r="DM84" s="74">
        <v>6.459902E-3</v>
      </c>
      <c r="DN84" s="74">
        <v>6.3453321E-3</v>
      </c>
      <c r="DO84" s="74">
        <v>6.2327857E-3</v>
      </c>
      <c r="DP84" s="74">
        <v>6.1222276000000003E-3</v>
      </c>
      <c r="DQ84" s="74">
        <v>6.0136228999999996E-3</v>
      </c>
      <c r="DR84" s="74">
        <v>5.9069376000000003E-3</v>
      </c>
      <c r="DS84" s="74">
        <v>5.8021378999999996E-3</v>
      </c>
      <c r="DT84" s="74">
        <v>5.6991908000000001E-3</v>
      </c>
      <c r="DU84" s="74">
        <v>5.5980637999999997E-3</v>
      </c>
      <c r="DV84" s="74">
        <v>5.4987252000000004E-3</v>
      </c>
      <c r="DW84" s="74">
        <v>5.4011433999999999E-3</v>
      </c>
      <c r="DX84" s="74">
        <v>5.3052875999999999E-3</v>
      </c>
      <c r="DY84" s="74">
        <v>5.2111275999999996E-3</v>
      </c>
      <c r="DZ84" s="74">
        <v>5.1186336000000002E-3</v>
      </c>
      <c r="EA84" s="74">
        <v>5.0277763E-3</v>
      </c>
      <c r="EB84" s="74">
        <v>4.9385269999999998E-3</v>
      </c>
      <c r="EC84" s="74">
        <v>4.8508574000000002E-3</v>
      </c>
      <c r="ED84" s="74">
        <v>4.7647397000000003E-3</v>
      </c>
      <c r="EE84" s="74">
        <v>4.6801465999999998E-3</v>
      </c>
      <c r="EF84" s="74">
        <v>4.5970513000000001E-3</v>
      </c>
      <c r="EG84" s="74">
        <v>4.5154275000000004E-3</v>
      </c>
      <c r="EH84" s="74">
        <v>4.4352491999999997E-3</v>
      </c>
      <c r="EI84" s="74">
        <v>4.3564911000000001E-3</v>
      </c>
      <c r="EJ84" s="74">
        <v>4.2791280000000001E-3</v>
      </c>
      <c r="EK84" s="74">
        <v>4.2031354000000003E-3</v>
      </c>
      <c r="EL84" s="74">
        <v>4.1284892E-3</v>
      </c>
      <c r="EM84" s="74">
        <v>4.0551655999999997E-3</v>
      </c>
      <c r="EN84" s="74">
        <v>3.9831412999999996E-3</v>
      </c>
      <c r="EO84" s="74">
        <v>3.9123934000000003E-3</v>
      </c>
      <c r="EP84" s="74">
        <v>3.8428995000000001E-3</v>
      </c>
      <c r="EQ84" s="74">
        <v>3.7746373000000001E-3</v>
      </c>
      <c r="ER84" s="74">
        <v>3.7075850999999998E-3</v>
      </c>
      <c r="ES84" s="74">
        <v>3.6417216999999999E-3</v>
      </c>
      <c r="ET84" s="74">
        <v>3.5770260000000001E-3</v>
      </c>
      <c r="EU84" s="74">
        <v>3.5134773000000002E-3</v>
      </c>
      <c r="EV84" s="74">
        <v>3.4510554999999999E-3</v>
      </c>
      <c r="EW84" s="74">
        <v>3.3897406999999998E-3</v>
      </c>
      <c r="EX84" s="74">
        <v>3.3295132000000002E-3</v>
      </c>
      <c r="EY84" s="74">
        <v>3.2703540000000001E-3</v>
      </c>
      <c r="EZ84" s="74">
        <v>3.212244E-3</v>
      </c>
      <c r="FA84" s="74">
        <v>3.1551649000000001E-3</v>
      </c>
      <c r="FB84" s="74">
        <v>3.0990981999999999E-3</v>
      </c>
      <c r="FC84" s="74">
        <v>3.0440263000000001E-3</v>
      </c>
      <c r="FD84" s="74">
        <v>2.9899314000000001E-3</v>
      </c>
      <c r="FE84" s="74">
        <v>2.9367962999999999E-3</v>
      </c>
      <c r="FF84" s="74">
        <v>2.8846039999999998E-3</v>
      </c>
      <c r="FG84" s="74">
        <v>2.8333378999999999E-3</v>
      </c>
      <c r="FH84" s="74">
        <v>2.7829815000000001E-3</v>
      </c>
      <c r="FI84" s="74">
        <v>2.7335188000000002E-3</v>
      </c>
      <c r="FJ84" s="74">
        <v>2.6849339999999999E-3</v>
      </c>
      <c r="FK84" s="74">
        <v>2.6372115000000002E-3</v>
      </c>
      <c r="FL84" s="74">
        <v>2.5903359999999999E-3</v>
      </c>
      <c r="FM84" s="74">
        <v>2.5442926999999999E-3</v>
      </c>
      <c r="FN84" s="74">
        <v>2.4990666000000001E-3</v>
      </c>
      <c r="FO84" s="74">
        <v>2.4546435E-3</v>
      </c>
      <c r="FP84" s="74">
        <v>2.411009E-3</v>
      </c>
      <c r="FQ84" s="74">
        <v>2.3681492E-3</v>
      </c>
    </row>
    <row r="85" spans="1:173" x14ac:dyDescent="0.25">
      <c r="A85" s="76">
        <v>83</v>
      </c>
      <c r="B85" s="74">
        <v>5.4399485300000001E-2</v>
      </c>
      <c r="C85" s="74">
        <v>5.3634924399999999E-2</v>
      </c>
      <c r="D85" s="74">
        <v>5.2873716100000002E-2</v>
      </c>
      <c r="E85" s="74">
        <v>5.2116381000000003E-2</v>
      </c>
      <c r="F85" s="74">
        <v>5.1363397599999999E-2</v>
      </c>
      <c r="G85" s="74">
        <v>5.0615204599999998E-2</v>
      </c>
      <c r="H85" s="74">
        <v>4.9872203300000001E-2</v>
      </c>
      <c r="I85" s="74">
        <v>4.9134760100000001E-2</v>
      </c>
      <c r="J85" s="74">
        <v>4.8403208199999999E-2</v>
      </c>
      <c r="K85" s="74">
        <v>4.7677849799999998E-2</v>
      </c>
      <c r="L85" s="74">
        <v>4.6958958199999998E-2</v>
      </c>
      <c r="M85" s="74">
        <v>4.6246779299999999E-2</v>
      </c>
      <c r="N85" s="74">
        <v>4.5541533600000003E-2</v>
      </c>
      <c r="O85" s="74">
        <v>4.48434178E-2</v>
      </c>
      <c r="P85" s="74">
        <v>4.41526062E-2</v>
      </c>
      <c r="Q85" s="74">
        <v>4.3469252200000003E-2</v>
      </c>
      <c r="R85" s="74">
        <v>4.2793490099999998E-2</v>
      </c>
      <c r="S85" s="74">
        <v>4.2125435699999998E-2</v>
      </c>
      <c r="T85" s="74">
        <v>4.1465188100000001E-2</v>
      </c>
      <c r="U85" s="74">
        <v>4.0812830600000002E-2</v>
      </c>
      <c r="V85" s="74">
        <v>4.0168432099999998E-2</v>
      </c>
      <c r="W85" s="74">
        <v>3.95320475E-2</v>
      </c>
      <c r="X85" s="74">
        <v>3.8903719599999997E-2</v>
      </c>
      <c r="Y85" s="74">
        <v>3.8283479099999997E-2</v>
      </c>
      <c r="Z85" s="74">
        <v>3.7671346000000001E-2</v>
      </c>
      <c r="AA85" s="74">
        <v>3.70673303E-2</v>
      </c>
      <c r="AB85" s="74">
        <v>3.6471432900000003E-2</v>
      </c>
      <c r="AC85" s="74">
        <v>3.5883645700000001E-2</v>
      </c>
      <c r="AD85" s="74">
        <v>3.5303953200000002E-2</v>
      </c>
      <c r="AE85" s="74">
        <v>3.4732332400000003E-2</v>
      </c>
      <c r="AF85" s="74">
        <v>3.4168753599999997E-2</v>
      </c>
      <c r="AG85" s="74">
        <v>3.36131811E-2</v>
      </c>
      <c r="AH85" s="74">
        <v>3.3065573399999999E-2</v>
      </c>
      <c r="AI85" s="74">
        <v>3.2525884099999999E-2</v>
      </c>
      <c r="AJ85" s="74">
        <v>3.1994061900000002E-2</v>
      </c>
      <c r="AK85" s="74">
        <v>3.1470051399999997E-2</v>
      </c>
      <c r="AL85" s="74">
        <v>3.0953793199999999E-2</v>
      </c>
      <c r="AM85" s="74">
        <v>3.0445224600000001E-2</v>
      </c>
      <c r="AN85" s="74">
        <v>2.9944279300000001E-2</v>
      </c>
      <c r="AO85" s="74">
        <v>2.94508887E-2</v>
      </c>
      <c r="AP85" s="74">
        <v>2.89649812E-2</v>
      </c>
      <c r="AQ85" s="74">
        <v>2.8486483199999999E-2</v>
      </c>
      <c r="AR85" s="74">
        <v>2.8015318899999999E-2</v>
      </c>
      <c r="AS85" s="74">
        <v>2.7551410700000001E-2</v>
      </c>
      <c r="AT85" s="74">
        <v>2.7094679699999999E-2</v>
      </c>
      <c r="AU85" s="74">
        <v>2.6645045400000001E-2</v>
      </c>
      <c r="AV85" s="74">
        <v>2.6202426099999999E-2</v>
      </c>
      <c r="AW85" s="74">
        <v>2.5766739300000001E-2</v>
      </c>
      <c r="AX85" s="74">
        <v>2.5337901600000001E-2</v>
      </c>
      <c r="AY85" s="74">
        <v>2.4915828899999999E-2</v>
      </c>
      <c r="AZ85" s="74">
        <v>2.4500436600000002E-2</v>
      </c>
      <c r="BA85" s="74">
        <v>2.4091639599999999E-2</v>
      </c>
      <c r="BB85" s="74">
        <v>2.3689352800000001E-2</v>
      </c>
      <c r="BC85" s="74">
        <v>2.3293490600000001E-2</v>
      </c>
      <c r="BD85" s="74">
        <v>2.2903967500000001E-2</v>
      </c>
      <c r="BE85" s="74">
        <v>2.25206981E-2</v>
      </c>
      <c r="BF85" s="74">
        <v>2.2143597099999999E-2</v>
      </c>
      <c r="BG85" s="74">
        <v>2.1772579199999999E-2</v>
      </c>
      <c r="BH85" s="74">
        <v>2.1407559699999999E-2</v>
      </c>
      <c r="BI85" s="74">
        <v>2.10484539E-2</v>
      </c>
      <c r="BJ85" s="74">
        <v>2.0695177799999999E-2</v>
      </c>
      <c r="BK85" s="74">
        <v>2.0347647699999999E-2</v>
      </c>
      <c r="BL85" s="74">
        <v>2.0005780399999999E-2</v>
      </c>
      <c r="BM85" s="74">
        <v>1.96694933E-2</v>
      </c>
      <c r="BN85" s="74">
        <v>1.9338704599999999E-2</v>
      </c>
      <c r="BO85" s="74">
        <v>1.9013332800000001E-2</v>
      </c>
      <c r="BP85" s="74">
        <v>1.86932972E-2</v>
      </c>
      <c r="BQ85" s="74">
        <v>1.8378518E-2</v>
      </c>
      <c r="BR85" s="74">
        <v>1.80689159E-2</v>
      </c>
      <c r="BS85" s="74">
        <v>1.77644125E-2</v>
      </c>
      <c r="BT85" s="74">
        <v>1.7464930100000001E-2</v>
      </c>
      <c r="BU85" s="74">
        <v>1.71703918E-2</v>
      </c>
      <c r="BV85" s="74">
        <v>1.6880721500000001E-2</v>
      </c>
      <c r="BW85" s="74">
        <v>1.6595844200000001E-2</v>
      </c>
      <c r="BX85" s="74">
        <v>1.6315685399999998E-2</v>
      </c>
      <c r="BY85" s="74">
        <v>1.6040171700000001E-2</v>
      </c>
      <c r="BZ85" s="74">
        <v>1.5769230400000001E-2</v>
      </c>
      <c r="CA85" s="74">
        <v>1.55027897E-2</v>
      </c>
      <c r="CB85" s="74">
        <v>1.5240778999999999E-2</v>
      </c>
      <c r="CC85" s="74">
        <v>1.49831281E-2</v>
      </c>
      <c r="CD85" s="74">
        <v>1.4729767899999999E-2</v>
      </c>
      <c r="CE85" s="74">
        <v>1.4480630499999999E-2</v>
      </c>
      <c r="CF85" s="74">
        <v>1.42356484E-2</v>
      </c>
      <c r="CG85" s="74">
        <v>1.39947552E-2</v>
      </c>
      <c r="CH85" s="74">
        <v>1.3757885500000001E-2</v>
      </c>
      <c r="CI85" s="74">
        <v>1.3524974699999999E-2</v>
      </c>
      <c r="CJ85" s="74">
        <v>1.32959592E-2</v>
      </c>
      <c r="CK85" s="74">
        <v>1.3070775999999999E-2</v>
      </c>
      <c r="CL85" s="74">
        <v>1.28493632E-2</v>
      </c>
      <c r="CM85" s="74">
        <v>1.26316599E-2</v>
      </c>
      <c r="CN85" s="74">
        <v>1.24176058E-2</v>
      </c>
      <c r="CO85" s="74">
        <v>1.2207141600000001E-2</v>
      </c>
      <c r="CP85" s="74">
        <v>1.20002089E-2</v>
      </c>
      <c r="CQ85" s="74">
        <v>1.1796750199999999E-2</v>
      </c>
      <c r="CR85" s="74">
        <v>1.15967086E-2</v>
      </c>
      <c r="CS85" s="74">
        <v>1.14000283E-2</v>
      </c>
      <c r="CT85" s="74">
        <v>1.12066543E-2</v>
      </c>
      <c r="CU85" s="74">
        <v>1.10165322E-2</v>
      </c>
      <c r="CV85" s="74">
        <v>1.08296088E-2</v>
      </c>
      <c r="CW85" s="74">
        <v>1.06458314E-2</v>
      </c>
      <c r="CX85" s="74">
        <v>1.04651482E-2</v>
      </c>
      <c r="CY85" s="74">
        <v>1.02875082E-2</v>
      </c>
      <c r="CZ85" s="74">
        <v>1.01128612E-2</v>
      </c>
      <c r="DA85" s="74">
        <v>9.9411577999999994E-3</v>
      </c>
      <c r="DB85" s="74">
        <v>9.7723492000000006E-3</v>
      </c>
      <c r="DC85" s="74">
        <v>9.6063876999999999E-3</v>
      </c>
      <c r="DD85" s="74">
        <v>9.4432258999999994E-3</v>
      </c>
      <c r="DE85" s="74">
        <v>9.2828175000000002E-3</v>
      </c>
      <c r="DF85" s="74">
        <v>9.1251167999999994E-3</v>
      </c>
      <c r="DG85" s="74">
        <v>8.9700787999999997E-3</v>
      </c>
      <c r="DH85" s="74">
        <v>8.8176593000000008E-3</v>
      </c>
      <c r="DI85" s="74">
        <v>8.6678147000000001E-3</v>
      </c>
      <c r="DJ85" s="74">
        <v>8.5205021000000006E-3</v>
      </c>
      <c r="DK85" s="74">
        <v>8.3756792999999993E-3</v>
      </c>
      <c r="DL85" s="74">
        <v>8.2333049000000002E-3</v>
      </c>
      <c r="DM85" s="74">
        <v>8.0933379000000007E-3</v>
      </c>
      <c r="DN85" s="74">
        <v>7.9557382999999992E-3</v>
      </c>
      <c r="DO85" s="74">
        <v>7.8204664E-3</v>
      </c>
      <c r="DP85" s="74">
        <v>7.6874834000000003E-3</v>
      </c>
      <c r="DQ85" s="74">
        <v>7.5567509999999996E-3</v>
      </c>
      <c r="DR85" s="74">
        <v>7.4282315000000002E-3</v>
      </c>
      <c r="DS85" s="74">
        <v>7.3018878999999998E-3</v>
      </c>
      <c r="DT85" s="74">
        <v>7.1776838000000001E-3</v>
      </c>
      <c r="DU85" s="74">
        <v>7.0555831999999999E-3</v>
      </c>
      <c r="DV85" s="74">
        <v>6.9355509999999999E-3</v>
      </c>
      <c r="DW85" s="74">
        <v>6.8175524000000003E-3</v>
      </c>
      <c r="DX85" s="74">
        <v>6.7015533000000004E-3</v>
      </c>
      <c r="DY85" s="74">
        <v>6.5875202000000004E-3</v>
      </c>
      <c r="DZ85" s="74">
        <v>6.47542E-3</v>
      </c>
      <c r="EA85" s="74">
        <v>6.3652201999999996E-3</v>
      </c>
      <c r="EB85" s="74">
        <v>6.2568889999999999E-3</v>
      </c>
      <c r="EC85" s="74">
        <v>6.1503948999999999E-3</v>
      </c>
      <c r="ED85" s="74">
        <v>6.045707E-3</v>
      </c>
      <c r="EE85" s="74">
        <v>5.9427947999999998E-3</v>
      </c>
      <c r="EF85" s="74">
        <v>5.8416286E-3</v>
      </c>
      <c r="EG85" s="74">
        <v>5.742179E-3</v>
      </c>
      <c r="EH85" s="74">
        <v>5.6444169000000001E-3</v>
      </c>
      <c r="EI85" s="74">
        <v>5.5483140000000004E-3</v>
      </c>
      <c r="EJ85" s="74">
        <v>5.4538423999999997E-3</v>
      </c>
      <c r="EK85" s="74">
        <v>5.3609744000000003E-3</v>
      </c>
      <c r="EL85" s="74">
        <v>5.2696831999999999E-3</v>
      </c>
      <c r="EM85" s="74">
        <v>5.1799419999999999E-3</v>
      </c>
      <c r="EN85" s="74">
        <v>5.0917248E-3</v>
      </c>
      <c r="EO85" s="74">
        <v>5.0050056999999997E-3</v>
      </c>
      <c r="EP85" s="74">
        <v>4.9197596000000003E-3</v>
      </c>
      <c r="EQ85" s="74">
        <v>4.8359615999999999E-3</v>
      </c>
      <c r="ER85" s="74">
        <v>4.7535870999999997E-3</v>
      </c>
      <c r="ES85" s="74">
        <v>4.6726123000000001E-3</v>
      </c>
      <c r="ET85" s="74">
        <v>4.5930132999999996E-3</v>
      </c>
      <c r="EU85" s="74">
        <v>4.5147668999999998E-3</v>
      </c>
      <c r="EV85" s="74">
        <v>4.4378504000000003E-3</v>
      </c>
      <c r="EW85" s="74">
        <v>4.3622412000000003E-3</v>
      </c>
      <c r="EX85" s="74">
        <v>4.2879171000000001E-3</v>
      </c>
      <c r="EY85" s="74">
        <v>4.2148565000000001E-3</v>
      </c>
      <c r="EZ85" s="74">
        <v>4.1430379999999999E-3</v>
      </c>
      <c r="FA85" s="74">
        <v>4.0724406000000003E-3</v>
      </c>
      <c r="FB85" s="74">
        <v>4.0030435999999997E-3</v>
      </c>
      <c r="FC85" s="74">
        <v>3.9348266999999996E-3</v>
      </c>
      <c r="FD85" s="74">
        <v>3.8677698999999999E-3</v>
      </c>
      <c r="FE85" s="74">
        <v>3.8018535000000002E-3</v>
      </c>
      <c r="FF85" s="74">
        <v>3.7370582999999998E-3</v>
      </c>
      <c r="FG85" s="74">
        <v>3.6733652000000001E-3</v>
      </c>
      <c r="FH85" s="74">
        <v>3.6107557E-3</v>
      </c>
      <c r="FI85" s="74">
        <v>3.5492113000000001E-3</v>
      </c>
      <c r="FJ85" s="74">
        <v>3.4887138999999999E-3</v>
      </c>
      <c r="FK85" s="74">
        <v>3.4292458999999999E-3</v>
      </c>
      <c r="FL85" s="74">
        <v>3.3707898000000002E-3</v>
      </c>
      <c r="FM85" s="74">
        <v>3.3133284000000001E-3</v>
      </c>
      <c r="FN85" s="74">
        <v>3.2568448999999999E-3</v>
      </c>
      <c r="FO85" s="74">
        <v>3.2013227000000002E-3</v>
      </c>
      <c r="FP85" s="74">
        <v>3.1467454E-3</v>
      </c>
      <c r="FQ85" s="74">
        <v>3.0930971E-3</v>
      </c>
    </row>
    <row r="86" spans="1:173" x14ac:dyDescent="0.25">
      <c r="A86" s="76">
        <v>84</v>
      </c>
      <c r="B86" s="74">
        <v>6.2126443099999998E-2</v>
      </c>
      <c r="C86" s="74">
        <v>6.12936538E-2</v>
      </c>
      <c r="D86" s="74">
        <v>6.0463677399999999E-2</v>
      </c>
      <c r="E86" s="74">
        <v>5.9637104900000001E-2</v>
      </c>
      <c r="F86" s="74">
        <v>5.88144814E-2</v>
      </c>
      <c r="G86" s="74">
        <v>5.7996308699999999E-2</v>
      </c>
      <c r="H86" s="74">
        <v>5.7183047799999998E-2</v>
      </c>
      <c r="I86" s="74">
        <v>5.6375121299999997E-2</v>
      </c>
      <c r="J86" s="74">
        <v>5.5572915700000003E-2</v>
      </c>
      <c r="K86" s="74">
        <v>5.4776783599999997E-2</v>
      </c>
      <c r="L86" s="74">
        <v>5.3987045499999997E-2</v>
      </c>
      <c r="M86" s="74">
        <v>5.3203991999999999E-2</v>
      </c>
      <c r="N86" s="74">
        <v>5.2427885799999997E-2</v>
      </c>
      <c r="O86" s="74">
        <v>5.1658963199999998E-2</v>
      </c>
      <c r="P86" s="74">
        <v>5.0897435599999999E-2</v>
      </c>
      <c r="Q86" s="74">
        <v>5.0143491800000002E-2</v>
      </c>
      <c r="R86" s="74">
        <v>4.93972986E-2</v>
      </c>
      <c r="S86" s="74">
        <v>4.8659002799999997E-2</v>
      </c>
      <c r="T86" s="74">
        <v>4.7928732600000003E-2</v>
      </c>
      <c r="U86" s="74">
        <v>4.7206598400000001E-2</v>
      </c>
      <c r="V86" s="74">
        <v>4.6492694299999998E-2</v>
      </c>
      <c r="W86" s="74">
        <v>4.5787099099999999E-2</v>
      </c>
      <c r="X86" s="74">
        <v>4.5089877700000003E-2</v>
      </c>
      <c r="Y86" s="74">
        <v>4.4401081600000003E-2</v>
      </c>
      <c r="Z86" s="74">
        <v>4.3720750000000003E-2</v>
      </c>
      <c r="AA86" s="74">
        <v>4.3048910900000001E-2</v>
      </c>
      <c r="AB86" s="74">
        <v>4.2385581700000001E-2</v>
      </c>
      <c r="AC86" s="74">
        <v>4.173077E-2</v>
      </c>
      <c r="AD86" s="74">
        <v>4.1084474500000003E-2</v>
      </c>
      <c r="AE86" s="74">
        <v>4.0446685400000001E-2</v>
      </c>
      <c r="AF86" s="74">
        <v>3.9817385400000002E-2</v>
      </c>
      <c r="AG86" s="74">
        <v>3.9196549999999997E-2</v>
      </c>
      <c r="AH86" s="74">
        <v>3.8584147999999999E-2</v>
      </c>
      <c r="AI86" s="74">
        <v>3.7980142600000003E-2</v>
      </c>
      <c r="AJ86" s="74">
        <v>3.73844911E-2</v>
      </c>
      <c r="AK86" s="74">
        <v>3.6797146000000003E-2</v>
      </c>
      <c r="AL86" s="74">
        <v>3.62180551E-2</v>
      </c>
      <c r="AM86" s="74">
        <v>3.5647162000000003E-2</v>
      </c>
      <c r="AN86" s="74">
        <v>3.50844066E-2</v>
      </c>
      <c r="AO86" s="74">
        <v>3.4529725099999999E-2</v>
      </c>
      <c r="AP86" s="74">
        <v>3.3983050700000003E-2</v>
      </c>
      <c r="AQ86" s="74">
        <v>3.3444313699999999E-2</v>
      </c>
      <c r="AR86" s="74">
        <v>3.2913442000000001E-2</v>
      </c>
      <c r="AS86" s="74">
        <v>3.2390361200000002E-2</v>
      </c>
      <c r="AT86" s="74">
        <v>3.1874994599999998E-2</v>
      </c>
      <c r="AU86" s="74">
        <v>3.13672641E-2</v>
      </c>
      <c r="AV86" s="74">
        <v>3.0867089699999999E-2</v>
      </c>
      <c r="AW86" s="74">
        <v>3.0374390300000002E-2</v>
      </c>
      <c r="AX86" s="74">
        <v>2.9889083300000001E-2</v>
      </c>
      <c r="AY86" s="74">
        <v>2.9411085300000001E-2</v>
      </c>
      <c r="AZ86" s="74">
        <v>2.8940312100000001E-2</v>
      </c>
      <c r="BA86" s="74">
        <v>2.8476678599999999E-2</v>
      </c>
      <c r="BB86" s="74">
        <v>2.8020099199999999E-2</v>
      </c>
      <c r="BC86" s="74">
        <v>2.7570488000000001E-2</v>
      </c>
      <c r="BD86" s="74">
        <v>2.7127758700000001E-2</v>
      </c>
      <c r="BE86" s="74">
        <v>2.66918246E-2</v>
      </c>
      <c r="BF86" s="74">
        <v>2.6262599300000002E-2</v>
      </c>
      <c r="BG86" s="74">
        <v>2.5839996E-2</v>
      </c>
      <c r="BH86" s="74">
        <v>2.5423928200000001E-2</v>
      </c>
      <c r="BI86" s="74">
        <v>2.5014309500000002E-2</v>
      </c>
      <c r="BJ86" s="74">
        <v>2.46110537E-2</v>
      </c>
      <c r="BK86" s="74">
        <v>2.42140749E-2</v>
      </c>
      <c r="BL86" s="74">
        <v>2.3823287700000001E-2</v>
      </c>
      <c r="BM86" s="74">
        <v>2.3438607E-2</v>
      </c>
      <c r="BN86" s="74">
        <v>2.3059948100000002E-2</v>
      </c>
      <c r="BO86" s="74">
        <v>2.2687227000000001E-2</v>
      </c>
      <c r="BP86" s="74">
        <v>2.2320360000000001E-2</v>
      </c>
      <c r="BQ86" s="74">
        <v>2.19592643E-2</v>
      </c>
      <c r="BR86" s="74">
        <v>2.1603857600000002E-2</v>
      </c>
      <c r="BS86" s="74">
        <v>2.1254058199999998E-2</v>
      </c>
      <c r="BT86" s="74">
        <v>2.0909785300000001E-2</v>
      </c>
      <c r="BU86" s="74">
        <v>2.05709585E-2</v>
      </c>
      <c r="BV86" s="74">
        <v>2.0237498499999999E-2</v>
      </c>
      <c r="BW86" s="74">
        <v>1.9909326599999999E-2</v>
      </c>
      <c r="BX86" s="74">
        <v>1.9586364799999999E-2</v>
      </c>
      <c r="BY86" s="74">
        <v>1.9268536100000001E-2</v>
      </c>
      <c r="BZ86" s="74">
        <v>1.89557643E-2</v>
      </c>
      <c r="CA86" s="74">
        <v>1.8647973799999999E-2</v>
      </c>
      <c r="CB86" s="74">
        <v>1.8345090000000001E-2</v>
      </c>
      <c r="CC86" s="74">
        <v>1.8047039300000001E-2</v>
      </c>
      <c r="CD86" s="74">
        <v>1.7753748699999999E-2</v>
      </c>
      <c r="CE86" s="74">
        <v>1.7465146099999999E-2</v>
      </c>
      <c r="CF86" s="74">
        <v>1.7181160599999998E-2</v>
      </c>
      <c r="CG86" s="74">
        <v>1.69017217E-2</v>
      </c>
      <c r="CH86" s="74">
        <v>1.6626760000000001E-2</v>
      </c>
      <c r="CI86" s="74">
        <v>1.6356207000000001E-2</v>
      </c>
      <c r="CJ86" s="74">
        <v>1.6089995100000001E-2</v>
      </c>
      <c r="CK86" s="74">
        <v>1.5828057499999999E-2</v>
      </c>
      <c r="CL86" s="74">
        <v>1.5570328200000001E-2</v>
      </c>
      <c r="CM86" s="74">
        <v>1.53167422E-2</v>
      </c>
      <c r="CN86" s="74">
        <v>1.50672354E-2</v>
      </c>
      <c r="CO86" s="74">
        <v>1.4821744499999999E-2</v>
      </c>
      <c r="CP86" s="74">
        <v>1.45802069E-2</v>
      </c>
      <c r="CQ86" s="74">
        <v>1.4342561199999999E-2</v>
      </c>
      <c r="CR86" s="74">
        <v>1.4108746599999999E-2</v>
      </c>
      <c r="CS86" s="74">
        <v>1.38787033E-2</v>
      </c>
      <c r="CT86" s="74">
        <v>1.3652372100000001E-2</v>
      </c>
      <c r="CU86" s="74">
        <v>1.3429694799999999E-2</v>
      </c>
      <c r="CV86" s="74">
        <v>1.32106142E-2</v>
      </c>
      <c r="CW86" s="74">
        <v>1.29950736E-2</v>
      </c>
      <c r="CX86" s="74">
        <v>1.2783017299999999E-2</v>
      </c>
      <c r="CY86" s="74">
        <v>1.25743903E-2</v>
      </c>
      <c r="CZ86" s="74">
        <v>1.23691385E-2</v>
      </c>
      <c r="DA86" s="74">
        <v>1.21672086E-2</v>
      </c>
      <c r="DB86" s="74">
        <v>1.1968548000000001E-2</v>
      </c>
      <c r="DC86" s="74">
        <v>1.17731048E-2</v>
      </c>
      <c r="DD86" s="74">
        <v>1.1580828200000001E-2</v>
      </c>
      <c r="DE86" s="74">
        <v>1.13916677E-2</v>
      </c>
      <c r="DF86" s="74">
        <v>1.12055739E-2</v>
      </c>
      <c r="DG86" s="74">
        <v>1.10224981E-2</v>
      </c>
      <c r="DH86" s="74">
        <v>1.0842391999999999E-2</v>
      </c>
      <c r="DI86" s="74">
        <v>1.06652086E-2</v>
      </c>
      <c r="DJ86" s="74">
        <v>1.0490901E-2</v>
      </c>
      <c r="DK86" s="74">
        <v>1.0319423499999999E-2</v>
      </c>
      <c r="DL86" s="74">
        <v>1.01507308E-2</v>
      </c>
      <c r="DM86" s="74">
        <v>9.9847784999999994E-3</v>
      </c>
      <c r="DN86" s="74">
        <v>9.8215226000000003E-3</v>
      </c>
      <c r="DO86" s="74">
        <v>9.6609200999999995E-3</v>
      </c>
      <c r="DP86" s="74">
        <v>9.5029282999999996E-3</v>
      </c>
      <c r="DQ86" s="74">
        <v>9.3475056000000001E-3</v>
      </c>
      <c r="DR86" s="74">
        <v>9.1946106E-3</v>
      </c>
      <c r="DS86" s="74">
        <v>9.0442027999999997E-3</v>
      </c>
      <c r="DT86" s="74">
        <v>8.8962421999999996E-3</v>
      </c>
      <c r="DU86" s="74">
        <v>8.7506896000000001E-3</v>
      </c>
      <c r="DV86" s="74">
        <v>8.6075062999999997E-3</v>
      </c>
      <c r="DW86" s="74">
        <v>8.4666541000000001E-3</v>
      </c>
      <c r="DX86" s="74">
        <v>8.3280955000000004E-3</v>
      </c>
      <c r="DY86" s="74">
        <v>8.1917936000000004E-3</v>
      </c>
      <c r="DZ86" s="74">
        <v>8.0577119999999999E-3</v>
      </c>
      <c r="EA86" s="74">
        <v>7.9258149999999992E-3</v>
      </c>
      <c r="EB86" s="74">
        <v>7.7960672999999999E-3</v>
      </c>
      <c r="EC86" s="74">
        <v>7.6684342999999997E-3</v>
      </c>
      <c r="ED86" s="74">
        <v>7.5428819000000003E-3</v>
      </c>
      <c r="EE86" s="74">
        <v>7.4193764000000002E-3</v>
      </c>
      <c r="EF86" s="74">
        <v>7.2978848000000004E-3</v>
      </c>
      <c r="EG86" s="74">
        <v>7.1783745000000001E-3</v>
      </c>
      <c r="EH86" s="74">
        <v>7.0608136000000002E-3</v>
      </c>
      <c r="EI86" s="74">
        <v>6.9451705999999998E-3</v>
      </c>
      <c r="EJ86" s="74">
        <v>6.8314142999999997E-3</v>
      </c>
      <c r="EK86" s="74">
        <v>6.7195144000000004E-3</v>
      </c>
      <c r="EL86" s="74">
        <v>6.6094407000000001E-3</v>
      </c>
      <c r="EM86" s="74">
        <v>6.5011636000000001E-3</v>
      </c>
      <c r="EN86" s="74">
        <v>6.3946541999999997E-3</v>
      </c>
      <c r="EO86" s="74">
        <v>6.2898837000000003E-3</v>
      </c>
      <c r="EP86" s="74">
        <v>6.1868239E-3</v>
      </c>
      <c r="EQ86" s="74">
        <v>6.0854472E-3</v>
      </c>
      <c r="ER86" s="74">
        <v>5.9857262000000003E-3</v>
      </c>
      <c r="ES86" s="74">
        <v>5.8876342000000002E-3</v>
      </c>
      <c r="ET86" s="74">
        <v>5.7911446E-3</v>
      </c>
      <c r="EU86" s="74">
        <v>5.6962313999999997E-3</v>
      </c>
      <c r="EV86" s="74">
        <v>5.6028692E-3</v>
      </c>
      <c r="EW86" s="74">
        <v>5.5110326000000001E-3</v>
      </c>
      <c r="EX86" s="74">
        <v>5.4206970000000004E-3</v>
      </c>
      <c r="EY86" s="74">
        <v>5.3318378999999997E-3</v>
      </c>
      <c r="EZ86" s="74">
        <v>5.2444314000000001E-3</v>
      </c>
      <c r="FA86" s="74">
        <v>5.1584539000000002E-3</v>
      </c>
      <c r="FB86" s="74">
        <v>5.073882E-3</v>
      </c>
      <c r="FC86" s="74">
        <v>4.9906930999999996E-3</v>
      </c>
      <c r="FD86" s="74">
        <v>4.9088645000000004E-3</v>
      </c>
      <c r="FE86" s="74">
        <v>4.8283741999999999E-3</v>
      </c>
      <c r="FF86" s="74">
        <v>4.7492004000000004E-3</v>
      </c>
      <c r="FG86" s="74">
        <v>4.6713216000000002E-3</v>
      </c>
      <c r="FH86" s="74">
        <v>4.5947169000000003E-3</v>
      </c>
      <c r="FI86" s="74">
        <v>4.5193654000000002E-3</v>
      </c>
      <c r="FJ86" s="74">
        <v>4.4452468000000002E-3</v>
      </c>
      <c r="FK86" s="74">
        <v>4.3723408999999996E-3</v>
      </c>
      <c r="FL86" s="74">
        <v>4.3006281000000004E-3</v>
      </c>
      <c r="FM86" s="74">
        <v>4.2300888999999998E-3</v>
      </c>
      <c r="FN86" s="74">
        <v>4.1607042000000004E-3</v>
      </c>
      <c r="FO86" s="74">
        <v>4.0924552000000001E-3</v>
      </c>
      <c r="FP86" s="74">
        <v>4.0253232999999996E-3</v>
      </c>
      <c r="FQ86" s="74">
        <v>3.9592904E-3</v>
      </c>
    </row>
    <row r="87" spans="1:173" x14ac:dyDescent="0.25">
      <c r="A87" s="76">
        <v>85</v>
      </c>
      <c r="B87" s="74">
        <v>7.1659066300000004E-2</v>
      </c>
      <c r="C87" s="74">
        <v>7.0780740699999997E-2</v>
      </c>
      <c r="D87" s="74">
        <v>6.9903509099999997E-2</v>
      </c>
      <c r="E87" s="74">
        <v>6.9028063599999995E-2</v>
      </c>
      <c r="F87" s="74">
        <v>6.8155046499999997E-2</v>
      </c>
      <c r="G87" s="74">
        <v>6.7285052600000006E-2</v>
      </c>
      <c r="H87" s="74">
        <v>6.6418632199999994E-2</v>
      </c>
      <c r="I87" s="74">
        <v>6.5556293500000001E-2</v>
      </c>
      <c r="J87" s="74">
        <v>6.4698504899999995E-2</v>
      </c>
      <c r="K87" s="74">
        <v>6.3845697199999996E-2</v>
      </c>
      <c r="L87" s="74">
        <v>6.2998266299999994E-2</v>
      </c>
      <c r="M87" s="74">
        <v>6.2156574399999998E-2</v>
      </c>
      <c r="N87" s="74">
        <v>6.1320952900000003E-2</v>
      </c>
      <c r="O87" s="74">
        <v>6.0491703600000002E-2</v>
      </c>
      <c r="P87" s="74">
        <v>5.9669100900000001E-2</v>
      </c>
      <c r="Q87" s="74">
        <v>5.8853393300000001E-2</v>
      </c>
      <c r="R87" s="74">
        <v>5.8044804999999998E-2</v>
      </c>
      <c r="S87" s="74">
        <v>5.7243537499999997E-2</v>
      </c>
      <c r="T87" s="74">
        <v>5.6449771000000003E-2</v>
      </c>
      <c r="U87" s="74">
        <v>5.5663665799999998E-2</v>
      </c>
      <c r="V87" s="74">
        <v>5.4885363600000001E-2</v>
      </c>
      <c r="W87" s="74">
        <v>5.4114988699999998E-2</v>
      </c>
      <c r="X87" s="74">
        <v>5.3352648900000001E-2</v>
      </c>
      <c r="Y87" s="74">
        <v>5.2598437099999999E-2</v>
      </c>
      <c r="Z87" s="74">
        <v>5.1852431900000003E-2</v>
      </c>
      <c r="AA87" s="74">
        <v>5.1114698700000002E-2</v>
      </c>
      <c r="AB87" s="74">
        <v>5.03852906E-2</v>
      </c>
      <c r="AC87" s="74">
        <v>4.9664249399999999E-2</v>
      </c>
      <c r="AD87" s="74">
        <v>4.89516059E-2</v>
      </c>
      <c r="AE87" s="74">
        <v>4.8247381499999999E-2</v>
      </c>
      <c r="AF87" s="74">
        <v>4.7551587899999997E-2</v>
      </c>
      <c r="AG87" s="74">
        <v>4.6864228799999998E-2</v>
      </c>
      <c r="AH87" s="74">
        <v>4.6185299700000002E-2</v>
      </c>
      <c r="AI87" s="74">
        <v>4.5514788799999997E-2</v>
      </c>
      <c r="AJ87" s="74">
        <v>4.4852677799999997E-2</v>
      </c>
      <c r="AK87" s="74">
        <v>4.4198941800000002E-2</v>
      </c>
      <c r="AL87" s="74">
        <v>4.3553550599999998E-2</v>
      </c>
      <c r="AM87" s="74">
        <v>4.2916468399999998E-2</v>
      </c>
      <c r="AN87" s="74">
        <v>4.2287654600000002E-2</v>
      </c>
      <c r="AO87" s="74">
        <v>4.1667064099999998E-2</v>
      </c>
      <c r="AP87" s="74">
        <v>4.1054647999999999E-2</v>
      </c>
      <c r="AQ87" s="74">
        <v>4.0450353299999998E-2</v>
      </c>
      <c r="AR87" s="74">
        <v>3.9854123800000002E-2</v>
      </c>
      <c r="AS87" s="74">
        <v>3.9265900100000001E-2</v>
      </c>
      <c r="AT87" s="74">
        <v>3.8685619999999997E-2</v>
      </c>
      <c r="AU87" s="74">
        <v>3.8113218900000002E-2</v>
      </c>
      <c r="AV87" s="74">
        <v>3.7548629600000001E-2</v>
      </c>
      <c r="AW87" s="74">
        <v>3.6991783200000003E-2</v>
      </c>
      <c r="AX87" s="74">
        <v>3.6442608600000002E-2</v>
      </c>
      <c r="AY87" s="74">
        <v>3.5901033399999997E-2</v>
      </c>
      <c r="AZ87" s="74">
        <v>3.5366983300000002E-2</v>
      </c>
      <c r="BA87" s="74">
        <v>3.4840383199999998E-2</v>
      </c>
      <c r="BB87" s="74">
        <v>3.43211566E-2</v>
      </c>
      <c r="BC87" s="74">
        <v>3.3809226099999999E-2</v>
      </c>
      <c r="BD87" s="74">
        <v>3.3304513500000001E-2</v>
      </c>
      <c r="BE87" s="74">
        <v>3.2806939899999998E-2</v>
      </c>
      <c r="BF87" s="74">
        <v>3.2316425699999998E-2</v>
      </c>
      <c r="BG87" s="74">
        <v>3.1832891199999998E-2</v>
      </c>
      <c r="BH87" s="74">
        <v>3.1356255999999999E-2</v>
      </c>
      <c r="BI87" s="74">
        <v>3.0886439500000001E-2</v>
      </c>
      <c r="BJ87" s="74">
        <v>3.04233613E-2</v>
      </c>
      <c r="BK87" s="74">
        <v>2.9966940399999999E-2</v>
      </c>
      <c r="BL87" s="74">
        <v>2.9517096199999999E-2</v>
      </c>
      <c r="BM87" s="74">
        <v>2.9073748E-2</v>
      </c>
      <c r="BN87" s="74">
        <v>2.8636815400000001E-2</v>
      </c>
      <c r="BO87" s="74">
        <v>2.82062179E-2</v>
      </c>
      <c r="BP87" s="74">
        <v>2.77818757E-2</v>
      </c>
      <c r="BQ87" s="74">
        <v>2.7363709E-2</v>
      </c>
      <c r="BR87" s="74">
        <v>2.6951638300000001E-2</v>
      </c>
      <c r="BS87" s="74">
        <v>2.6545584899999999E-2</v>
      </c>
      <c r="BT87" s="74">
        <v>2.61454702E-2</v>
      </c>
      <c r="BU87" s="74">
        <v>2.57512162E-2</v>
      </c>
      <c r="BV87" s="74">
        <v>2.5362745400000001E-2</v>
      </c>
      <c r="BW87" s="74">
        <v>2.49799809E-2</v>
      </c>
      <c r="BX87" s="74">
        <v>2.4602846300000002E-2</v>
      </c>
      <c r="BY87" s="74">
        <v>2.4231265799999999E-2</v>
      </c>
      <c r="BZ87" s="74">
        <v>2.3865164500000001E-2</v>
      </c>
      <c r="CA87" s="74">
        <v>2.35044677E-2</v>
      </c>
      <c r="CB87" s="74">
        <v>2.3149101599999999E-2</v>
      </c>
      <c r="CC87" s="74">
        <v>2.2798993199999999E-2</v>
      </c>
      <c r="CD87" s="74">
        <v>2.245407E-2</v>
      </c>
      <c r="CE87" s="74">
        <v>2.2114260199999999E-2</v>
      </c>
      <c r="CF87" s="74">
        <v>2.1779492899999999E-2</v>
      </c>
      <c r="CG87" s="74">
        <v>2.1449697699999999E-2</v>
      </c>
      <c r="CH87" s="74">
        <v>2.1124805199999999E-2</v>
      </c>
      <c r="CI87" s="74">
        <v>2.08047466E-2</v>
      </c>
      <c r="CJ87" s="74">
        <v>2.0489453800000001E-2</v>
      </c>
      <c r="CK87" s="74">
        <v>2.01788595E-2</v>
      </c>
      <c r="CL87" s="74">
        <v>1.98728972E-2</v>
      </c>
      <c r="CM87" s="74">
        <v>1.9571501200000001E-2</v>
      </c>
      <c r="CN87" s="74">
        <v>1.9274606400000002E-2</v>
      </c>
      <c r="CO87" s="74">
        <v>1.8982148599999998E-2</v>
      </c>
      <c r="CP87" s="74">
        <v>1.8694064400000002E-2</v>
      </c>
      <c r="CQ87" s="74">
        <v>1.84102911E-2</v>
      </c>
      <c r="CR87" s="74">
        <v>1.8130766699999998E-2</v>
      </c>
      <c r="CS87" s="74">
        <v>1.78554301E-2</v>
      </c>
      <c r="CT87" s="74">
        <v>1.7584220800000001E-2</v>
      </c>
      <c r="CU87" s="74">
        <v>1.7317079199999998E-2</v>
      </c>
      <c r="CV87" s="74">
        <v>1.70539465E-2</v>
      </c>
      <c r="CW87" s="74">
        <v>1.6794764399999999E-2</v>
      </c>
      <c r="CX87" s="74">
        <v>1.6539475599999999E-2</v>
      </c>
      <c r="CY87" s="74">
        <v>1.6288023400000001E-2</v>
      </c>
      <c r="CZ87" s="74">
        <v>1.6040351899999999E-2</v>
      </c>
      <c r="DA87" s="74">
        <v>1.5796405999999999E-2</v>
      </c>
      <c r="DB87" s="74">
        <v>1.55561311E-2</v>
      </c>
      <c r="DC87" s="74">
        <v>1.5319473700000001E-2</v>
      </c>
      <c r="DD87" s="74">
        <v>1.50863805E-2</v>
      </c>
      <c r="DE87" s="74">
        <v>1.48567995E-2</v>
      </c>
      <c r="DF87" s="74">
        <v>1.4630678899999999E-2</v>
      </c>
      <c r="DG87" s="74">
        <v>1.4407967900000001E-2</v>
      </c>
      <c r="DH87" s="74">
        <v>1.41886162E-2</v>
      </c>
      <c r="DI87" s="74">
        <v>1.3972574499999999E-2</v>
      </c>
      <c r="DJ87" s="74">
        <v>1.37597937E-2</v>
      </c>
      <c r="DK87" s="74">
        <v>1.3550225799999999E-2</v>
      </c>
      <c r="DL87" s="74">
        <v>1.33438233E-2</v>
      </c>
      <c r="DM87" s="74">
        <v>1.31405393E-2</v>
      </c>
      <c r="DN87" s="74">
        <v>1.29403277E-2</v>
      </c>
      <c r="DO87" s="74">
        <v>1.2743142900000001E-2</v>
      </c>
      <c r="DP87" s="74">
        <v>1.254894E-2</v>
      </c>
      <c r="DQ87" s="74">
        <v>1.23576747E-2</v>
      </c>
      <c r="DR87" s="74">
        <v>1.21693034E-2</v>
      </c>
      <c r="DS87" s="74">
        <v>1.1983783099999999E-2</v>
      </c>
      <c r="DT87" s="74">
        <v>1.18010713E-2</v>
      </c>
      <c r="DU87" s="74">
        <v>1.16211263E-2</v>
      </c>
      <c r="DV87" s="74">
        <v>1.1443906699999999E-2</v>
      </c>
      <c r="DW87" s="74">
        <v>1.1269372E-2</v>
      </c>
      <c r="DX87" s="74">
        <v>1.10974821E-2</v>
      </c>
      <c r="DY87" s="74">
        <v>1.09281975E-2</v>
      </c>
      <c r="DZ87" s="74">
        <v>1.07614793E-2</v>
      </c>
      <c r="EA87" s="74">
        <v>1.05972892E-2</v>
      </c>
      <c r="EB87" s="74">
        <v>1.0435589300000001E-2</v>
      </c>
      <c r="EC87" s="74">
        <v>1.02763423E-2</v>
      </c>
      <c r="ED87" s="74">
        <v>1.01195117E-2</v>
      </c>
      <c r="EE87" s="74">
        <v>9.9650611000000004E-3</v>
      </c>
      <c r="EF87" s="74">
        <v>9.8129548000000007E-3</v>
      </c>
      <c r="EG87" s="74">
        <v>9.6631579000000002E-3</v>
      </c>
      <c r="EH87" s="74">
        <v>9.5156354999999995E-3</v>
      </c>
      <c r="EI87" s="74">
        <v>9.3703537000000003E-3</v>
      </c>
      <c r="EJ87" s="74">
        <v>9.2272785999999996E-3</v>
      </c>
      <c r="EK87" s="74">
        <v>9.0863773000000002E-3</v>
      </c>
      <c r="EL87" s="74">
        <v>8.9476169999999997E-3</v>
      </c>
      <c r="EM87" s="74">
        <v>8.8109655000000002E-3</v>
      </c>
      <c r="EN87" s="74">
        <v>8.6763911999999995E-3</v>
      </c>
      <c r="EO87" s="74">
        <v>8.5438627999999996E-3</v>
      </c>
      <c r="EP87" s="74">
        <v>8.4133494000000007E-3</v>
      </c>
      <c r="EQ87" s="74">
        <v>8.2848208000000003E-3</v>
      </c>
      <c r="ER87" s="74">
        <v>8.1582471E-3</v>
      </c>
      <c r="ES87" s="74">
        <v>8.0335988999999993E-3</v>
      </c>
      <c r="ET87" s="74">
        <v>7.9108470000000004E-3</v>
      </c>
      <c r="EU87" s="74">
        <v>7.7899629E-3</v>
      </c>
      <c r="EV87" s="74">
        <v>7.6709185000000003E-3</v>
      </c>
      <c r="EW87" s="74">
        <v>7.5536859E-3</v>
      </c>
      <c r="EX87" s="74">
        <v>7.4382379999999998E-3</v>
      </c>
      <c r="EY87" s="74">
        <v>7.3245476E-3</v>
      </c>
      <c r="EZ87" s="74">
        <v>7.2125883000000003E-3</v>
      </c>
      <c r="FA87" s="74">
        <v>7.1023338999999996E-3</v>
      </c>
      <c r="FB87" s="74">
        <v>6.9937586999999999E-3</v>
      </c>
      <c r="FC87" s="74">
        <v>6.8868374E-3</v>
      </c>
      <c r="FD87" s="74">
        <v>6.7815447999999999E-3</v>
      </c>
      <c r="FE87" s="74">
        <v>6.6778564000000004E-3</v>
      </c>
      <c r="FF87" s="74">
        <v>6.5757478999999997E-3</v>
      </c>
      <c r="FG87" s="74">
        <v>6.4751953999999997E-3</v>
      </c>
      <c r="FH87" s="74">
        <v>6.3761753999999997E-3</v>
      </c>
      <c r="FI87" s="74">
        <v>6.2786646E-3</v>
      </c>
      <c r="FJ87" s="74">
        <v>6.1826403000000002E-3</v>
      </c>
      <c r="FK87" s="74">
        <v>6.0880798999999996E-3</v>
      </c>
      <c r="FL87" s="74">
        <v>5.9949612999999997E-3</v>
      </c>
      <c r="FM87" s="74">
        <v>5.9032625999999996E-3</v>
      </c>
      <c r="FN87" s="74">
        <v>5.8129621999999997E-3</v>
      </c>
      <c r="FO87" s="74">
        <v>5.7240390999999998E-3</v>
      </c>
      <c r="FP87" s="74">
        <v>5.6364722999999997E-3</v>
      </c>
      <c r="FQ87" s="74">
        <v>5.5502412999999997E-3</v>
      </c>
    </row>
    <row r="88" spans="1:173" x14ac:dyDescent="0.25">
      <c r="A88" s="76">
        <v>86</v>
      </c>
      <c r="B88" s="74">
        <v>8.2776609400000006E-2</v>
      </c>
      <c r="C88" s="74">
        <v>8.1834945399999998E-2</v>
      </c>
      <c r="D88" s="74">
        <v>8.0892874099999998E-2</v>
      </c>
      <c r="E88" s="74">
        <v>7.99511901E-2</v>
      </c>
      <c r="F88" s="74">
        <v>7.9010633699999999E-2</v>
      </c>
      <c r="G88" s="74">
        <v>7.8071893399999995E-2</v>
      </c>
      <c r="H88" s="74">
        <v>7.7135608800000005E-2</v>
      </c>
      <c r="I88" s="74">
        <v>7.6202373200000006E-2</v>
      </c>
      <c r="J88" s="74">
        <v>7.5272736500000006E-2</v>
      </c>
      <c r="K88" s="74">
        <v>7.4347206999999998E-2</v>
      </c>
      <c r="L88" s="74">
        <v>7.3426254400000002E-2</v>
      </c>
      <c r="M88" s="74">
        <v>7.2510311600000002E-2</v>
      </c>
      <c r="N88" s="74">
        <v>7.1599776899999995E-2</v>
      </c>
      <c r="O88" s="74">
        <v>7.0695016099999994E-2</v>
      </c>
      <c r="P88" s="74">
        <v>6.9796364499999999E-2</v>
      </c>
      <c r="Q88" s="74">
        <v>6.8904128300000006E-2</v>
      </c>
      <c r="R88" s="74">
        <v>6.8018586899999997E-2</v>
      </c>
      <c r="S88" s="74">
        <v>6.7139994300000005E-2</v>
      </c>
      <c r="T88" s="74">
        <v>6.6268580399999999E-2</v>
      </c>
      <c r="U88" s="74">
        <v>6.5404553000000004E-2</v>
      </c>
      <c r="V88" s="74">
        <v>6.4548098600000006E-2</v>
      </c>
      <c r="W88" s="74">
        <v>6.3699384400000003E-2</v>
      </c>
      <c r="X88" s="74">
        <v>6.2858558699999997E-2</v>
      </c>
      <c r="Y88" s="74">
        <v>6.2025753099999997E-2</v>
      </c>
      <c r="Z88" s="74">
        <v>6.1201082699999999E-2</v>
      </c>
      <c r="AA88" s="74">
        <v>6.0384647700000002E-2</v>
      </c>
      <c r="AB88" s="74">
        <v>5.9576534E-2</v>
      </c>
      <c r="AC88" s="74">
        <v>5.8776814699999999E-2</v>
      </c>
      <c r="AD88" s="74">
        <v>5.7985550300000001E-2</v>
      </c>
      <c r="AE88" s="74">
        <v>5.7202790000000003E-2</v>
      </c>
      <c r="AF88" s="74">
        <v>5.6428572500000003E-2</v>
      </c>
      <c r="AG88" s="74">
        <v>5.5662926199999997E-2</v>
      </c>
      <c r="AH88" s="74">
        <v>5.4905870699999998E-2</v>
      </c>
      <c r="AI88" s="74">
        <v>5.4157416700000002E-2</v>
      </c>
      <c r="AJ88" s="74">
        <v>5.34175671E-2</v>
      </c>
      <c r="AK88" s="74">
        <v>5.2686317400000002E-2</v>
      </c>
      <c r="AL88" s="74">
        <v>5.19636562E-2</v>
      </c>
      <c r="AM88" s="74">
        <v>5.1249565800000001E-2</v>
      </c>
      <c r="AN88" s="74">
        <v>5.0544022600000002E-2</v>
      </c>
      <c r="AO88" s="74">
        <v>4.9846997599999998E-2</v>
      </c>
      <c r="AP88" s="74">
        <v>4.9158456699999999E-2</v>
      </c>
      <c r="AQ88" s="74">
        <v>4.8478361400000003E-2</v>
      </c>
      <c r="AR88" s="74">
        <v>4.78066688E-2</v>
      </c>
      <c r="AS88" s="74">
        <v>4.7143332199999999E-2</v>
      </c>
      <c r="AT88" s="74">
        <v>4.6488301099999997E-2</v>
      </c>
      <c r="AU88" s="74">
        <v>4.5841522199999998E-2</v>
      </c>
      <c r="AV88" s="74">
        <v>4.52029387E-2</v>
      </c>
      <c r="AW88" s="74">
        <v>4.4572491399999997E-2</v>
      </c>
      <c r="AX88" s="74">
        <v>4.3950118500000003E-2</v>
      </c>
      <c r="AY88" s="74">
        <v>4.3335756099999997E-2</v>
      </c>
      <c r="AZ88" s="74">
        <v>4.2729337999999999E-2</v>
      </c>
      <c r="BA88" s="74">
        <v>4.2130796599999999E-2</v>
      </c>
      <c r="BB88" s="74">
        <v>4.1540062199999998E-2</v>
      </c>
      <c r="BC88" s="74">
        <v>4.0957064100000003E-2</v>
      </c>
      <c r="BD88" s="74">
        <v>4.0381729900000003E-2</v>
      </c>
      <c r="BE88" s="74">
        <v>3.9813986400000001E-2</v>
      </c>
      <c r="BF88" s="74">
        <v>3.9253759300000003E-2</v>
      </c>
      <c r="BG88" s="74">
        <v>3.8700973299999997E-2</v>
      </c>
      <c r="BH88" s="74">
        <v>3.8155552600000003E-2</v>
      </c>
      <c r="BI88" s="74">
        <v>3.7617420700000001E-2</v>
      </c>
      <c r="BJ88" s="74">
        <v>3.7086500500000001E-2</v>
      </c>
      <c r="BK88" s="74">
        <v>3.6562714599999997E-2</v>
      </c>
      <c r="BL88" s="74">
        <v>3.60459853E-2</v>
      </c>
      <c r="BM88" s="74">
        <v>3.5536234600000001E-2</v>
      </c>
      <c r="BN88" s="74">
        <v>3.5033384399999999E-2</v>
      </c>
      <c r="BO88" s="74">
        <v>3.4537356599999999E-2</v>
      </c>
      <c r="BP88" s="74">
        <v>3.4048072999999998E-2</v>
      </c>
      <c r="BQ88" s="74">
        <v>3.3565455600000002E-2</v>
      </c>
      <c r="BR88" s="74">
        <v>3.3089426300000002E-2</v>
      </c>
      <c r="BS88" s="74">
        <v>3.2619907300000001E-2</v>
      </c>
      <c r="BT88" s="74">
        <v>3.2156821199999998E-2</v>
      </c>
      <c r="BU88" s="74">
        <v>3.1700090600000001E-2</v>
      </c>
      <c r="BV88" s="74">
        <v>3.1249638600000001E-2</v>
      </c>
      <c r="BW88" s="74">
        <v>3.0805388600000001E-2</v>
      </c>
      <c r="BX88" s="74">
        <v>3.0367264500000001E-2</v>
      </c>
      <c r="BY88" s="74">
        <v>2.9935190399999999E-2</v>
      </c>
      <c r="BZ88" s="74">
        <v>2.9509091099999999E-2</v>
      </c>
      <c r="CA88" s="74">
        <v>2.9088891799999999E-2</v>
      </c>
      <c r="CB88" s="74">
        <v>2.8674518199999999E-2</v>
      </c>
      <c r="CC88" s="74">
        <v>2.8265896499999998E-2</v>
      </c>
      <c r="CD88" s="74">
        <v>2.7862953699999998E-2</v>
      </c>
      <c r="CE88" s="74">
        <v>2.7465617000000001E-2</v>
      </c>
      <c r="CF88" s="74">
        <v>2.7073814599999999E-2</v>
      </c>
      <c r="CG88" s="74">
        <v>2.6687474900000001E-2</v>
      </c>
      <c r="CH88" s="74">
        <v>2.6306527400000002E-2</v>
      </c>
      <c r="CI88" s="74">
        <v>2.5930901700000002E-2</v>
      </c>
      <c r="CJ88" s="74">
        <v>2.55605286E-2</v>
      </c>
      <c r="CK88" s="74">
        <v>2.51953392E-2</v>
      </c>
      <c r="CL88" s="74">
        <v>2.4835265299999999E-2</v>
      </c>
      <c r="CM88" s="74">
        <v>2.4480239599999998E-2</v>
      </c>
      <c r="CN88" s="74">
        <v>2.4130195100000001E-2</v>
      </c>
      <c r="CO88" s="74">
        <v>2.3785066000000001E-2</v>
      </c>
      <c r="CP88" s="74">
        <v>2.3444786700000001E-2</v>
      </c>
      <c r="CQ88" s="74">
        <v>2.3109292600000001E-2</v>
      </c>
      <c r="CR88" s="74">
        <v>2.2778519600000002E-2</v>
      </c>
      <c r="CS88" s="74">
        <v>2.2452404499999998E-2</v>
      </c>
      <c r="CT88" s="74">
        <v>2.21308848E-2</v>
      </c>
      <c r="CU88" s="74">
        <v>2.18138984E-2</v>
      </c>
      <c r="CV88" s="74">
        <v>2.1501384200000001E-2</v>
      </c>
      <c r="CW88" s="74">
        <v>2.1193281800000002E-2</v>
      </c>
      <c r="CX88" s="74">
        <v>2.08895313E-2</v>
      </c>
      <c r="CY88" s="74">
        <v>2.0590073600000001E-2</v>
      </c>
      <c r="CZ88" s="74">
        <v>2.02948503E-2</v>
      </c>
      <c r="DA88" s="74">
        <v>2.0003803800000001E-2</v>
      </c>
      <c r="DB88" s="74">
        <v>1.9716877099999999E-2</v>
      </c>
      <c r="DC88" s="74">
        <v>1.9434013699999999E-2</v>
      </c>
      <c r="DD88" s="74">
        <v>1.91551581E-2</v>
      </c>
      <c r="DE88" s="74">
        <v>1.8880255299999999E-2</v>
      </c>
      <c r="DF88" s="74">
        <v>1.8609251E-2</v>
      </c>
      <c r="DG88" s="74">
        <v>1.83420917E-2</v>
      </c>
      <c r="DH88" s="74">
        <v>1.8078724300000001E-2</v>
      </c>
      <c r="DI88" s="74">
        <v>1.7819096499999999E-2</v>
      </c>
      <c r="DJ88" s="74">
        <v>1.7563156900000002E-2</v>
      </c>
      <c r="DK88" s="74">
        <v>1.7310854300000001E-2</v>
      </c>
      <c r="DL88" s="74">
        <v>1.7062138500000001E-2</v>
      </c>
      <c r="DM88" s="74">
        <v>1.6816959699999998E-2</v>
      </c>
      <c r="DN88" s="74">
        <v>1.6575269E-2</v>
      </c>
      <c r="DO88" s="74">
        <v>1.63370179E-2</v>
      </c>
      <c r="DP88" s="74">
        <v>1.6102158500000002E-2</v>
      </c>
      <c r="DQ88" s="74">
        <v>1.5870643899999998E-2</v>
      </c>
      <c r="DR88" s="74">
        <v>1.5642427300000001E-2</v>
      </c>
      <c r="DS88" s="74">
        <v>1.54174628E-2</v>
      </c>
      <c r="DT88" s="74">
        <v>1.5195705E-2</v>
      </c>
      <c r="DU88" s="74">
        <v>1.4977109299999999E-2</v>
      </c>
      <c r="DV88" s="74">
        <v>1.4761631399999999E-2</v>
      </c>
      <c r="DW88" s="74">
        <v>1.45492278E-2</v>
      </c>
      <c r="DX88" s="74">
        <v>1.43398554E-2</v>
      </c>
      <c r="DY88" s="74">
        <v>1.4133471700000001E-2</v>
      </c>
      <c r="DZ88" s="74">
        <v>1.3930035E-2</v>
      </c>
      <c r="EA88" s="74">
        <v>1.37295039E-2</v>
      </c>
      <c r="EB88" s="74">
        <v>1.35318377E-2</v>
      </c>
      <c r="EC88" s="74">
        <v>1.3336996E-2</v>
      </c>
      <c r="ED88" s="74">
        <v>1.31449393E-2</v>
      </c>
      <c r="EE88" s="74">
        <v>1.2955628300000001E-2</v>
      </c>
      <c r="EF88" s="74">
        <v>1.27690245E-2</v>
      </c>
      <c r="EG88" s="74">
        <v>1.25850897E-2</v>
      </c>
      <c r="EH88" s="74">
        <v>1.24037865E-2</v>
      </c>
      <c r="EI88" s="74">
        <v>1.22250776E-2</v>
      </c>
      <c r="EJ88" s="74">
        <v>1.2048926499999999E-2</v>
      </c>
      <c r="EK88" s="74">
        <v>1.1875297199999999E-2</v>
      </c>
      <c r="EL88" s="74">
        <v>1.1704154E-2</v>
      </c>
      <c r="EM88" s="74">
        <v>1.1535461800000001E-2</v>
      </c>
      <c r="EN88" s="74">
        <v>1.1369186099999999E-2</v>
      </c>
      <c r="EO88" s="74">
        <v>1.1205292699999999E-2</v>
      </c>
      <c r="EP88" s="74">
        <v>1.10437478E-2</v>
      </c>
      <c r="EQ88" s="74">
        <v>1.08845183E-2</v>
      </c>
      <c r="ER88" s="74">
        <v>1.07275715E-2</v>
      </c>
      <c r="ES88" s="74">
        <v>1.0572874899999999E-2</v>
      </c>
      <c r="ET88" s="74">
        <v>1.0420396700000001E-2</v>
      </c>
      <c r="EU88" s="74">
        <v>1.02701054E-2</v>
      </c>
      <c r="EV88" s="74">
        <v>1.01219702E-2</v>
      </c>
      <c r="EW88" s="74">
        <v>9.9759604000000009E-3</v>
      </c>
      <c r="EX88" s="74">
        <v>9.8320457999999996E-3</v>
      </c>
      <c r="EY88" s="74">
        <v>9.6901967000000006E-3</v>
      </c>
      <c r="EZ88" s="74">
        <v>9.5503837999999994E-3</v>
      </c>
      <c r="FA88" s="74">
        <v>9.4125782000000005E-3</v>
      </c>
      <c r="FB88" s="74">
        <v>9.2767513000000003E-3</v>
      </c>
      <c r="FC88" s="74">
        <v>9.1428750999999996E-3</v>
      </c>
      <c r="FD88" s="74">
        <v>9.0109218000000001E-3</v>
      </c>
      <c r="FE88" s="74">
        <v>8.8808640000000005E-3</v>
      </c>
      <c r="FF88" s="74">
        <v>8.7526748000000005E-3</v>
      </c>
      <c r="FG88" s="74">
        <v>8.6263277000000003E-3</v>
      </c>
      <c r="FH88" s="74">
        <v>8.5017962999999995E-3</v>
      </c>
      <c r="FI88" s="74">
        <v>8.3790548000000006E-3</v>
      </c>
      <c r="FJ88" s="74">
        <v>8.2580777999999994E-3</v>
      </c>
      <c r="FK88" s="74">
        <v>8.1388400999999992E-3</v>
      </c>
      <c r="FL88" s="74">
        <v>8.0213169000000004E-3</v>
      </c>
      <c r="FM88" s="74">
        <v>7.9054837000000003E-3</v>
      </c>
      <c r="FN88" s="74">
        <v>7.7913165000000001E-3</v>
      </c>
      <c r="FO88" s="74">
        <v>7.6787914999999997E-3</v>
      </c>
      <c r="FP88" s="74">
        <v>7.5678853000000004E-3</v>
      </c>
      <c r="FQ88" s="74">
        <v>7.4585748000000002E-3</v>
      </c>
    </row>
    <row r="89" spans="1:173" x14ac:dyDescent="0.25">
      <c r="A89" s="76">
        <v>87</v>
      </c>
      <c r="B89" s="74">
        <v>9.5252541400000001E-2</v>
      </c>
      <c r="C89" s="74">
        <v>9.4265425700000002E-2</v>
      </c>
      <c r="D89" s="74">
        <v>9.3276416599999995E-2</v>
      </c>
      <c r="E89" s="74">
        <v>9.2286368699999996E-2</v>
      </c>
      <c r="F89" s="74">
        <v>9.1296080500000001E-2</v>
      </c>
      <c r="G89" s="74">
        <v>9.0306297399999999E-2</v>
      </c>
      <c r="H89" s="74">
        <v>8.9317714699999995E-2</v>
      </c>
      <c r="I89" s="74">
        <v>8.8330979700000006E-2</v>
      </c>
      <c r="J89" s="74">
        <v>8.7346695000000002E-2</v>
      </c>
      <c r="K89" s="74">
        <v>8.6365420299999995E-2</v>
      </c>
      <c r="L89" s="74">
        <v>8.5387675199999999E-2</v>
      </c>
      <c r="M89" s="74">
        <v>8.4413941199999995E-2</v>
      </c>
      <c r="N89" s="74">
        <v>8.3444664000000002E-2</v>
      </c>
      <c r="O89" s="74">
        <v>8.2480255299999999E-2</v>
      </c>
      <c r="P89" s="74">
        <v>8.1521095200000004E-2</v>
      </c>
      <c r="Q89" s="74">
        <v>8.0567533299999994E-2</v>
      </c>
      <c r="R89" s="74">
        <v>7.9619891200000001E-2</v>
      </c>
      <c r="S89" s="74">
        <v>7.8678463899999995E-2</v>
      </c>
      <c r="T89" s="74">
        <v>7.7743521199999999E-2</v>
      </c>
      <c r="U89" s="74">
        <v>7.6815309400000004E-2</v>
      </c>
      <c r="V89" s="74">
        <v>7.5894052599999998E-2</v>
      </c>
      <c r="W89" s="74">
        <v>7.4979954200000004E-2</v>
      </c>
      <c r="X89" s="74">
        <v>7.4073198000000007E-2</v>
      </c>
      <c r="Y89" s="74">
        <v>7.3173949500000002E-2</v>
      </c>
      <c r="Z89" s="74">
        <v>7.2282357199999994E-2</v>
      </c>
      <c r="AA89" s="74">
        <v>7.1398553200000006E-2</v>
      </c>
      <c r="AB89" s="74">
        <v>7.0522654700000006E-2</v>
      </c>
      <c r="AC89" s="74">
        <v>6.9654764800000005E-2</v>
      </c>
      <c r="AD89" s="74">
        <v>6.8794973400000001E-2</v>
      </c>
      <c r="AE89" s="74">
        <v>6.7943357800000007E-2</v>
      </c>
      <c r="AF89" s="74">
        <v>6.7099983899999993E-2</v>
      </c>
      <c r="AG89" s="74">
        <v>6.6264906999999998E-2</v>
      </c>
      <c r="AH89" s="74">
        <v>6.5438172000000003E-2</v>
      </c>
      <c r="AI89" s="74">
        <v>6.4619814499999997E-2</v>
      </c>
      <c r="AJ89" s="74">
        <v>6.3809861499999995E-2</v>
      </c>
      <c r="AK89" s="74">
        <v>6.3008331400000006E-2</v>
      </c>
      <c r="AL89" s="74">
        <v>6.22152355E-2</v>
      </c>
      <c r="AM89" s="74">
        <v>6.1430577600000001E-2</v>
      </c>
      <c r="AN89" s="74">
        <v>6.0654355100000001E-2</v>
      </c>
      <c r="AO89" s="74">
        <v>5.9886559300000003E-2</v>
      </c>
      <c r="AP89" s="74">
        <v>5.9127175800000001E-2</v>
      </c>
      <c r="AQ89" s="74">
        <v>5.8376184800000001E-2</v>
      </c>
      <c r="AR89" s="74">
        <v>5.7633561799999997E-2</v>
      </c>
      <c r="AS89" s="74">
        <v>5.6899277599999999E-2</v>
      </c>
      <c r="AT89" s="74">
        <v>5.6173299000000003E-2</v>
      </c>
      <c r="AU89" s="74">
        <v>5.5455588799999997E-2</v>
      </c>
      <c r="AV89" s="74">
        <v>5.4746106400000001E-2</v>
      </c>
      <c r="AW89" s="74">
        <v>5.4044807700000003E-2</v>
      </c>
      <c r="AX89" s="74">
        <v>5.3351645900000001E-2</v>
      </c>
      <c r="AY89" s="74">
        <v>5.2666571099999997E-2</v>
      </c>
      <c r="AZ89" s="74">
        <v>5.1989531200000001E-2</v>
      </c>
      <c r="BA89" s="74">
        <v>5.1320471499999999E-2</v>
      </c>
      <c r="BB89" s="74">
        <v>5.0659335299999997E-2</v>
      </c>
      <c r="BC89" s="74">
        <v>5.0006064199999999E-2</v>
      </c>
      <c r="BD89" s="74">
        <v>4.9360597800000003E-2</v>
      </c>
      <c r="BE89" s="74">
        <v>4.8722874100000001E-2</v>
      </c>
      <c r="BF89" s="74">
        <v>4.8092830000000003E-2</v>
      </c>
      <c r="BG89" s="74">
        <v>4.74704008E-2</v>
      </c>
      <c r="BH89" s="74">
        <v>4.6855520900000003E-2</v>
      </c>
      <c r="BI89" s="74">
        <v>4.6248123699999998E-2</v>
      </c>
      <c r="BJ89" s="74">
        <v>4.5648141500000003E-2</v>
      </c>
      <c r="BK89" s="74">
        <v>4.5055506000000002E-2</v>
      </c>
      <c r="BL89" s="74">
        <v>4.4470148399999999E-2</v>
      </c>
      <c r="BM89" s="74">
        <v>4.38919989E-2</v>
      </c>
      <c r="BN89" s="74">
        <v>4.3320987800000002E-2</v>
      </c>
      <c r="BO89" s="74">
        <v>4.2757044399999999E-2</v>
      </c>
      <c r="BP89" s="74">
        <v>4.2200098300000002E-2</v>
      </c>
      <c r="BQ89" s="74">
        <v>4.1650078299999997E-2</v>
      </c>
      <c r="BR89" s="74">
        <v>4.1106913500000002E-2</v>
      </c>
      <c r="BS89" s="74">
        <v>4.0570532600000001E-2</v>
      </c>
      <c r="BT89" s="74">
        <v>4.0040864400000001E-2</v>
      </c>
      <c r="BU89" s="74">
        <v>3.9517837600000001E-2</v>
      </c>
      <c r="BV89" s="74">
        <v>3.9001381199999997E-2</v>
      </c>
      <c r="BW89" s="74">
        <v>3.8491423900000002E-2</v>
      </c>
      <c r="BX89" s="74">
        <v>3.7987895100000002E-2</v>
      </c>
      <c r="BY89" s="74">
        <v>3.7490723900000002E-2</v>
      </c>
      <c r="BZ89" s="74">
        <v>3.6999839899999998E-2</v>
      </c>
      <c r="CA89" s="74">
        <v>3.6515172899999997E-2</v>
      </c>
      <c r="CB89" s="74">
        <v>3.6036653000000002E-2</v>
      </c>
      <c r="CC89" s="74">
        <v>3.5564210700000001E-2</v>
      </c>
      <c r="CD89" s="74">
        <v>3.5097776800000001E-2</v>
      </c>
      <c r="CE89" s="74">
        <v>3.4637282399999997E-2</v>
      </c>
      <c r="CF89" s="74">
        <v>3.41826592E-2</v>
      </c>
      <c r="CG89" s="74">
        <v>3.3733839100000003E-2</v>
      </c>
      <c r="CH89" s="74">
        <v>3.3290754700000001E-2</v>
      </c>
      <c r="CI89" s="74">
        <v>3.2853338900000001E-2</v>
      </c>
      <c r="CJ89" s="74">
        <v>3.2421525E-2</v>
      </c>
      <c r="CK89" s="74">
        <v>3.1995247099999999E-2</v>
      </c>
      <c r="CL89" s="74">
        <v>3.1574439500000002E-2</v>
      </c>
      <c r="CM89" s="74">
        <v>3.11590372E-2</v>
      </c>
      <c r="CN89" s="74">
        <v>3.0748975599999999E-2</v>
      </c>
      <c r="CO89" s="74">
        <v>3.03441908E-2</v>
      </c>
      <c r="CP89" s="74">
        <v>2.9944619400000001E-2</v>
      </c>
      <c r="CQ89" s="74">
        <v>2.9550198499999999E-2</v>
      </c>
      <c r="CR89" s="74">
        <v>2.91608657E-2</v>
      </c>
      <c r="CS89" s="74">
        <v>2.8776559399999999E-2</v>
      </c>
      <c r="CT89" s="74">
        <v>2.8397218299999999E-2</v>
      </c>
      <c r="CU89" s="74">
        <v>2.8022781900000002E-2</v>
      </c>
      <c r="CV89" s="74">
        <v>2.7653190300000002E-2</v>
      </c>
      <c r="CW89" s="74">
        <v>2.7288383900000001E-2</v>
      </c>
      <c r="CX89" s="74">
        <v>2.6928304E-2</v>
      </c>
      <c r="CY89" s="74">
        <v>2.6572892300000001E-2</v>
      </c>
      <c r="CZ89" s="74">
        <v>2.6222091199999999E-2</v>
      </c>
      <c r="DA89" s="74">
        <v>2.58758436E-2</v>
      </c>
      <c r="DB89" s="74">
        <v>2.5534093099999999E-2</v>
      </c>
      <c r="DC89" s="74">
        <v>2.5196783699999999E-2</v>
      </c>
      <c r="DD89" s="74">
        <v>2.4863860299999999E-2</v>
      </c>
      <c r="DE89" s="74">
        <v>2.45352681E-2</v>
      </c>
      <c r="DF89" s="74">
        <v>2.4210953100000002E-2</v>
      </c>
      <c r="DG89" s="74">
        <v>2.38908616E-2</v>
      </c>
      <c r="DH89" s="74">
        <v>2.3574940799999999E-2</v>
      </c>
      <c r="DI89" s="74">
        <v>2.3263138400000001E-2</v>
      </c>
      <c r="DJ89" s="74">
        <v>2.2955402499999999E-2</v>
      </c>
      <c r="DK89" s="74">
        <v>2.2651681999999999E-2</v>
      </c>
      <c r="DL89" s="74">
        <v>2.2351926300000002E-2</v>
      </c>
      <c r="DM89" s="74">
        <v>2.2056085199999999E-2</v>
      </c>
      <c r="DN89" s="74">
        <v>2.1764109399999999E-2</v>
      </c>
      <c r="DO89" s="74">
        <v>2.1475949899999999E-2</v>
      </c>
      <c r="DP89" s="74">
        <v>2.11915583E-2</v>
      </c>
      <c r="DQ89" s="74">
        <v>2.0910887E-2</v>
      </c>
      <c r="DR89" s="74">
        <v>2.0633888499999999E-2</v>
      </c>
      <c r="DS89" s="74">
        <v>2.0360516299999999E-2</v>
      </c>
      <c r="DT89" s="74">
        <v>2.0090724099999999E-2</v>
      </c>
      <c r="DU89" s="74">
        <v>1.9824466499999999E-2</v>
      </c>
      <c r="DV89" s="74">
        <v>1.9561698200000002E-2</v>
      </c>
      <c r="DW89" s="74">
        <v>1.93023747E-2</v>
      </c>
      <c r="DX89" s="74">
        <v>1.90464521E-2</v>
      </c>
      <c r="DY89" s="74">
        <v>1.8793886900000001E-2</v>
      </c>
      <c r="DZ89" s="74">
        <v>1.8544636E-2</v>
      </c>
      <c r="EA89" s="74">
        <v>1.8298657100000001E-2</v>
      </c>
      <c r="EB89" s="74">
        <v>1.80559081E-2</v>
      </c>
      <c r="EC89" s="74">
        <v>1.7816347600000001E-2</v>
      </c>
      <c r="ED89" s="74">
        <v>1.7579934700000001E-2</v>
      </c>
      <c r="EE89" s="74">
        <v>1.7346628900000001E-2</v>
      </c>
      <c r="EF89" s="74">
        <v>1.7116390299999999E-2</v>
      </c>
      <c r="EG89" s="74">
        <v>1.6889179399999999E-2</v>
      </c>
      <c r="EH89" s="74">
        <v>1.66649572E-2</v>
      </c>
      <c r="EI89" s="74">
        <v>1.6443685100000001E-2</v>
      </c>
      <c r="EJ89" s="74">
        <v>1.6225325200000001E-2</v>
      </c>
      <c r="EK89" s="74">
        <v>1.6009839800000002E-2</v>
      </c>
      <c r="EL89" s="74">
        <v>1.57971919E-2</v>
      </c>
      <c r="EM89" s="74">
        <v>1.55873447E-2</v>
      </c>
      <c r="EN89" s="74">
        <v>1.5380262E-2</v>
      </c>
      <c r="EO89" s="74">
        <v>1.5175908199999999E-2</v>
      </c>
      <c r="EP89" s="74">
        <v>1.49742478E-2</v>
      </c>
      <c r="EQ89" s="74">
        <v>1.4775245899999999E-2</v>
      </c>
      <c r="ER89" s="74">
        <v>1.4578868199999999E-2</v>
      </c>
      <c r="ES89" s="74">
        <v>1.4385080600000001E-2</v>
      </c>
      <c r="ET89" s="74">
        <v>1.4193849499999999E-2</v>
      </c>
      <c r="EU89" s="74">
        <v>1.4005141699999999E-2</v>
      </c>
      <c r="EV89" s="74">
        <v>1.38189245E-2</v>
      </c>
      <c r="EW89" s="74">
        <v>1.3635165499999999E-2</v>
      </c>
      <c r="EX89" s="74">
        <v>1.34538327E-2</v>
      </c>
      <c r="EY89" s="74">
        <v>1.32748946E-2</v>
      </c>
      <c r="EZ89" s="74">
        <v>1.309832E-2</v>
      </c>
      <c r="FA89" s="74">
        <v>1.29240782E-2</v>
      </c>
      <c r="FB89" s="74">
        <v>1.27521388E-2</v>
      </c>
      <c r="FC89" s="74">
        <v>1.25824718E-2</v>
      </c>
      <c r="FD89" s="74">
        <v>1.24150476E-2</v>
      </c>
      <c r="FE89" s="74">
        <v>1.22498369E-2</v>
      </c>
      <c r="FF89" s="74">
        <v>1.20868109E-2</v>
      </c>
      <c r="FG89" s="74">
        <v>1.19259411E-2</v>
      </c>
      <c r="FH89" s="74">
        <v>1.17671992E-2</v>
      </c>
      <c r="FI89" s="74">
        <v>1.16105576E-2</v>
      </c>
      <c r="FJ89" s="74">
        <v>1.1455988800000001E-2</v>
      </c>
      <c r="FK89" s="74">
        <v>1.13034656E-2</v>
      </c>
      <c r="FL89" s="74">
        <v>1.11529614E-2</v>
      </c>
      <c r="FM89" s="74">
        <v>1.10044498E-2</v>
      </c>
      <c r="FN89" s="74">
        <v>1.0857904599999999E-2</v>
      </c>
      <c r="FO89" s="74">
        <v>1.0713300199999999E-2</v>
      </c>
      <c r="FP89" s="74">
        <v>1.05706111E-2</v>
      </c>
      <c r="FQ89" s="74">
        <v>1.0429812199999999E-2</v>
      </c>
    </row>
    <row r="90" spans="1:173" x14ac:dyDescent="0.25">
      <c r="A90" s="76">
        <v>88</v>
      </c>
      <c r="B90" s="74">
        <v>0.1079714244</v>
      </c>
      <c r="C90" s="74">
        <v>0.10694634090000001</v>
      </c>
      <c r="D90" s="74">
        <v>0.1059177717</v>
      </c>
      <c r="E90" s="74">
        <v>0.1048866359</v>
      </c>
      <c r="F90" s="74">
        <v>0.1038537945</v>
      </c>
      <c r="G90" s="74">
        <v>0.1028200537</v>
      </c>
      <c r="H90" s="74">
        <v>0.10178616729999999</v>
      </c>
      <c r="I90" s="74">
        <v>0.1007528402</v>
      </c>
      <c r="J90" s="74">
        <v>9.9720730100000002E-2</v>
      </c>
      <c r="K90" s="74">
        <v>9.8690450400000004E-2</v>
      </c>
      <c r="L90" s="74">
        <v>9.7662573000000003E-2</v>
      </c>
      <c r="M90" s="74">
        <v>9.6637629599999997E-2</v>
      </c>
      <c r="N90" s="74">
        <v>9.5616114899999993E-2</v>
      </c>
      <c r="O90" s="74">
        <v>9.4598488100000003E-2</v>
      </c>
      <c r="P90" s="74">
        <v>9.3585174899999998E-2</v>
      </c>
      <c r="Q90" s="74">
        <v>9.2576569600000005E-2</v>
      </c>
      <c r="R90" s="74">
        <v>9.1573036799999993E-2</v>
      </c>
      <c r="S90" s="74">
        <v>9.0574913100000001E-2</v>
      </c>
      <c r="T90" s="74">
        <v>8.9582508500000005E-2</v>
      </c>
      <c r="U90" s="74">
        <v>8.8596108500000006E-2</v>
      </c>
      <c r="V90" s="74">
        <v>8.7615974999999999E-2</v>
      </c>
      <c r="W90" s="74">
        <v>8.6642347800000005E-2</v>
      </c>
      <c r="X90" s="74">
        <v>8.5675446299999999E-2</v>
      </c>
      <c r="Y90" s="74">
        <v>8.4715470000000001E-2</v>
      </c>
      <c r="Z90" s="74">
        <v>8.3762600500000006E-2</v>
      </c>
      <c r="AA90" s="74">
        <v>8.2817002099999995E-2</v>
      </c>
      <c r="AB90" s="74">
        <v>8.1878822700000006E-2</v>
      </c>
      <c r="AC90" s="74">
        <v>8.0948195599999995E-2</v>
      </c>
      <c r="AD90" s="74">
        <v>8.0025239299999995E-2</v>
      </c>
      <c r="AE90" s="74">
        <v>7.9110059400000002E-2</v>
      </c>
      <c r="AF90" s="74">
        <v>7.8202748899999994E-2</v>
      </c>
      <c r="AG90" s="74">
        <v>7.7303389E-2</v>
      </c>
      <c r="AH90" s="74">
        <v>7.6412049999999995E-2</v>
      </c>
      <c r="AI90" s="74">
        <v>7.5528792100000006E-2</v>
      </c>
      <c r="AJ90" s="74">
        <v>7.4653665600000002E-2</v>
      </c>
      <c r="AK90" s="74">
        <v>7.3786712099999999E-2</v>
      </c>
      <c r="AL90" s="74">
        <v>7.29279647E-2</v>
      </c>
      <c r="AM90" s="74">
        <v>7.2077448700000005E-2</v>
      </c>
      <c r="AN90" s="74">
        <v>7.1235182199999997E-2</v>
      </c>
      <c r="AO90" s="74">
        <v>7.0401176199999999E-2</v>
      </c>
      <c r="AP90" s="74">
        <v>6.9575435699999993E-2</v>
      </c>
      <c r="AQ90" s="74">
        <v>6.8757959399999999E-2</v>
      </c>
      <c r="AR90" s="74">
        <v>6.7948740899999999E-2</v>
      </c>
      <c r="AS90" s="74">
        <v>6.7147768400000002E-2</v>
      </c>
      <c r="AT90" s="74">
        <v>6.6355025400000003E-2</v>
      </c>
      <c r="AU90" s="74">
        <v>6.55704909E-2</v>
      </c>
      <c r="AV90" s="74">
        <v>6.479414E-2</v>
      </c>
      <c r="AW90" s="74">
        <v>6.4025943799999999E-2</v>
      </c>
      <c r="AX90" s="74">
        <v>6.3265870000000002E-2</v>
      </c>
      <c r="AY90" s="74">
        <v>6.2513882899999998E-2</v>
      </c>
      <c r="AZ90" s="74">
        <v>6.1769943899999999E-2</v>
      </c>
      <c r="BA90" s="74">
        <v>6.1034011700000002E-2</v>
      </c>
      <c r="BB90" s="74">
        <v>6.0306042400000003E-2</v>
      </c>
      <c r="BC90" s="74">
        <v>5.9585989499999999E-2</v>
      </c>
      <c r="BD90" s="74">
        <v>5.8873804600000003E-2</v>
      </c>
      <c r="BE90" s="74">
        <v>5.8169437400000003E-2</v>
      </c>
      <c r="BF90" s="74">
        <v>5.7472835600000001E-2</v>
      </c>
      <c r="BG90" s="74">
        <v>5.6783945299999999E-2</v>
      </c>
      <c r="BH90" s="74">
        <v>5.6102711200000002E-2</v>
      </c>
      <c r="BI90" s="74">
        <v>5.5429076399999999E-2</v>
      </c>
      <c r="BJ90" s="74">
        <v>5.4762983100000003E-2</v>
      </c>
      <c r="BK90" s="74">
        <v>5.4104372300000002E-2</v>
      </c>
      <c r="BL90" s="74">
        <v>5.3453183699999997E-2</v>
      </c>
      <c r="BM90" s="74">
        <v>5.2809356600000003E-2</v>
      </c>
      <c r="BN90" s="74">
        <v>5.2172829300000001E-2</v>
      </c>
      <c r="BO90" s="74">
        <v>5.1543539300000003E-2</v>
      </c>
      <c r="BP90" s="74">
        <v>5.0921423600000001E-2</v>
      </c>
      <c r="BQ90" s="74">
        <v>5.0306418800000002E-2</v>
      </c>
      <c r="BR90" s="74">
        <v>4.9698460999999999E-2</v>
      </c>
      <c r="BS90" s="74">
        <v>4.9097485900000001E-2</v>
      </c>
      <c r="BT90" s="74">
        <v>4.8503428699999997E-2</v>
      </c>
      <c r="BU90" s="74">
        <v>4.7916224899999998E-2</v>
      </c>
      <c r="BV90" s="74">
        <v>4.7335809299999997E-2</v>
      </c>
      <c r="BW90" s="74">
        <v>4.6762116800000003E-2</v>
      </c>
      <c r="BX90" s="74">
        <v>4.6195082200000001E-2</v>
      </c>
      <c r="BY90" s="74">
        <v>4.5634640400000002E-2</v>
      </c>
      <c r="BZ90" s="74">
        <v>4.5080726100000003E-2</v>
      </c>
      <c r="CA90" s="74">
        <v>4.45332742E-2</v>
      </c>
      <c r="CB90" s="74">
        <v>4.3992219700000001E-2</v>
      </c>
      <c r="CC90" s="74">
        <v>4.34574977E-2</v>
      </c>
      <c r="CD90" s="74">
        <v>4.29290435E-2</v>
      </c>
      <c r="CE90" s="74">
        <v>4.24067926E-2</v>
      </c>
      <c r="CF90" s="74">
        <v>4.1890680700000002E-2</v>
      </c>
      <c r="CG90" s="74">
        <v>4.1380643699999997E-2</v>
      </c>
      <c r="CH90" s="74">
        <v>4.0876617900000002E-2</v>
      </c>
      <c r="CI90" s="74">
        <v>4.0378539900000003E-2</v>
      </c>
      <c r="CJ90" s="74">
        <v>3.9886346500000003E-2</v>
      </c>
      <c r="CK90" s="74">
        <v>3.9399974999999997E-2</v>
      </c>
      <c r="CL90" s="74">
        <v>3.8919362800000003E-2</v>
      </c>
      <c r="CM90" s="74">
        <v>3.84444481E-2</v>
      </c>
      <c r="CN90" s="74">
        <v>3.7975169099999997E-2</v>
      </c>
      <c r="CO90" s="74">
        <v>3.7511464500000001E-2</v>
      </c>
      <c r="CP90" s="74">
        <v>3.7053273599999999E-2</v>
      </c>
      <c r="CQ90" s="74">
        <v>3.66005358E-2</v>
      </c>
      <c r="CR90" s="74">
        <v>3.61531914E-2</v>
      </c>
      <c r="CS90" s="74">
        <v>3.5711180600000003E-2</v>
      </c>
      <c r="CT90" s="74">
        <v>3.5274444500000002E-2</v>
      </c>
      <c r="CU90" s="74">
        <v>3.4842924400000003E-2</v>
      </c>
      <c r="CV90" s="74">
        <v>3.44165622E-2</v>
      </c>
      <c r="CW90" s="74">
        <v>3.3995300300000003E-2</v>
      </c>
      <c r="CX90" s="74">
        <v>3.3579081400000002E-2</v>
      </c>
      <c r="CY90" s="74">
        <v>3.3167848899999998E-2</v>
      </c>
      <c r="CZ90" s="74">
        <v>3.2761546599999997E-2</v>
      </c>
      <c r="DA90" s="74">
        <v>3.2360118700000003E-2</v>
      </c>
      <c r="DB90" s="74">
        <v>3.1963510000000001E-2</v>
      </c>
      <c r="DC90" s="74">
        <v>3.1571665800000002E-2</v>
      </c>
      <c r="DD90" s="74">
        <v>3.11845319E-2</v>
      </c>
      <c r="DE90" s="74">
        <v>3.08020546E-2</v>
      </c>
      <c r="DF90" s="74">
        <v>3.04241806E-2</v>
      </c>
      <c r="DG90" s="74">
        <v>3.0050857300000001E-2</v>
      </c>
      <c r="DH90" s="74">
        <v>2.9682032300000001E-2</v>
      </c>
      <c r="DI90" s="74">
        <v>2.93176541E-2</v>
      </c>
      <c r="DJ90" s="74">
        <v>2.8957671399999999E-2</v>
      </c>
      <c r="DK90" s="74">
        <v>2.8602033499999999E-2</v>
      </c>
      <c r="DL90" s="74">
        <v>2.8250690200000001E-2</v>
      </c>
      <c r="DM90" s="74">
        <v>2.7903591700000001E-2</v>
      </c>
      <c r="DN90" s="74">
        <v>2.7560688999999999E-2</v>
      </c>
      <c r="DO90" s="74">
        <v>2.7221933300000001E-2</v>
      </c>
      <c r="DP90" s="74">
        <v>2.68872764E-2</v>
      </c>
      <c r="DQ90" s="74">
        <v>2.6556670500000001E-2</v>
      </c>
      <c r="DR90" s="74">
        <v>2.6230068400000001E-2</v>
      </c>
      <c r="DS90" s="74">
        <v>2.5907423499999999E-2</v>
      </c>
      <c r="DT90" s="74">
        <v>2.55886894E-2</v>
      </c>
      <c r="DU90" s="74">
        <v>2.5273820400000001E-2</v>
      </c>
      <c r="DV90" s="74">
        <v>2.4962771200000001E-2</v>
      </c>
      <c r="DW90" s="74">
        <v>2.4655496999999998E-2</v>
      </c>
      <c r="DX90" s="74">
        <v>2.4351953499999999E-2</v>
      </c>
      <c r="DY90" s="74">
        <v>2.4052096799999999E-2</v>
      </c>
      <c r="DZ90" s="74">
        <v>2.37558836E-2</v>
      </c>
      <c r="EA90" s="74">
        <v>2.3463270800000002E-2</v>
      </c>
      <c r="EB90" s="74">
        <v>2.3174216099999999E-2</v>
      </c>
      <c r="EC90" s="74">
        <v>2.2888677400000002E-2</v>
      </c>
      <c r="ED90" s="74">
        <v>2.2606613300000002E-2</v>
      </c>
      <c r="EE90" s="74">
        <v>2.2327982499999999E-2</v>
      </c>
      <c r="EF90" s="74">
        <v>2.20527446E-2</v>
      </c>
      <c r="EG90" s="74">
        <v>2.1780859199999999E-2</v>
      </c>
      <c r="EH90" s="74">
        <v>2.1512286700000001E-2</v>
      </c>
      <c r="EI90" s="74">
        <v>2.1246987700000001E-2</v>
      </c>
      <c r="EJ90" s="74">
        <v>2.09849233E-2</v>
      </c>
      <c r="EK90" s="74">
        <v>2.0726055100000002E-2</v>
      </c>
      <c r="EL90" s="74">
        <v>2.04703452E-2</v>
      </c>
      <c r="EM90" s="74">
        <v>2.0217755699999999E-2</v>
      </c>
      <c r="EN90" s="74">
        <v>1.9968249800000001E-2</v>
      </c>
      <c r="EO90" s="74">
        <v>1.9721790400000001E-2</v>
      </c>
      <c r="EP90" s="74">
        <v>1.9478341400000002E-2</v>
      </c>
      <c r="EQ90" s="74">
        <v>1.9237866700000002E-2</v>
      </c>
      <c r="ER90" s="74">
        <v>1.9000330900000001E-2</v>
      </c>
      <c r="ES90" s="74">
        <v>1.87656987E-2</v>
      </c>
      <c r="ET90" s="74">
        <v>1.8533935599999999E-2</v>
      </c>
      <c r="EU90" s="74">
        <v>1.8305007099999999E-2</v>
      </c>
      <c r="EV90" s="74">
        <v>1.80788793E-2</v>
      </c>
      <c r="EW90" s="74">
        <v>1.7855518599999998E-2</v>
      </c>
      <c r="EX90" s="74">
        <v>1.76348918E-2</v>
      </c>
      <c r="EY90" s="74">
        <v>1.7416966200000002E-2</v>
      </c>
      <c r="EZ90" s="74">
        <v>1.72017093E-2</v>
      </c>
      <c r="FA90" s="74">
        <v>1.69890891E-2</v>
      </c>
      <c r="FB90" s="74">
        <v>1.6779073799999999E-2</v>
      </c>
      <c r="FC90" s="74">
        <v>1.65716323E-2</v>
      </c>
      <c r="FD90" s="74">
        <v>1.63667334E-2</v>
      </c>
      <c r="FE90" s="74">
        <v>1.6164346600000001E-2</v>
      </c>
      <c r="FF90" s="74">
        <v>1.59644416E-2</v>
      </c>
      <c r="FG90" s="74">
        <v>1.57669886E-2</v>
      </c>
      <c r="FH90" s="74">
        <v>1.5571958E-2</v>
      </c>
      <c r="FI90" s="74">
        <v>1.53793205E-2</v>
      </c>
      <c r="FJ90" s="74">
        <v>1.5189047400000001E-2</v>
      </c>
      <c r="FK90" s="74">
        <v>1.50011099E-2</v>
      </c>
      <c r="FL90" s="74">
        <v>1.48154801E-2</v>
      </c>
      <c r="FM90" s="74">
        <v>1.4632129900000001E-2</v>
      </c>
      <c r="FN90" s="74">
        <v>1.44510318E-2</v>
      </c>
      <c r="FO90" s="74">
        <v>1.4272158599999999E-2</v>
      </c>
      <c r="FP90" s="74">
        <v>1.4095483299999999E-2</v>
      </c>
      <c r="FQ90" s="74">
        <v>1.39209794E-2</v>
      </c>
    </row>
    <row r="91" spans="1:173" x14ac:dyDescent="0.25">
      <c r="A91" s="76">
        <v>89</v>
      </c>
      <c r="B91" s="74">
        <v>0.1234999744</v>
      </c>
      <c r="C91" s="74">
        <v>0.1224408659</v>
      </c>
      <c r="D91" s="74">
        <v>0.1213767783</v>
      </c>
      <c r="E91" s="74">
        <v>0.1203086686</v>
      </c>
      <c r="F91" s="74">
        <v>0.1192374356</v>
      </c>
      <c r="G91" s="74">
        <v>0.11816392320000001</v>
      </c>
      <c r="H91" s="74">
        <v>0.11708892260000001</v>
      </c>
      <c r="I91" s="74">
        <v>0.1160131752</v>
      </c>
      <c r="J91" s="74">
        <v>0.11493737549999999</v>
      </c>
      <c r="K91" s="74">
        <v>0.11386217310000001</v>
      </c>
      <c r="L91" s="74">
        <v>0.1127881756</v>
      </c>
      <c r="M91" s="74">
        <v>0.1117159501</v>
      </c>
      <c r="N91" s="74">
        <v>0.1106460262</v>
      </c>
      <c r="O91" s="74">
        <v>0.10957889749999999</v>
      </c>
      <c r="P91" s="74">
        <v>0.1085150237</v>
      </c>
      <c r="Q91" s="74">
        <v>0.1074548327</v>
      </c>
      <c r="R91" s="74">
        <v>0.106398722</v>
      </c>
      <c r="S91" s="74">
        <v>0.1053470606</v>
      </c>
      <c r="T91" s="74">
        <v>0.1043001906</v>
      </c>
      <c r="U91" s="74">
        <v>0.1032584289</v>
      </c>
      <c r="V91" s="74">
        <v>0.1022220682</v>
      </c>
      <c r="W91" s="74">
        <v>0.1011913788</v>
      </c>
      <c r="X91" s="74">
        <v>0.10016660970000001</v>
      </c>
      <c r="Y91" s="74">
        <v>9.9147989899999997E-2</v>
      </c>
      <c r="Z91" s="74">
        <v>9.8135729500000005E-2</v>
      </c>
      <c r="AA91" s="74">
        <v>9.7130020999999997E-2</v>
      </c>
      <c r="AB91" s="74">
        <v>9.6131040000000001E-2</v>
      </c>
      <c r="AC91" s="74">
        <v>9.5138946700000004E-2</v>
      </c>
      <c r="AD91" s="74">
        <v>9.4153886199999995E-2</v>
      </c>
      <c r="AE91" s="74">
        <v>9.317599E-2</v>
      </c>
      <c r="AF91" s="74">
        <v>9.2205376399999997E-2</v>
      </c>
      <c r="AG91" s="74">
        <v>9.1242151699999996E-2</v>
      </c>
      <c r="AH91" s="74">
        <v>9.0286410400000003E-2</v>
      </c>
      <c r="AI91" s="74">
        <v>8.9338236400000007E-2</v>
      </c>
      <c r="AJ91" s="74">
        <v>8.8397703499999994E-2</v>
      </c>
      <c r="AK91" s="74">
        <v>8.7464875900000003E-2</v>
      </c>
      <c r="AL91" s="74">
        <v>8.6539809100000004E-2</v>
      </c>
      <c r="AM91" s="74">
        <v>8.5622550000000006E-2</v>
      </c>
      <c r="AN91" s="74">
        <v>8.4713137999999993E-2</v>
      </c>
      <c r="AO91" s="74">
        <v>8.3811604900000003E-2</v>
      </c>
      <c r="AP91" s="74">
        <v>8.2917975899999996E-2</v>
      </c>
      <c r="AQ91" s="74">
        <v>8.2032269699999993E-2</v>
      </c>
      <c r="AR91" s="74">
        <v>8.1154499099999999E-2</v>
      </c>
      <c r="AS91" s="74">
        <v>8.0284671099999996E-2</v>
      </c>
      <c r="AT91" s="74">
        <v>7.9422787699999997E-2</v>
      </c>
      <c r="AU91" s="74">
        <v>7.8568845999999998E-2</v>
      </c>
      <c r="AV91" s="74">
        <v>7.7722838599999997E-2</v>
      </c>
      <c r="AW91" s="74">
        <v>7.6884753700000003E-2</v>
      </c>
      <c r="AX91" s="74">
        <v>7.6054575700000002E-2</v>
      </c>
      <c r="AY91" s="74">
        <v>7.5232285300000007E-2</v>
      </c>
      <c r="AZ91" s="74">
        <v>7.44178598E-2</v>
      </c>
      <c r="BA91" s="74">
        <v>7.3611273300000002E-2</v>
      </c>
      <c r="BB91" s="74">
        <v>7.2812497099999998E-2</v>
      </c>
      <c r="BC91" s="74">
        <v>7.2021499500000002E-2</v>
      </c>
      <c r="BD91" s="74">
        <v>7.1238246500000005E-2</v>
      </c>
      <c r="BE91" s="74">
        <v>7.0462701599999997E-2</v>
      </c>
      <c r="BF91" s="74">
        <v>6.9694826500000001E-2</v>
      </c>
      <c r="BG91" s="74">
        <v>6.8934580400000001E-2</v>
      </c>
      <c r="BH91" s="74">
        <v>6.8181921000000006E-2</v>
      </c>
      <c r="BI91" s="74">
        <v>6.7436804200000006E-2</v>
      </c>
      <c r="BJ91" s="74">
        <v>6.6699184499999994E-2</v>
      </c>
      <c r="BK91" s="74">
        <v>6.5969014699999995E-2</v>
      </c>
      <c r="BL91" s="74">
        <v>6.5246246499999994E-2</v>
      </c>
      <c r="BM91" s="74">
        <v>6.4530830400000003E-2</v>
      </c>
      <c r="BN91" s="74">
        <v>6.3822715799999999E-2</v>
      </c>
      <c r="BO91" s="74">
        <v>6.3121851199999995E-2</v>
      </c>
      <c r="BP91" s="74">
        <v>6.2428183999999998E-2</v>
      </c>
      <c r="BQ91" s="74">
        <v>6.1741661099999998E-2</v>
      </c>
      <c r="BR91" s="74">
        <v>6.1062228599999997E-2</v>
      </c>
      <c r="BS91" s="74">
        <v>6.03898317E-2</v>
      </c>
      <c r="BT91" s="74">
        <v>5.9724415500000003E-2</v>
      </c>
      <c r="BU91" s="74">
        <v>5.9065924200000001E-2</v>
      </c>
      <c r="BV91" s="74">
        <v>5.8414301799999999E-2</v>
      </c>
      <c r="BW91" s="74">
        <v>5.7769491999999999E-2</v>
      </c>
      <c r="BX91" s="74">
        <v>5.7131438100000001E-2</v>
      </c>
      <c r="BY91" s="74">
        <v>5.6500083E-2</v>
      </c>
      <c r="BZ91" s="74">
        <v>5.5875369500000001E-2</v>
      </c>
      <c r="CA91" s="74">
        <v>5.5257240499999999E-2</v>
      </c>
      <c r="CB91" s="74">
        <v>5.46456383E-2</v>
      </c>
      <c r="CC91" s="74">
        <v>5.4040505599999997E-2</v>
      </c>
      <c r="CD91" s="74">
        <v>5.3441784700000002E-2</v>
      </c>
      <c r="CE91" s="74">
        <v>5.2849418099999997E-2</v>
      </c>
      <c r="CF91" s="74">
        <v>5.2263348199999997E-2</v>
      </c>
      <c r="CG91" s="74">
        <v>5.1683517599999999E-2</v>
      </c>
      <c r="CH91" s="74">
        <v>5.1109869000000002E-2</v>
      </c>
      <c r="CI91" s="74">
        <v>5.0542344900000001E-2</v>
      </c>
      <c r="CJ91" s="74">
        <v>4.9980888399999999E-2</v>
      </c>
      <c r="CK91" s="74">
        <v>4.94254425E-2</v>
      </c>
      <c r="CL91" s="74">
        <v>4.88759504E-2</v>
      </c>
      <c r="CM91" s="74">
        <v>4.83323555E-2</v>
      </c>
      <c r="CN91" s="74">
        <v>4.77946016E-2</v>
      </c>
      <c r="CO91" s="74">
        <v>4.7262632399999997E-2</v>
      </c>
      <c r="CP91" s="74">
        <v>4.6736392100000003E-2</v>
      </c>
      <c r="CQ91" s="74">
        <v>4.6215825299999999E-2</v>
      </c>
      <c r="CR91" s="74">
        <v>4.5700876500000001E-2</v>
      </c>
      <c r="CS91" s="74">
        <v>4.5191490899999999E-2</v>
      </c>
      <c r="CT91" s="74">
        <v>4.4687613700000003E-2</v>
      </c>
      <c r="CU91" s="74">
        <v>4.4189190500000003E-2</v>
      </c>
      <c r="CV91" s="74">
        <v>4.3696167399999999E-2</v>
      </c>
      <c r="CW91" s="74">
        <v>4.3208490600000003E-2</v>
      </c>
      <c r="CX91" s="74">
        <v>4.2726106899999998E-2</v>
      </c>
      <c r="CY91" s="74">
        <v>4.2248963100000002E-2</v>
      </c>
      <c r="CZ91" s="74">
        <v>4.1777006700000001E-2</v>
      </c>
      <c r="DA91" s="74">
        <v>4.1310185399999998E-2</v>
      </c>
      <c r="DB91" s="74">
        <v>4.08484473E-2</v>
      </c>
      <c r="DC91" s="74">
        <v>4.0391741000000002E-2</v>
      </c>
      <c r="DD91" s="74">
        <v>3.9940015199999998E-2</v>
      </c>
      <c r="DE91" s="74">
        <v>3.9493219199999999E-2</v>
      </c>
      <c r="DF91" s="74">
        <v>3.90513028E-2</v>
      </c>
      <c r="DG91" s="74">
        <v>3.8614215799999997E-2</v>
      </c>
      <c r="DH91" s="74">
        <v>3.8181908700000003E-2</v>
      </c>
      <c r="DI91" s="74">
        <v>3.7754332500000001E-2</v>
      </c>
      <c r="DJ91" s="74">
        <v>3.7331438199999997E-2</v>
      </c>
      <c r="DK91" s="74">
        <v>3.6913177599999999E-2</v>
      </c>
      <c r="DL91" s="74">
        <v>3.6499502599999997E-2</v>
      </c>
      <c r="DM91" s="74">
        <v>3.6090365700000002E-2</v>
      </c>
      <c r="DN91" s="74">
        <v>3.56857197E-2</v>
      </c>
      <c r="DO91" s="74">
        <v>3.52855179E-2</v>
      </c>
      <c r="DP91" s="74">
        <v>3.4889714000000002E-2</v>
      </c>
      <c r="DQ91" s="74">
        <v>3.44982619E-2</v>
      </c>
      <c r="DR91" s="74">
        <v>3.4111116099999998E-2</v>
      </c>
      <c r="DS91" s="74">
        <v>3.3728231499999997E-2</v>
      </c>
      <c r="DT91" s="74">
        <v>3.3349563399999997E-2</v>
      </c>
      <c r="DU91" s="74">
        <v>3.2975067400000002E-2</v>
      </c>
      <c r="DV91" s="74">
        <v>3.2604699600000002E-2</v>
      </c>
      <c r="DW91" s="74">
        <v>3.2238416399999997E-2</v>
      </c>
      <c r="DX91" s="74">
        <v>3.1876174799999997E-2</v>
      </c>
      <c r="DY91" s="74">
        <v>3.1517931999999999E-2</v>
      </c>
      <c r="DZ91" s="74">
        <v>3.1163645600000001E-2</v>
      </c>
      <c r="EA91" s="74">
        <v>3.0813273700000001E-2</v>
      </c>
      <c r="EB91" s="74">
        <v>3.04667749E-2</v>
      </c>
      <c r="EC91" s="74">
        <v>3.0124107800000001E-2</v>
      </c>
      <c r="ED91" s="74">
        <v>2.9785231799999999E-2</v>
      </c>
      <c r="EE91" s="74">
        <v>2.94501065E-2</v>
      </c>
      <c r="EF91" s="74">
        <v>2.9118691799999999E-2</v>
      </c>
      <c r="EG91" s="74">
        <v>2.8790948199999999E-2</v>
      </c>
      <c r="EH91" s="74">
        <v>2.8466836499999999E-2</v>
      </c>
      <c r="EI91" s="74">
        <v>2.8146317699999999E-2</v>
      </c>
      <c r="EJ91" s="74">
        <v>2.7829353500000001E-2</v>
      </c>
      <c r="EK91" s="74">
        <v>2.7515905699999999E-2</v>
      </c>
      <c r="EL91" s="74">
        <v>2.7205936600000001E-2</v>
      </c>
      <c r="EM91" s="74">
        <v>2.68994088E-2</v>
      </c>
      <c r="EN91" s="74">
        <v>2.6596285399999999E-2</v>
      </c>
      <c r="EO91" s="74">
        <v>2.6296529799999999E-2</v>
      </c>
      <c r="EP91" s="74">
        <v>2.60001056E-2</v>
      </c>
      <c r="EQ91" s="74">
        <v>2.5706976999999999E-2</v>
      </c>
      <c r="ER91" s="74">
        <v>2.54171085E-2</v>
      </c>
      <c r="ES91" s="74">
        <v>2.5130464799999998E-2</v>
      </c>
      <c r="ET91" s="74">
        <v>2.48470111E-2</v>
      </c>
      <c r="EU91" s="74">
        <v>2.4566712899999999E-2</v>
      </c>
      <c r="EV91" s="74">
        <v>2.42895362E-2</v>
      </c>
      <c r="EW91" s="74">
        <v>2.4015446999999999E-2</v>
      </c>
      <c r="EX91" s="74">
        <v>2.3744411900000002E-2</v>
      </c>
      <c r="EY91" s="74">
        <v>2.3476397900000001E-2</v>
      </c>
      <c r="EZ91" s="74">
        <v>2.3211372099999999E-2</v>
      </c>
      <c r="FA91" s="74">
        <v>2.2949302099999999E-2</v>
      </c>
      <c r="FB91" s="74">
        <v>2.26901558E-2</v>
      </c>
      <c r="FC91" s="74">
        <v>2.2433901400000001E-2</v>
      </c>
      <c r="FD91" s="74">
        <v>2.2180507299999999E-2</v>
      </c>
      <c r="FE91" s="74">
        <v>2.1929942599999998E-2</v>
      </c>
      <c r="FF91" s="74">
        <v>2.1682176300000001E-2</v>
      </c>
      <c r="FG91" s="74">
        <v>2.1437178000000001E-2</v>
      </c>
      <c r="FH91" s="74">
        <v>2.1194917399999999E-2</v>
      </c>
      <c r="FI91" s="74">
        <v>2.0955364800000001E-2</v>
      </c>
      <c r="FJ91" s="74">
        <v>2.0718490400000001E-2</v>
      </c>
      <c r="FK91" s="74">
        <v>2.0484265099999999E-2</v>
      </c>
      <c r="FL91" s="74">
        <v>2.02526598E-2</v>
      </c>
      <c r="FM91" s="74">
        <v>2.0023645999999999E-2</v>
      </c>
      <c r="FN91" s="74">
        <v>1.9797195199999999E-2</v>
      </c>
      <c r="FO91" s="74">
        <v>1.9573279400000001E-2</v>
      </c>
      <c r="FP91" s="74">
        <v>1.93518708E-2</v>
      </c>
      <c r="FQ91" s="74">
        <v>1.9132942E-2</v>
      </c>
    </row>
    <row r="92" spans="1:173" x14ac:dyDescent="0.25">
      <c r="A92" s="76">
        <v>90</v>
      </c>
      <c r="B92" s="74">
        <v>0.14110615709999999</v>
      </c>
      <c r="C92" s="74">
        <v>0.14008489469999999</v>
      </c>
      <c r="D92" s="74">
        <v>0.13905271529999999</v>
      </c>
      <c r="E92" s="74">
        <v>0.13801084960000001</v>
      </c>
      <c r="F92" s="74">
        <v>0.1369604592</v>
      </c>
      <c r="G92" s="74">
        <v>0.13590263890000001</v>
      </c>
      <c r="H92" s="74">
        <v>0.1348384205</v>
      </c>
      <c r="I92" s="74">
        <v>0.1337687756</v>
      </c>
      <c r="J92" s="74">
        <v>0.13269461860000001</v>
      </c>
      <c r="K92" s="74">
        <v>0.1316168096</v>
      </c>
      <c r="L92" s="74">
        <v>0.13053615690000001</v>
      </c>
      <c r="M92" s="74">
        <v>0.12945341990000001</v>
      </c>
      <c r="N92" s="74">
        <v>0.1283693115</v>
      </c>
      <c r="O92" s="74">
        <v>0.12728450029999999</v>
      </c>
      <c r="P92" s="74">
        <v>0.1261996135</v>
      </c>
      <c r="Q92" s="74">
        <v>0.12511523829999999</v>
      </c>
      <c r="R92" s="74">
        <v>0.1240319246</v>
      </c>
      <c r="S92" s="74">
        <v>0.1229501868</v>
      </c>
      <c r="T92" s="74">
        <v>0.1218705058</v>
      </c>
      <c r="U92" s="74">
        <v>0.1207933305</v>
      </c>
      <c r="V92" s="74">
        <v>0.1197190801</v>
      </c>
      <c r="W92" s="74">
        <v>0.1186481452</v>
      </c>
      <c r="X92" s="74">
        <v>0.1175808897</v>
      </c>
      <c r="Y92" s="74">
        <v>0.11651765209999999</v>
      </c>
      <c r="Z92" s="74">
        <v>0.1154587472</v>
      </c>
      <c r="AA92" s="74">
        <v>0.114404467</v>
      </c>
      <c r="AB92" s="74">
        <v>0.1133550825</v>
      </c>
      <c r="AC92" s="74">
        <v>0.1123108443</v>
      </c>
      <c r="AD92" s="74">
        <v>0.1112719845</v>
      </c>
      <c r="AE92" s="74">
        <v>0.110238717</v>
      </c>
      <c r="AF92" s="74">
        <v>0.109211239</v>
      </c>
      <c r="AG92" s="74">
        <v>0.108189732</v>
      </c>
      <c r="AH92" s="74">
        <v>0.10717436249999999</v>
      </c>
      <c r="AI92" s="74">
        <v>0.1061652829</v>
      </c>
      <c r="AJ92" s="74">
        <v>0.1051626326</v>
      </c>
      <c r="AK92" s="74">
        <v>0.10416653820000001</v>
      </c>
      <c r="AL92" s="74">
        <v>0.10317711490000001</v>
      </c>
      <c r="AM92" s="74">
        <v>0.1021944669</v>
      </c>
      <c r="AN92" s="74">
        <v>0.10121868790000001</v>
      </c>
      <c r="AO92" s="74">
        <v>0.100249862</v>
      </c>
      <c r="AP92" s="74">
        <v>9.9288064100000004E-2</v>
      </c>
      <c r="AQ92" s="74">
        <v>9.8333360600000003E-2</v>
      </c>
      <c r="AR92" s="74">
        <v>9.7385809800000001E-2</v>
      </c>
      <c r="AS92" s="74">
        <v>9.6445462300000007E-2</v>
      </c>
      <c r="AT92" s="74">
        <v>9.5512361899999995E-2</v>
      </c>
      <c r="AU92" s="74">
        <v>9.4586545600000002E-2</v>
      </c>
      <c r="AV92" s="74">
        <v>9.3668044000000006E-2</v>
      </c>
      <c r="AW92" s="74">
        <v>9.2756881999999999E-2</v>
      </c>
      <c r="AX92" s="74">
        <v>9.1853079200000007E-2</v>
      </c>
      <c r="AY92" s="74">
        <v>9.0956649700000003E-2</v>
      </c>
      <c r="AZ92" s="74">
        <v>9.0067602999999996E-2</v>
      </c>
      <c r="BA92" s="74">
        <v>8.9185944200000006E-2</v>
      </c>
      <c r="BB92" s="74">
        <v>8.8311673899999998E-2</v>
      </c>
      <c r="BC92" s="74">
        <v>8.7444788900000001E-2</v>
      </c>
      <c r="BD92" s="74">
        <v>8.6585282599999994E-2</v>
      </c>
      <c r="BE92" s="74">
        <v>8.5733144499999997E-2</v>
      </c>
      <c r="BF92" s="74">
        <v>8.4888361199999998E-2</v>
      </c>
      <c r="BG92" s="74">
        <v>8.4050916200000006E-2</v>
      </c>
      <c r="BH92" s="74">
        <v>8.3220790399999994E-2</v>
      </c>
      <c r="BI92" s="74">
        <v>8.2397961699999994E-2</v>
      </c>
      <c r="BJ92" s="74">
        <v>8.1582406100000004E-2</v>
      </c>
      <c r="BK92" s="74">
        <v>8.0774097000000003E-2</v>
      </c>
      <c r="BL92" s="74">
        <v>7.9973005799999997E-2</v>
      </c>
      <c r="BM92" s="74">
        <v>7.9179102000000001E-2</v>
      </c>
      <c r="BN92" s="74">
        <v>7.8392353400000003E-2</v>
      </c>
      <c r="BO92" s="74">
        <v>7.7612725800000004E-2</v>
      </c>
      <c r="BP92" s="74">
        <v>7.6840184000000006E-2</v>
      </c>
      <c r="BQ92" s="74">
        <v>7.6074690799999997E-2</v>
      </c>
      <c r="BR92" s="74">
        <v>7.5316208199999998E-2</v>
      </c>
      <c r="BS92" s="74">
        <v>7.4564696700000002E-2</v>
      </c>
      <c r="BT92" s="74">
        <v>7.3820115800000002E-2</v>
      </c>
      <c r="BU92" s="74">
        <v>7.3082423899999999E-2</v>
      </c>
      <c r="BV92" s="74">
        <v>7.2351578599999994E-2</v>
      </c>
      <c r="BW92" s="74">
        <v>7.1627536500000005E-2</v>
      </c>
      <c r="BX92" s="74">
        <v>7.0910253699999995E-2</v>
      </c>
      <c r="BY92" s="74">
        <v>7.01996852E-2</v>
      </c>
      <c r="BZ92" s="74">
        <v>6.9495785800000001E-2</v>
      </c>
      <c r="CA92" s="74">
        <v>6.8798509399999999E-2</v>
      </c>
      <c r="CB92" s="74">
        <v>6.8107809599999999E-2</v>
      </c>
      <c r="CC92" s="74">
        <v>6.7423639399999999E-2</v>
      </c>
      <c r="CD92" s="74">
        <v>6.6745951499999998E-2</v>
      </c>
      <c r="CE92" s="74">
        <v>6.6074698200000004E-2</v>
      </c>
      <c r="CF92" s="74">
        <v>6.5409831599999996E-2</v>
      </c>
      <c r="CG92" s="74">
        <v>6.4751303400000002E-2</v>
      </c>
      <c r="CH92" s="74">
        <v>6.4099065100000005E-2</v>
      </c>
      <c r="CI92" s="74">
        <v>6.3453068200000004E-2</v>
      </c>
      <c r="CJ92" s="74">
        <v>6.2813263800000005E-2</v>
      </c>
      <c r="CK92" s="74">
        <v>6.2179602899999999E-2</v>
      </c>
      <c r="CL92" s="74">
        <v>6.15520367E-2</v>
      </c>
      <c r="CM92" s="74">
        <v>6.0930516099999998E-2</v>
      </c>
      <c r="CN92" s="74">
        <v>6.0314992099999999E-2</v>
      </c>
      <c r="CO92" s="74">
        <v>5.9705415499999998E-2</v>
      </c>
      <c r="CP92" s="74">
        <v>5.9101737299999998E-2</v>
      </c>
      <c r="CQ92" s="74">
        <v>5.8503908600000001E-2</v>
      </c>
      <c r="CR92" s="74">
        <v>5.7911880399999997E-2</v>
      </c>
      <c r="CS92" s="74">
        <v>5.7325603900000001E-2</v>
      </c>
      <c r="CT92" s="74">
        <v>5.67450304E-2</v>
      </c>
      <c r="CU92" s="74">
        <v>5.6170111199999997E-2</v>
      </c>
      <c r="CV92" s="74">
        <v>5.5600798E-2</v>
      </c>
      <c r="CW92" s="74">
        <v>5.5037042299999998E-2</v>
      </c>
      <c r="CX92" s="74">
        <v>5.4478796099999997E-2</v>
      </c>
      <c r="CY92" s="74">
        <v>5.3926011500000003E-2</v>
      </c>
      <c r="CZ92" s="74">
        <v>5.3378640499999998E-2</v>
      </c>
      <c r="DA92" s="74">
        <v>5.2836635700000002E-2</v>
      </c>
      <c r="DB92" s="74">
        <v>5.2299949700000001E-2</v>
      </c>
      <c r="DC92" s="74">
        <v>5.1768535400000003E-2</v>
      </c>
      <c r="DD92" s="74">
        <v>5.12423459E-2</v>
      </c>
      <c r="DE92" s="74">
        <v>5.0721334600000001E-2</v>
      </c>
      <c r="DF92" s="74">
        <v>5.0205455000000003E-2</v>
      </c>
      <c r="DG92" s="74">
        <v>4.9694661000000001E-2</v>
      </c>
      <c r="DH92" s="74">
        <v>4.9188906800000001E-2</v>
      </c>
      <c r="DI92" s="74">
        <v>4.8688146600000003E-2</v>
      </c>
      <c r="DJ92" s="74">
        <v>4.8192335199999999E-2</v>
      </c>
      <c r="DK92" s="74">
        <v>4.7701427499999997E-2</v>
      </c>
      <c r="DL92" s="74">
        <v>4.7215378600000003E-2</v>
      </c>
      <c r="DM92" s="74">
        <v>4.6734144200000001E-2</v>
      </c>
      <c r="DN92" s="74">
        <v>4.6257680000000002E-2</v>
      </c>
      <c r="DO92" s="74">
        <v>4.5785942099999997E-2</v>
      </c>
      <c r="DP92" s="74">
        <v>4.5318886900000001E-2</v>
      </c>
      <c r="DQ92" s="74">
        <v>4.4856471000000002E-2</v>
      </c>
      <c r="DR92" s="74">
        <v>4.4398651499999997E-2</v>
      </c>
      <c r="DS92" s="74">
        <v>4.3945385599999998E-2</v>
      </c>
      <c r="DT92" s="74">
        <v>4.34966309E-2</v>
      </c>
      <c r="DU92" s="74">
        <v>4.3052345399999997E-2</v>
      </c>
      <c r="DV92" s="74">
        <v>4.2612487300000002E-2</v>
      </c>
      <c r="DW92" s="74">
        <v>4.2177014999999998E-2</v>
      </c>
      <c r="DX92" s="74">
        <v>4.1745887500000002E-2</v>
      </c>
      <c r="DY92" s="74">
        <v>4.13190638E-2</v>
      </c>
      <c r="DZ92" s="74">
        <v>4.0896503399999999E-2</v>
      </c>
      <c r="EA92" s="74">
        <v>4.0478166199999999E-2</v>
      </c>
      <c r="EB92" s="74">
        <v>4.0064012099999997E-2</v>
      </c>
      <c r="EC92" s="74">
        <v>3.9654001600000002E-2</v>
      </c>
      <c r="ED92" s="74">
        <v>3.9248095500000003E-2</v>
      </c>
      <c r="EE92" s="74">
        <v>3.8846254599999998E-2</v>
      </c>
      <c r="EF92" s="74">
        <v>3.8448440399999999E-2</v>
      </c>
      <c r="EG92" s="74">
        <v>3.80546145E-2</v>
      </c>
      <c r="EH92" s="74">
        <v>3.7664738900000001E-2</v>
      </c>
      <c r="EI92" s="74">
        <v>3.7278775899999998E-2</v>
      </c>
      <c r="EJ92" s="74">
        <v>3.6896687900000003E-2</v>
      </c>
      <c r="EK92" s="74">
        <v>3.6518438E-2</v>
      </c>
      <c r="EL92" s="74">
        <v>3.61439894E-2</v>
      </c>
      <c r="EM92" s="74">
        <v>3.5773305399999997E-2</v>
      </c>
      <c r="EN92" s="74">
        <v>3.5406350099999997E-2</v>
      </c>
      <c r="EO92" s="74">
        <v>3.5043087399999999E-2</v>
      </c>
      <c r="EP92" s="74">
        <v>3.4683481799999999E-2</v>
      </c>
      <c r="EQ92" s="74">
        <v>3.4327497999999998E-2</v>
      </c>
      <c r="ER92" s="74">
        <v>3.3975101100000002E-2</v>
      </c>
      <c r="ES92" s="74">
        <v>3.3626256399999999E-2</v>
      </c>
      <c r="ET92" s="74">
        <v>3.3280929600000002E-2</v>
      </c>
      <c r="EU92" s="74">
        <v>3.2939086499999999E-2</v>
      </c>
      <c r="EV92" s="74">
        <v>3.2600693299999997E-2</v>
      </c>
      <c r="EW92" s="74">
        <v>3.2265716700000002E-2</v>
      </c>
      <c r="EX92" s="74">
        <v>3.1934123299999999E-2</v>
      </c>
      <c r="EY92" s="74">
        <v>3.1605880400000001E-2</v>
      </c>
      <c r="EZ92" s="74">
        <v>3.1280955200000002E-2</v>
      </c>
      <c r="FA92" s="74">
        <v>3.0959315599999999E-2</v>
      </c>
      <c r="FB92" s="74">
        <v>3.0640929300000001E-2</v>
      </c>
      <c r="FC92" s="74">
        <v>3.0325764799999998E-2</v>
      </c>
      <c r="FD92" s="74">
        <v>3.0013790500000002E-2</v>
      </c>
      <c r="FE92" s="74">
        <v>2.9704975299999999E-2</v>
      </c>
      <c r="FF92" s="74">
        <v>2.93992881E-2</v>
      </c>
      <c r="FG92" s="74">
        <v>2.90966985E-2</v>
      </c>
      <c r="FH92" s="74">
        <v>2.8797176000000001E-2</v>
      </c>
      <c r="FI92" s="74">
        <v>2.85006906E-2</v>
      </c>
      <c r="FJ92" s="74">
        <v>2.8207212499999999E-2</v>
      </c>
      <c r="FK92" s="74">
        <v>2.7916712100000001E-2</v>
      </c>
      <c r="FL92" s="74">
        <v>2.7629160100000001E-2</v>
      </c>
      <c r="FM92" s="74">
        <v>2.7344527600000001E-2</v>
      </c>
      <c r="FN92" s="74">
        <v>2.7062785799999999E-2</v>
      </c>
      <c r="FO92" s="74">
        <v>2.6783906199999999E-2</v>
      </c>
      <c r="FP92" s="74">
        <v>2.65078607E-2</v>
      </c>
      <c r="FQ92" s="74">
        <v>2.6234621199999999E-2</v>
      </c>
    </row>
    <row r="93" spans="1:173" x14ac:dyDescent="0.25">
      <c r="A93" s="76">
        <v>91</v>
      </c>
      <c r="B93" s="74">
        <v>0.1574090252</v>
      </c>
      <c r="C93" s="74">
        <v>0.1563326823</v>
      </c>
      <c r="D93" s="74">
        <v>0.15524571910000001</v>
      </c>
      <c r="E93" s="74">
        <v>0.15414932440000001</v>
      </c>
      <c r="F93" s="74">
        <v>0.1530446197</v>
      </c>
      <c r="G93" s="74">
        <v>0.1519326624</v>
      </c>
      <c r="H93" s="74">
        <v>0.15081444899999999</v>
      </c>
      <c r="I93" s="74">
        <v>0.1496909179</v>
      </c>
      <c r="J93" s="74">
        <v>0.14856295259999999</v>
      </c>
      <c r="K93" s="74">
        <v>0.14743138419999999</v>
      </c>
      <c r="L93" s="74">
        <v>0.1462969945</v>
      </c>
      <c r="M93" s="74">
        <v>0.14516051769999999</v>
      </c>
      <c r="N93" s="74">
        <v>0.14402264400000001</v>
      </c>
      <c r="O93" s="74">
        <v>0.14288402080000001</v>
      </c>
      <c r="P93" s="74">
        <v>0.1417452558</v>
      </c>
      <c r="Q93" s="74">
        <v>0.14060691859999999</v>
      </c>
      <c r="R93" s="74">
        <v>0.13946954289999999</v>
      </c>
      <c r="S93" s="74">
        <v>0.1383336285</v>
      </c>
      <c r="T93" s="74">
        <v>0.1371996429</v>
      </c>
      <c r="U93" s="74">
        <v>0.13606802339999999</v>
      </c>
      <c r="V93" s="74">
        <v>0.13493917850000001</v>
      </c>
      <c r="W93" s="74">
        <v>0.13381348940000001</v>
      </c>
      <c r="X93" s="74">
        <v>0.1326913119</v>
      </c>
      <c r="Y93" s="74">
        <v>0.1315729773</v>
      </c>
      <c r="Z93" s="74">
        <v>0.13045879430000001</v>
      </c>
      <c r="AA93" s="74">
        <v>0.12934904990000001</v>
      </c>
      <c r="AB93" s="74">
        <v>0.12824401050000001</v>
      </c>
      <c r="AC93" s="74">
        <v>0.12714392359999999</v>
      </c>
      <c r="AD93" s="74">
        <v>0.12604901839999999</v>
      </c>
      <c r="AE93" s="74">
        <v>0.124959507</v>
      </c>
      <c r="AF93" s="74">
        <v>0.1238755855</v>
      </c>
      <c r="AG93" s="74">
        <v>0.1227974346</v>
      </c>
      <c r="AH93" s="74">
        <v>0.12172522080000001</v>
      </c>
      <c r="AI93" s="74">
        <v>0.1206590972</v>
      </c>
      <c r="AJ93" s="74">
        <v>0.119599204</v>
      </c>
      <c r="AK93" s="74">
        <v>0.1185456696</v>
      </c>
      <c r="AL93" s="74">
        <v>0.117498611</v>
      </c>
      <c r="AM93" s="74">
        <v>0.1164581348</v>
      </c>
      <c r="AN93" s="74">
        <v>0.11542433739999999</v>
      </c>
      <c r="AO93" s="74">
        <v>0.114397306</v>
      </c>
      <c r="AP93" s="74">
        <v>0.1133771188</v>
      </c>
      <c r="AQ93" s="74">
        <v>0.112363846</v>
      </c>
      <c r="AR93" s="74">
        <v>0.1113575497</v>
      </c>
      <c r="AS93" s="74">
        <v>0.1103582848</v>
      </c>
      <c r="AT93" s="74">
        <v>0.10936609930000001</v>
      </c>
      <c r="AU93" s="74">
        <v>0.1083810347</v>
      </c>
      <c r="AV93" s="74">
        <v>0.1074031266</v>
      </c>
      <c r="AW93" s="74">
        <v>0.10643240480000001</v>
      </c>
      <c r="AX93" s="74">
        <v>0.1054688937</v>
      </c>
      <c r="AY93" s="74">
        <v>0.1045126126</v>
      </c>
      <c r="AZ93" s="74">
        <v>0.1035635765</v>
      </c>
      <c r="BA93" s="74">
        <v>0.1026217955</v>
      </c>
      <c r="BB93" s="74">
        <v>0.10168727599999999</v>
      </c>
      <c r="BC93" s="74">
        <v>0.10076002019999999</v>
      </c>
      <c r="BD93" s="74">
        <v>9.9840026900000003E-2</v>
      </c>
      <c r="BE93" s="74">
        <v>9.8927291400000006E-2</v>
      </c>
      <c r="BF93" s="74">
        <v>9.8021806000000003E-2</v>
      </c>
      <c r="BG93" s="74">
        <v>9.7123559799999995E-2</v>
      </c>
      <c r="BH93" s="74">
        <v>9.6232539300000003E-2</v>
      </c>
      <c r="BI93" s="74">
        <v>9.5348728399999999E-2</v>
      </c>
      <c r="BJ93" s="74">
        <v>9.4472108599999993E-2</v>
      </c>
      <c r="BK93" s="74">
        <v>9.3602659099999999E-2</v>
      </c>
      <c r="BL93" s="74">
        <v>9.2740357100000004E-2</v>
      </c>
      <c r="BM93" s="74">
        <v>9.1885177799999995E-2</v>
      </c>
      <c r="BN93" s="74">
        <v>9.1037094599999993E-2</v>
      </c>
      <c r="BO93" s="74">
        <v>9.0196079200000001E-2</v>
      </c>
      <c r="BP93" s="74">
        <v>8.9362101700000002E-2</v>
      </c>
      <c r="BQ93" s="74">
        <v>8.8535130899999995E-2</v>
      </c>
      <c r="BR93" s="74">
        <v>8.7715134099999995E-2</v>
      </c>
      <c r="BS93" s="74">
        <v>8.6902077499999994E-2</v>
      </c>
      <c r="BT93" s="74">
        <v>8.6095926000000003E-2</v>
      </c>
      <c r="BU93" s="74">
        <v>8.5296643500000005E-2</v>
      </c>
      <c r="BV93" s="74">
        <v>8.45041931E-2</v>
      </c>
      <c r="BW93" s="74">
        <v>8.3718536800000007E-2</v>
      </c>
      <c r="BX93" s="74">
        <v>8.2939635799999994E-2</v>
      </c>
      <c r="BY93" s="74">
        <v>8.2167450599999997E-2</v>
      </c>
      <c r="BZ93" s="74">
        <v>8.1401940899999997E-2</v>
      </c>
      <c r="CA93" s="74">
        <v>8.0643066099999994E-2</v>
      </c>
      <c r="CB93" s="74">
        <v>7.9890784699999995E-2</v>
      </c>
      <c r="CC93" s="74">
        <v>7.9145054800000003E-2</v>
      </c>
      <c r="CD93" s="74">
        <v>7.8405834100000002E-2</v>
      </c>
      <c r="CE93" s="74">
        <v>7.7673079800000003E-2</v>
      </c>
      <c r="CF93" s="74">
        <v>7.6946748699999998E-2</v>
      </c>
      <c r="CG93" s="74">
        <v>7.6226797400000004E-2</v>
      </c>
      <c r="CH93" s="74">
        <v>7.5513182200000001E-2</v>
      </c>
      <c r="CI93" s="74">
        <v>7.4805859099999997E-2</v>
      </c>
      <c r="CJ93" s="74">
        <v>7.4104783899999999E-2</v>
      </c>
      <c r="CK93" s="74">
        <v>7.3409912100000002E-2</v>
      </c>
      <c r="CL93" s="74">
        <v>7.2721199299999997E-2</v>
      </c>
      <c r="CM93" s="74">
        <v>7.2038600899999999E-2</v>
      </c>
      <c r="CN93" s="74">
        <v>7.1362071999999999E-2</v>
      </c>
      <c r="CO93" s="74">
        <v>7.0691567900000002E-2</v>
      </c>
      <c r="CP93" s="74">
        <v>7.0027043799999994E-2</v>
      </c>
      <c r="CQ93" s="74">
        <v>6.9368454699999998E-2</v>
      </c>
      <c r="CR93" s="74">
        <v>6.8715755899999995E-2</v>
      </c>
      <c r="CS93" s="74">
        <v>6.8068902400000006E-2</v>
      </c>
      <c r="CT93" s="74">
        <v>6.7427849499999998E-2</v>
      </c>
      <c r="CU93" s="74">
        <v>6.6792552399999996E-2</v>
      </c>
      <c r="CV93" s="74">
        <v>6.6162966500000003E-2</v>
      </c>
      <c r="CW93" s="74">
        <v>6.5539047099999997E-2</v>
      </c>
      <c r="CX93" s="74">
        <v>6.4920749799999997E-2</v>
      </c>
      <c r="CY93" s="74">
        <v>6.4308030299999999E-2</v>
      </c>
      <c r="CZ93" s="74">
        <v>6.3700844100000001E-2</v>
      </c>
      <c r="DA93" s="74">
        <v>6.30991474E-2</v>
      </c>
      <c r="DB93" s="74">
        <v>6.2502896000000002E-2</v>
      </c>
      <c r="DC93" s="74">
        <v>6.1912046300000002E-2</v>
      </c>
      <c r="DD93" s="74">
        <v>6.1326554499999998E-2</v>
      </c>
      <c r="DE93" s="74">
        <v>6.0746377300000001E-2</v>
      </c>
      <c r="DF93" s="74">
        <v>6.0171471400000003E-2</v>
      </c>
      <c r="DG93" s="74">
        <v>5.9601793700000003E-2</v>
      </c>
      <c r="DH93" s="74">
        <v>5.9037301299999997E-2</v>
      </c>
      <c r="DI93" s="74">
        <v>5.8477951600000001E-2</v>
      </c>
      <c r="DJ93" s="74">
        <v>5.7923702100000002E-2</v>
      </c>
      <c r="DK93" s="74">
        <v>5.7374510500000003E-2</v>
      </c>
      <c r="DL93" s="74">
        <v>5.6830335000000003E-2</v>
      </c>
      <c r="DM93" s="74">
        <v>5.6291133600000001E-2</v>
      </c>
      <c r="DN93" s="74">
        <v>5.5756864900000001E-2</v>
      </c>
      <c r="DO93" s="74">
        <v>5.5227487399999997E-2</v>
      </c>
      <c r="DP93" s="74">
        <v>5.4702960199999998E-2</v>
      </c>
      <c r="DQ93" s="74">
        <v>5.4183242399999998E-2</v>
      </c>
      <c r="DR93" s="74">
        <v>5.3668293399999997E-2</v>
      </c>
      <c r="DS93" s="74">
        <v>5.3158072799999997E-2</v>
      </c>
      <c r="DT93" s="74">
        <v>5.2652540599999999E-2</v>
      </c>
      <c r="DU93" s="74">
        <v>5.2151656900000003E-2</v>
      </c>
      <c r="DV93" s="74">
        <v>5.1655382100000001E-2</v>
      </c>
      <c r="DW93" s="74">
        <v>5.1163676900000003E-2</v>
      </c>
      <c r="DX93" s="74">
        <v>5.0676502200000001E-2</v>
      </c>
      <c r="DY93" s="74">
        <v>5.0193819200000003E-2</v>
      </c>
      <c r="DZ93" s="74">
        <v>4.9715589300000002E-2</v>
      </c>
      <c r="EA93" s="74">
        <v>4.9241774199999998E-2</v>
      </c>
      <c r="EB93" s="74">
        <v>4.8772335999999999E-2</v>
      </c>
      <c r="EC93" s="74">
        <v>4.83072368E-2</v>
      </c>
      <c r="ED93" s="74">
        <v>4.7846439099999999E-2</v>
      </c>
      <c r="EE93" s="74">
        <v>4.7389905699999998E-2</v>
      </c>
      <c r="EF93" s="74">
        <v>4.6937599500000003E-2</v>
      </c>
      <c r="EG93" s="74">
        <v>4.6489483999999998E-2</v>
      </c>
      <c r="EH93" s="74">
        <v>4.6045522499999998E-2</v>
      </c>
      <c r="EI93" s="74">
        <v>4.5605679000000003E-2</v>
      </c>
      <c r="EJ93" s="74">
        <v>4.5169917499999997E-2</v>
      </c>
      <c r="EK93" s="74">
        <v>4.4738202300000002E-2</v>
      </c>
      <c r="EL93" s="74">
        <v>4.4310498099999998E-2</v>
      </c>
      <c r="EM93" s="74">
        <v>4.38867696E-2</v>
      </c>
      <c r="EN93" s="74">
        <v>4.3466982100000003E-2</v>
      </c>
      <c r="EO93" s="74">
        <v>4.3051100799999999E-2</v>
      </c>
      <c r="EP93" s="74">
        <v>4.2639091499999997E-2</v>
      </c>
      <c r="EQ93" s="74">
        <v>4.22309201E-2</v>
      </c>
      <c r="ER93" s="74">
        <v>4.1826552699999998E-2</v>
      </c>
      <c r="ES93" s="74">
        <v>4.1425955700000003E-2</v>
      </c>
      <c r="ET93" s="74">
        <v>4.1029095799999998E-2</v>
      </c>
      <c r="EU93" s="74">
        <v>4.0635940000000002E-2</v>
      </c>
      <c r="EV93" s="74">
        <v>4.02464555E-2</v>
      </c>
      <c r="EW93" s="74">
        <v>3.9860609599999999E-2</v>
      </c>
      <c r="EX93" s="74">
        <v>3.9478370200000001E-2</v>
      </c>
      <c r="EY93" s="74">
        <v>3.9099705200000001E-2</v>
      </c>
      <c r="EZ93" s="74">
        <v>3.8724582700000003E-2</v>
      </c>
      <c r="FA93" s="74">
        <v>3.8352971299999997E-2</v>
      </c>
      <c r="FB93" s="74">
        <v>3.79848396E-2</v>
      </c>
      <c r="FC93" s="74">
        <v>3.7620156600000003E-2</v>
      </c>
      <c r="FD93" s="74">
        <v>3.7258891500000002E-2</v>
      </c>
      <c r="FE93" s="74">
        <v>3.69010138E-2</v>
      </c>
      <c r="FF93" s="74">
        <v>3.6546493100000001E-2</v>
      </c>
      <c r="FG93" s="74">
        <v>3.6195299399999999E-2</v>
      </c>
      <c r="FH93" s="74">
        <v>3.5847402899999999E-2</v>
      </c>
      <c r="FI93" s="74">
        <v>3.5502774000000001E-2</v>
      </c>
      <c r="FJ93" s="74">
        <v>3.5161383300000001E-2</v>
      </c>
      <c r="FK93" s="74">
        <v>3.4823201800000002E-2</v>
      </c>
      <c r="FL93" s="74">
        <v>3.4488200500000003E-2</v>
      </c>
      <c r="FM93" s="74">
        <v>3.4156351000000001E-2</v>
      </c>
      <c r="FN93" s="74">
        <v>3.3827624600000002E-2</v>
      </c>
      <c r="FO93" s="74">
        <v>3.3501993399999999E-2</v>
      </c>
      <c r="FP93" s="74">
        <v>3.3179429400000002E-2</v>
      </c>
      <c r="FQ93" s="74">
        <v>3.2859904799999999E-2</v>
      </c>
    </row>
    <row r="94" spans="1:173" x14ac:dyDescent="0.25">
      <c r="A94" s="76">
        <v>92</v>
      </c>
      <c r="B94" s="74">
        <v>0.1767509404</v>
      </c>
      <c r="C94" s="74">
        <v>0.17568907689999999</v>
      </c>
      <c r="D94" s="74">
        <v>0.1746143352</v>
      </c>
      <c r="E94" s="74">
        <v>0.17352796470000001</v>
      </c>
      <c r="F94" s="74">
        <v>0.1724311452</v>
      </c>
      <c r="G94" s="74">
        <v>0.17132499079999999</v>
      </c>
      <c r="H94" s="74">
        <v>0.1702105528</v>
      </c>
      <c r="I94" s="74">
        <v>0.16908882310000001</v>
      </c>
      <c r="J94" s="74">
        <v>0.16796073680000001</v>
      </c>
      <c r="K94" s="74">
        <v>0.16682717520000001</v>
      </c>
      <c r="L94" s="74">
        <v>0.16568896859999999</v>
      </c>
      <c r="M94" s="74">
        <v>0.16454689889999999</v>
      </c>
      <c r="N94" s="74">
        <v>0.16340170179999999</v>
      </c>
      <c r="O94" s="74">
        <v>0.16225406949999999</v>
      </c>
      <c r="P94" s="74">
        <v>0.16110465290000001</v>
      </c>
      <c r="Q94" s="74">
        <v>0.15995406379999999</v>
      </c>
      <c r="R94" s="74">
        <v>0.15880287670000001</v>
      </c>
      <c r="S94" s="74">
        <v>0.15765163109999999</v>
      </c>
      <c r="T94" s="74">
        <v>0.15650083340000001</v>
      </c>
      <c r="U94" s="74">
        <v>0.15535095809999999</v>
      </c>
      <c r="V94" s="74">
        <v>0.1542024505</v>
      </c>
      <c r="W94" s="74">
        <v>0.1530557273</v>
      </c>
      <c r="X94" s="74">
        <v>0.15191117870000001</v>
      </c>
      <c r="Y94" s="74">
        <v>0.1507691699</v>
      </c>
      <c r="Z94" s="74">
        <v>0.1496300421</v>
      </c>
      <c r="AA94" s="74">
        <v>0.1484941142</v>
      </c>
      <c r="AB94" s="74">
        <v>0.1473616837</v>
      </c>
      <c r="AC94" s="74">
        <v>0.1462330282</v>
      </c>
      <c r="AD94" s="74">
        <v>0.14510840629999999</v>
      </c>
      <c r="AE94" s="74">
        <v>0.14398805880000001</v>
      </c>
      <c r="AF94" s="74">
        <v>0.1428722097</v>
      </c>
      <c r="AG94" s="74">
        <v>0.1417610668</v>
      </c>
      <c r="AH94" s="74">
        <v>0.14065482309999999</v>
      </c>
      <c r="AI94" s="74">
        <v>0.13955365750000001</v>
      </c>
      <c r="AJ94" s="74">
        <v>0.13845773550000001</v>
      </c>
      <c r="AK94" s="74">
        <v>0.13736720990000001</v>
      </c>
      <c r="AL94" s="74">
        <v>0.13628222179999999</v>
      </c>
      <c r="AM94" s="74">
        <v>0.13520290099999999</v>
      </c>
      <c r="AN94" s="74">
        <v>0.1341293667</v>
      </c>
      <c r="AO94" s="74">
        <v>0.1330617284</v>
      </c>
      <c r="AP94" s="74">
        <v>0.1320000861</v>
      </c>
      <c r="AQ94" s="74">
        <v>0.13094453089999999</v>
      </c>
      <c r="AR94" s="74">
        <v>0.1298951458</v>
      </c>
      <c r="AS94" s="74">
        <v>0.12885200599999999</v>
      </c>
      <c r="AT94" s="74">
        <v>0.12781517910000001</v>
      </c>
      <c r="AU94" s="74">
        <v>0.12678472599999999</v>
      </c>
      <c r="AV94" s="74">
        <v>0.12576070110000001</v>
      </c>
      <c r="AW94" s="74">
        <v>0.1247431526</v>
      </c>
      <c r="AX94" s="74">
        <v>0.12373212309999999</v>
      </c>
      <c r="AY94" s="74">
        <v>0.12272764949999999</v>
      </c>
      <c r="AZ94" s="74">
        <v>0.1217297639</v>
      </c>
      <c r="BA94" s="74">
        <v>0.1207384935</v>
      </c>
      <c r="BB94" s="74">
        <v>0.119753861</v>
      </c>
      <c r="BC94" s="74">
        <v>0.11877588510000001</v>
      </c>
      <c r="BD94" s="74">
        <v>0.1178045801</v>
      </c>
      <c r="BE94" s="74">
        <v>0.1168399572</v>
      </c>
      <c r="BF94" s="74">
        <v>0.1158820235</v>
      </c>
      <c r="BG94" s="74">
        <v>0.11493078330000001</v>
      </c>
      <c r="BH94" s="74">
        <v>0.1139862376</v>
      </c>
      <c r="BI94" s="74">
        <v>0.1130483846</v>
      </c>
      <c r="BJ94" s="74">
        <v>0.1121172198</v>
      </c>
      <c r="BK94" s="74">
        <v>0.1111927362</v>
      </c>
      <c r="BL94" s="74">
        <v>0.1102749245</v>
      </c>
      <c r="BM94" s="74">
        <v>0.109363773</v>
      </c>
      <c r="BN94" s="74">
        <v>0.1084592682</v>
      </c>
      <c r="BO94" s="74">
        <v>0.1075613946</v>
      </c>
      <c r="BP94" s="74">
        <v>0.1066701347</v>
      </c>
      <c r="BQ94" s="74">
        <v>0.1057854696</v>
      </c>
      <c r="BR94" s="74">
        <v>0.1049073787</v>
      </c>
      <c r="BS94" s="74">
        <v>0.1040358399</v>
      </c>
      <c r="BT94" s="74">
        <v>0.1031708299</v>
      </c>
      <c r="BU94" s="74">
        <v>0.1023123239</v>
      </c>
      <c r="BV94" s="74">
        <v>0.10146029619999999</v>
      </c>
      <c r="BW94" s="74">
        <v>0.1006147199</v>
      </c>
      <c r="BX94" s="74">
        <v>9.9775566900000001E-2</v>
      </c>
      <c r="BY94" s="74">
        <v>9.8942808500000007E-2</v>
      </c>
      <c r="BZ94" s="74">
        <v>9.8116414900000004E-2</v>
      </c>
      <c r="CA94" s="74">
        <v>9.7296355500000001E-2</v>
      </c>
      <c r="CB94" s="74">
        <v>9.6482599099999997E-2</v>
      </c>
      <c r="CC94" s="74">
        <v>9.5675113699999995E-2</v>
      </c>
      <c r="CD94" s="74">
        <v>9.4873866799999998E-2</v>
      </c>
      <c r="CE94" s="74">
        <v>9.4078825099999999E-2</v>
      </c>
      <c r="CF94" s="74">
        <v>9.3289955100000002E-2</v>
      </c>
      <c r="CG94" s="74">
        <v>9.2507222400000005E-2</v>
      </c>
      <c r="CH94" s="74">
        <v>9.1730592599999994E-2</v>
      </c>
      <c r="CI94" s="74">
        <v>9.09600307E-2</v>
      </c>
      <c r="CJ94" s="74">
        <v>9.0195501299999994E-2</v>
      </c>
      <c r="CK94" s="74">
        <v>8.9436968699999994E-2</v>
      </c>
      <c r="CL94" s="74">
        <v>8.8684396900000004E-2</v>
      </c>
      <c r="CM94" s="74">
        <v>8.7937749800000006E-2</v>
      </c>
      <c r="CN94" s="74">
        <v>8.7196991000000001E-2</v>
      </c>
      <c r="CO94" s="74">
        <v>8.6462083699999998E-2</v>
      </c>
      <c r="CP94" s="74">
        <v>8.5732991199999997E-2</v>
      </c>
      <c r="CQ94" s="74">
        <v>8.5009676500000006E-2</v>
      </c>
      <c r="CR94" s="74">
        <v>8.4292102499999993E-2</v>
      </c>
      <c r="CS94" s="74">
        <v>8.3580232099999999E-2</v>
      </c>
      <c r="CT94" s="74">
        <v>8.2874028000000002E-2</v>
      </c>
      <c r="CU94" s="74">
        <v>8.2173452800000005E-2</v>
      </c>
      <c r="CV94" s="74">
        <v>8.14784692E-2</v>
      </c>
      <c r="CW94" s="74">
        <v>8.0789039800000004E-2</v>
      </c>
      <c r="CX94" s="74">
        <v>8.0105127200000001E-2</v>
      </c>
      <c r="CY94" s="74">
        <v>7.9426694000000006E-2</v>
      </c>
      <c r="CZ94" s="74">
        <v>7.8753702800000006E-2</v>
      </c>
      <c r="DA94" s="74">
        <v>7.8086116299999994E-2</v>
      </c>
      <c r="DB94" s="74">
        <v>7.74238971E-2</v>
      </c>
      <c r="DC94" s="74">
        <v>7.6767007900000003E-2</v>
      </c>
      <c r="DD94" s="74">
        <v>7.6115411699999996E-2</v>
      </c>
      <c r="DE94" s="74">
        <v>7.5469071200000001E-2</v>
      </c>
      <c r="DF94" s="74">
        <v>7.4827949500000004E-2</v>
      </c>
      <c r="DG94" s="74">
        <v>7.4192009700000006E-2</v>
      </c>
      <c r="DH94" s="74">
        <v>7.3561214799999997E-2</v>
      </c>
      <c r="DI94" s="74">
        <v>7.2935528200000002E-2</v>
      </c>
      <c r="DJ94" s="74">
        <v>7.2314913199999997E-2</v>
      </c>
      <c r="DK94" s="74">
        <v>7.1699333500000004E-2</v>
      </c>
      <c r="DL94" s="74">
        <v>7.1088752599999999E-2</v>
      </c>
      <c r="DM94" s="74">
        <v>7.04831343E-2</v>
      </c>
      <c r="DN94" s="74">
        <v>6.9882442500000003E-2</v>
      </c>
      <c r="DO94" s="74">
        <v>6.9286641400000001E-2</v>
      </c>
      <c r="DP94" s="74">
        <v>6.8695695200000004E-2</v>
      </c>
      <c r="DQ94" s="74">
        <v>6.8109568199999998E-2</v>
      </c>
      <c r="DR94" s="74">
        <v>6.7528224900000003E-2</v>
      </c>
      <c r="DS94" s="74">
        <v>6.6951630200000001E-2</v>
      </c>
      <c r="DT94" s="74">
        <v>6.6379748799999999E-2</v>
      </c>
      <c r="DU94" s="74">
        <v>6.5812545900000005E-2</v>
      </c>
      <c r="DV94" s="74">
        <v>6.5249986499999996E-2</v>
      </c>
      <c r="DW94" s="74">
        <v>6.4692036199999997E-2</v>
      </c>
      <c r="DX94" s="74">
        <v>6.41386605E-2</v>
      </c>
      <c r="DY94" s="74">
        <v>6.3589825000000003E-2</v>
      </c>
      <c r="DZ94" s="74">
        <v>6.3045495899999998E-2</v>
      </c>
      <c r="EA94" s="74">
        <v>6.2505639200000004E-2</v>
      </c>
      <c r="EB94" s="74">
        <v>6.19702211E-2</v>
      </c>
      <c r="EC94" s="74">
        <v>6.1439208199999998E-2</v>
      </c>
      <c r="ED94" s="74">
        <v>6.0912567200000003E-2</v>
      </c>
      <c r="EE94" s="74">
        <v>6.0390264899999997E-2</v>
      </c>
      <c r="EF94" s="74">
        <v>5.9872268399999998E-2</v>
      </c>
      <c r="EG94" s="74">
        <v>5.9358544999999999E-2</v>
      </c>
      <c r="EH94" s="74">
        <v>5.8849062100000002E-2</v>
      </c>
      <c r="EI94" s="74">
        <v>5.8343787299999998E-2</v>
      </c>
      <c r="EJ94" s="74">
        <v>5.7842688500000003E-2</v>
      </c>
      <c r="EK94" s="74">
        <v>5.7345733699999998E-2</v>
      </c>
      <c r="EL94" s="74">
        <v>5.6852891199999998E-2</v>
      </c>
      <c r="EM94" s="74">
        <v>5.6364129300000003E-2</v>
      </c>
      <c r="EN94" s="74">
        <v>5.5879416699999997E-2</v>
      </c>
      <c r="EO94" s="74">
        <v>5.53987222E-2</v>
      </c>
      <c r="EP94" s="74">
        <v>5.4922014800000002E-2</v>
      </c>
      <c r="EQ94" s="74">
        <v>5.4449263800000001E-2</v>
      </c>
      <c r="ER94" s="74">
        <v>5.3980438499999998E-2</v>
      </c>
      <c r="ES94" s="74">
        <v>5.3515508500000003E-2</v>
      </c>
      <c r="ET94" s="74">
        <v>5.3054443700000002E-2</v>
      </c>
      <c r="EU94" s="74">
        <v>5.2597213900000002E-2</v>
      </c>
      <c r="EV94" s="74">
        <v>5.2143789599999997E-2</v>
      </c>
      <c r="EW94" s="74">
        <v>5.1694140899999998E-2</v>
      </c>
      <c r="EX94" s="74">
        <v>5.1248238500000001E-2</v>
      </c>
      <c r="EY94" s="74">
        <v>5.08060532E-2</v>
      </c>
      <c r="EZ94" s="74">
        <v>5.0367555899999999E-2</v>
      </c>
      <c r="FA94" s="74">
        <v>4.9932717799999998E-2</v>
      </c>
      <c r="FB94" s="74">
        <v>4.9501510300000003E-2</v>
      </c>
      <c r="FC94" s="74">
        <v>4.90739049E-2</v>
      </c>
      <c r="FD94" s="74">
        <v>4.8649873400000002E-2</v>
      </c>
      <c r="FE94" s="74">
        <v>4.82293876E-2</v>
      </c>
      <c r="FF94" s="74">
        <v>4.7812419799999999E-2</v>
      </c>
      <c r="FG94" s="74">
        <v>4.7398942299999997E-2</v>
      </c>
      <c r="FH94" s="74">
        <v>4.6988927399999998E-2</v>
      </c>
      <c r="FI94" s="74">
        <v>4.6582348000000003E-2</v>
      </c>
      <c r="FJ94" s="74">
        <v>4.6179177000000002E-2</v>
      </c>
      <c r="FK94" s="74">
        <v>4.5779387300000002E-2</v>
      </c>
      <c r="FL94" s="74">
        <v>4.5382952300000001E-2</v>
      </c>
      <c r="FM94" s="74">
        <v>4.4989845399999999E-2</v>
      </c>
      <c r="FN94" s="74">
        <v>4.4600040299999998E-2</v>
      </c>
      <c r="FO94" s="74">
        <v>4.4213510599999999E-2</v>
      </c>
      <c r="FP94" s="74">
        <v>4.3830230599999999E-2</v>
      </c>
      <c r="FQ94" s="74">
        <v>4.3450174299999998E-2</v>
      </c>
    </row>
    <row r="95" spans="1:173" x14ac:dyDescent="0.25">
      <c r="A95" s="76">
        <v>93</v>
      </c>
      <c r="B95" s="74">
        <v>0.197506971</v>
      </c>
      <c r="C95" s="74">
        <v>0.19647883199999999</v>
      </c>
      <c r="D95" s="74">
        <v>0.19543567100000001</v>
      </c>
      <c r="E95" s="74">
        <v>0.19437878589999999</v>
      </c>
      <c r="F95" s="74">
        <v>0.19330940399999999</v>
      </c>
      <c r="G95" s="74">
        <v>0.19222868530000001</v>
      </c>
      <c r="H95" s="74">
        <v>0.1911377256</v>
      </c>
      <c r="I95" s="74">
        <v>0.19003755990000001</v>
      </c>
      <c r="J95" s="74">
        <v>0.18892916539999999</v>
      </c>
      <c r="K95" s="74">
        <v>0.18781346400000001</v>
      </c>
      <c r="L95" s="74">
        <v>0.18669132560000001</v>
      </c>
      <c r="M95" s="74">
        <v>0.18556357039999999</v>
      </c>
      <c r="N95" s="74">
        <v>0.18443097159999999</v>
      </c>
      <c r="O95" s="74">
        <v>0.1832942578</v>
      </c>
      <c r="P95" s="74">
        <v>0.18215411510000001</v>
      </c>
      <c r="Q95" s="74">
        <v>0.18101118990000001</v>
      </c>
      <c r="R95" s="74">
        <v>0.1798660902</v>
      </c>
      <c r="S95" s="74">
        <v>0.17871938809999999</v>
      </c>
      <c r="T95" s="74">
        <v>0.17757162160000001</v>
      </c>
      <c r="U95" s="74">
        <v>0.17642329649999999</v>
      </c>
      <c r="V95" s="74">
        <v>0.1752748881</v>
      </c>
      <c r="W95" s="74">
        <v>0.17412684249999999</v>
      </c>
      <c r="X95" s="74">
        <v>0.17297957859999999</v>
      </c>
      <c r="Y95" s="74">
        <v>0.1718334896</v>
      </c>
      <c r="Z95" s="74">
        <v>0.17068894400000001</v>
      </c>
      <c r="AA95" s="74">
        <v>0.16954628720000001</v>
      </c>
      <c r="AB95" s="74">
        <v>0.1684058427</v>
      </c>
      <c r="AC95" s="74">
        <v>0.1672679135</v>
      </c>
      <c r="AD95" s="74">
        <v>0.1661327829</v>
      </c>
      <c r="AE95" s="74">
        <v>0.16500071590000001</v>
      </c>
      <c r="AF95" s="74">
        <v>0.16387195979999999</v>
      </c>
      <c r="AG95" s="74">
        <v>0.16274674580000001</v>
      </c>
      <c r="AH95" s="74">
        <v>0.1616252893</v>
      </c>
      <c r="AI95" s="74">
        <v>0.1605077912</v>
      </c>
      <c r="AJ95" s="74">
        <v>0.1593944384</v>
      </c>
      <c r="AK95" s="74">
        <v>0.15828540469999999</v>
      </c>
      <c r="AL95" s="74">
        <v>0.1571808519</v>
      </c>
      <c r="AM95" s="74">
        <v>0.15608092970000001</v>
      </c>
      <c r="AN95" s="74">
        <v>0.15498577720000001</v>
      </c>
      <c r="AO95" s="74">
        <v>0.1538955229</v>
      </c>
      <c r="AP95" s="74">
        <v>0.1528102858</v>
      </c>
      <c r="AQ95" s="74">
        <v>0.1517301754</v>
      </c>
      <c r="AR95" s="74">
        <v>0.1506552927</v>
      </c>
      <c r="AS95" s="74">
        <v>0.14958573050000001</v>
      </c>
      <c r="AT95" s="74">
        <v>0.14852157399999999</v>
      </c>
      <c r="AU95" s="74">
        <v>0.14746290079999999</v>
      </c>
      <c r="AV95" s="74">
        <v>0.1464097821</v>
      </c>
      <c r="AW95" s="74">
        <v>0.14536228230000001</v>
      </c>
      <c r="AX95" s="74">
        <v>0.1443204599</v>
      </c>
      <c r="AY95" s="74">
        <v>0.14328436780000001</v>
      </c>
      <c r="AZ95" s="74">
        <v>0.14225405320000001</v>
      </c>
      <c r="BA95" s="74">
        <v>0.1412295586</v>
      </c>
      <c r="BB95" s="74">
        <v>0.14021092139999999</v>
      </c>
      <c r="BC95" s="74">
        <v>0.13919817479999999</v>
      </c>
      <c r="BD95" s="74">
        <v>0.13819134769999999</v>
      </c>
      <c r="BE95" s="74">
        <v>0.1371904649</v>
      </c>
      <c r="BF95" s="74">
        <v>0.13619554759999999</v>
      </c>
      <c r="BG95" s="74">
        <v>0.1352066136</v>
      </c>
      <c r="BH95" s="74">
        <v>0.13422367709999999</v>
      </c>
      <c r="BI95" s="74">
        <v>0.13324674950000001</v>
      </c>
      <c r="BJ95" s="74">
        <v>0.13227583919999999</v>
      </c>
      <c r="BK95" s="74">
        <v>0.1313109519</v>
      </c>
      <c r="BL95" s="74">
        <v>0.1303520906</v>
      </c>
      <c r="BM95" s="74">
        <v>0.1293992561</v>
      </c>
      <c r="BN95" s="74">
        <v>0.1284524467</v>
      </c>
      <c r="BO95" s="74">
        <v>0.127511659</v>
      </c>
      <c r="BP95" s="74">
        <v>0.12657688710000001</v>
      </c>
      <c r="BQ95" s="74">
        <v>0.1256481237</v>
      </c>
      <c r="BR95" s="74">
        <v>0.12472535949999999</v>
      </c>
      <c r="BS95" s="74">
        <v>0.12380858359999999</v>
      </c>
      <c r="BT95" s="74">
        <v>0.1228977836</v>
      </c>
      <c r="BU95" s="74">
        <v>0.1219929458</v>
      </c>
      <c r="BV95" s="74">
        <v>0.1210940551</v>
      </c>
      <c r="BW95" s="74">
        <v>0.12020109499999999</v>
      </c>
      <c r="BX95" s="74">
        <v>0.11931404800000001</v>
      </c>
      <c r="BY95" s="74">
        <v>0.1184328955</v>
      </c>
      <c r="BZ95" s="74">
        <v>0.117557618</v>
      </c>
      <c r="CA95" s="74">
        <v>0.11668819480000001</v>
      </c>
      <c r="CB95" s="74">
        <v>0.11582460460000001</v>
      </c>
      <c r="CC95" s="74">
        <v>0.11496682499999999</v>
      </c>
      <c r="CD95" s="74">
        <v>0.1141148332</v>
      </c>
      <c r="CE95" s="74">
        <v>0.11326860530000001</v>
      </c>
      <c r="CF95" s="74">
        <v>0.1124281171</v>
      </c>
      <c r="CG95" s="74">
        <v>0.1115933437</v>
      </c>
      <c r="CH95" s="74">
        <v>0.1107642595</v>
      </c>
      <c r="CI95" s="74">
        <v>0.10994083859999999</v>
      </c>
      <c r="CJ95" s="74">
        <v>0.1091230545</v>
      </c>
      <c r="CK95" s="74">
        <v>0.1083108803</v>
      </c>
      <c r="CL95" s="74">
        <v>0.1075042886</v>
      </c>
      <c r="CM95" s="74">
        <v>0.1067032519</v>
      </c>
      <c r="CN95" s="74">
        <v>0.1059077422</v>
      </c>
      <c r="CO95" s="74">
        <v>0.1051177311</v>
      </c>
      <c r="CP95" s="74">
        <v>0.10433319019999999</v>
      </c>
      <c r="CQ95" s="74">
        <v>0.1035540905</v>
      </c>
      <c r="CR95" s="74">
        <v>0.1027804032</v>
      </c>
      <c r="CS95" s="74">
        <v>0.1020120989</v>
      </c>
      <c r="CT95" s="74">
        <v>0.10124914829999999</v>
      </c>
      <c r="CU95" s="74">
        <v>0.1004915217</v>
      </c>
      <c r="CV95" s="74">
        <v>9.9739189699999994E-2</v>
      </c>
      <c r="CW95" s="74">
        <v>9.8992122200000005E-2</v>
      </c>
      <c r="CX95" s="74">
        <v>9.8250289500000004E-2</v>
      </c>
      <c r="CY95" s="74">
        <v>9.7513661500000001E-2</v>
      </c>
      <c r="CZ95" s="74">
        <v>9.6782208300000006E-2</v>
      </c>
      <c r="DA95" s="74">
        <v>9.6055899599999994E-2</v>
      </c>
      <c r="DB95" s="74">
        <v>9.5334705300000003E-2</v>
      </c>
      <c r="DC95" s="74">
        <v>9.4618595400000005E-2</v>
      </c>
      <c r="DD95" s="74">
        <v>9.3907539499999998E-2</v>
      </c>
      <c r="DE95" s="74">
        <v>9.3201507500000003E-2</v>
      </c>
      <c r="DF95" s="74">
        <v>9.2500469299999999E-2</v>
      </c>
      <c r="DG95" s="74">
        <v>9.1804394499999997E-2</v>
      </c>
      <c r="DH95" s="74">
        <v>9.1113253199999994E-2</v>
      </c>
      <c r="DI95" s="74">
        <v>9.0427015099999994E-2</v>
      </c>
      <c r="DJ95" s="74">
        <v>8.9745650299999993E-2</v>
      </c>
      <c r="DK95" s="74">
        <v>8.90691287E-2</v>
      </c>
      <c r="DL95" s="74">
        <v>8.8397420199999993E-2</v>
      </c>
      <c r="DM95" s="74">
        <v>8.77304951E-2</v>
      </c>
      <c r="DN95" s="74">
        <v>8.7068323500000003E-2</v>
      </c>
      <c r="DO95" s="74">
        <v>8.6410875600000006E-2</v>
      </c>
      <c r="DP95" s="74">
        <v>8.5758121800000003E-2</v>
      </c>
      <c r="DQ95" s="74">
        <v>8.5110032399999994E-2</v>
      </c>
      <c r="DR95" s="74">
        <v>8.4466578E-2</v>
      </c>
      <c r="DS95" s="74">
        <v>8.3827729099999998E-2</v>
      </c>
      <c r="DT95" s="74">
        <v>8.3193456400000004E-2</v>
      </c>
      <c r="DU95" s="74">
        <v>8.2563730799999999E-2</v>
      </c>
      <c r="DV95" s="74">
        <v>8.1938522999999999E-2</v>
      </c>
      <c r="DW95" s="74">
        <v>8.1317804199999996E-2</v>
      </c>
      <c r="DX95" s="74">
        <v>8.0701545499999999E-2</v>
      </c>
      <c r="DY95" s="74">
        <v>8.0089718000000004E-2</v>
      </c>
      <c r="DZ95" s="74">
        <v>7.9482293100000004E-2</v>
      </c>
      <c r="EA95" s="74">
        <v>7.8879242299999999E-2</v>
      </c>
      <c r="EB95" s="74">
        <v>7.82805372E-2</v>
      </c>
      <c r="EC95" s="74">
        <v>7.7686149499999996E-2</v>
      </c>
      <c r="ED95" s="74">
        <v>7.7096050999999999E-2</v>
      </c>
      <c r="EE95" s="74">
        <v>7.6510213699999996E-2</v>
      </c>
      <c r="EF95" s="74">
        <v>7.5928609699999997E-2</v>
      </c>
      <c r="EG95" s="74">
        <v>7.5351211200000004E-2</v>
      </c>
      <c r="EH95" s="74">
        <v>7.4777990599999997E-2</v>
      </c>
      <c r="EI95" s="74">
        <v>7.4208920400000003E-2</v>
      </c>
      <c r="EJ95" s="74">
        <v>7.3643973200000004E-2</v>
      </c>
      <c r="EK95" s="74">
        <v>7.3083121799999998E-2</v>
      </c>
      <c r="EL95" s="74">
        <v>7.2526338999999995E-2</v>
      </c>
      <c r="EM95" s="74">
        <v>7.1973598E-2</v>
      </c>
      <c r="EN95" s="74">
        <v>7.1424871799999998E-2</v>
      </c>
      <c r="EO95" s="74">
        <v>7.0880133799999995E-2</v>
      </c>
      <c r="EP95" s="74">
        <v>7.0339357500000005E-2</v>
      </c>
      <c r="EQ95" s="74">
        <v>6.98025164E-2</v>
      </c>
      <c r="ER95" s="74">
        <v>6.9269584300000006E-2</v>
      </c>
      <c r="ES95" s="74">
        <v>6.8740535000000005E-2</v>
      </c>
      <c r="ET95" s="74">
        <v>6.8215342600000006E-2</v>
      </c>
      <c r="EU95" s="74">
        <v>6.7693981200000003E-2</v>
      </c>
      <c r="EV95" s="74">
        <v>6.7176425100000006E-2</v>
      </c>
      <c r="EW95" s="74">
        <v>6.6662648699999993E-2</v>
      </c>
      <c r="EX95" s="74">
        <v>6.61526266E-2</v>
      </c>
      <c r="EY95" s="74">
        <v>6.5646333500000001E-2</v>
      </c>
      <c r="EZ95" s="74">
        <v>6.5143744399999995E-2</v>
      </c>
      <c r="FA95" s="74">
        <v>6.4644834100000007E-2</v>
      </c>
      <c r="FB95" s="74">
        <v>6.4149577799999996E-2</v>
      </c>
      <c r="FC95" s="74">
        <v>6.3657950800000002E-2</v>
      </c>
      <c r="FD95" s="74">
        <v>6.3169928599999994E-2</v>
      </c>
      <c r="FE95" s="74">
        <v>6.2685486600000007E-2</v>
      </c>
      <c r="FF95" s="74">
        <v>6.22046006E-2</v>
      </c>
      <c r="FG95" s="74">
        <v>6.1727246399999998E-2</v>
      </c>
      <c r="FH95" s="74">
        <v>6.1253400100000001E-2</v>
      </c>
      <c r="FI95" s="74">
        <v>6.0783037599999999E-2</v>
      </c>
      <c r="FJ95" s="74">
        <v>6.0316135299999997E-2</v>
      </c>
      <c r="FK95" s="74">
        <v>5.9852669599999998E-2</v>
      </c>
      <c r="FL95" s="74">
        <v>5.9392617000000002E-2</v>
      </c>
      <c r="FM95" s="74">
        <v>5.8935954200000001E-2</v>
      </c>
      <c r="FN95" s="74">
        <v>5.8482657899999999E-2</v>
      </c>
      <c r="FO95" s="74">
        <v>5.80327052E-2</v>
      </c>
      <c r="FP95" s="74">
        <v>5.7586073100000003E-2</v>
      </c>
      <c r="FQ95" s="74">
        <v>5.7142738899999997E-2</v>
      </c>
    </row>
    <row r="96" spans="1:173" x14ac:dyDescent="0.25">
      <c r="A96" s="76">
        <v>94</v>
      </c>
      <c r="B96" s="74">
        <v>0.21955309980000001</v>
      </c>
      <c r="C96" s="74">
        <v>0.21857868350000001</v>
      </c>
      <c r="D96" s="74">
        <v>0.21758731349999999</v>
      </c>
      <c r="E96" s="74">
        <v>0.2165803245</v>
      </c>
      <c r="F96" s="74">
        <v>0.2155589792</v>
      </c>
      <c r="G96" s="74">
        <v>0.21452447190000001</v>
      </c>
      <c r="H96" s="74">
        <v>0.21347793170000001</v>
      </c>
      <c r="I96" s="74">
        <v>0.212420426</v>
      </c>
      <c r="J96" s="74">
        <v>0.211352963</v>
      </c>
      <c r="K96" s="74">
        <v>0.21027649540000001</v>
      </c>
      <c r="L96" s="74">
        <v>0.20919192240000001</v>
      </c>
      <c r="M96" s="74">
        <v>0.20810009309999999</v>
      </c>
      <c r="N96" s="74">
        <v>0.2070018086</v>
      </c>
      <c r="O96" s="74">
        <v>0.20589782479999999</v>
      </c>
      <c r="P96" s="74">
        <v>0.20478885450000001</v>
      </c>
      <c r="Q96" s="74">
        <v>0.20367556980000001</v>
      </c>
      <c r="R96" s="74">
        <v>0.20255860389999999</v>
      </c>
      <c r="S96" s="74">
        <v>0.20143855359999999</v>
      </c>
      <c r="T96" s="74">
        <v>0.200315981</v>
      </c>
      <c r="U96" s="74">
        <v>0.19919141530000001</v>
      </c>
      <c r="V96" s="74">
        <v>0.19806535459999999</v>
      </c>
      <c r="W96" s="74">
        <v>0.19693826740000001</v>
      </c>
      <c r="X96" s="74">
        <v>0.1958105946</v>
      </c>
      <c r="Y96" s="74">
        <v>0.19468275060000001</v>
      </c>
      <c r="Z96" s="74">
        <v>0.1935551247</v>
      </c>
      <c r="AA96" s="74">
        <v>0.19242808289999999</v>
      </c>
      <c r="AB96" s="74">
        <v>0.19130196860000001</v>
      </c>
      <c r="AC96" s="74">
        <v>0.19017710430000001</v>
      </c>
      <c r="AD96" s="74">
        <v>0.1890537924</v>
      </c>
      <c r="AE96" s="74">
        <v>0.18793231660000001</v>
      </c>
      <c r="AF96" s="74">
        <v>0.1868129425</v>
      </c>
      <c r="AG96" s="74">
        <v>0.18569591930000001</v>
      </c>
      <c r="AH96" s="74">
        <v>0.1845814798</v>
      </c>
      <c r="AI96" s="74">
        <v>0.18346984220000001</v>
      </c>
      <c r="AJ96" s="74">
        <v>0.1823612101</v>
      </c>
      <c r="AK96" s="74">
        <v>0.18125577409999999</v>
      </c>
      <c r="AL96" s="74">
        <v>0.1801537118</v>
      </c>
      <c r="AM96" s="74">
        <v>0.179055189</v>
      </c>
      <c r="AN96" s="74">
        <v>0.17796036030000001</v>
      </c>
      <c r="AO96" s="74">
        <v>0.1768693694</v>
      </c>
      <c r="AP96" s="74">
        <v>0.1757823503</v>
      </c>
      <c r="AQ96" s="74">
        <v>0.17469942720000001</v>
      </c>
      <c r="AR96" s="74">
        <v>0.17362071549999999</v>
      </c>
      <c r="AS96" s="74">
        <v>0.17254632219999999</v>
      </c>
      <c r="AT96" s="74">
        <v>0.17147634619999999</v>
      </c>
      <c r="AU96" s="74">
        <v>0.17041087899999999</v>
      </c>
      <c r="AV96" s="74">
        <v>0.169350005</v>
      </c>
      <c r="AW96" s="74">
        <v>0.16829380190000001</v>
      </c>
      <c r="AX96" s="74">
        <v>0.16724234120000001</v>
      </c>
      <c r="AY96" s="74">
        <v>0.16619568830000001</v>
      </c>
      <c r="AZ96" s="74">
        <v>0.1651539031</v>
      </c>
      <c r="BA96" s="74">
        <v>0.1641170404</v>
      </c>
      <c r="BB96" s="74">
        <v>0.1630851498</v>
      </c>
      <c r="BC96" s="74">
        <v>0.1620582763</v>
      </c>
      <c r="BD96" s="74">
        <v>0.16103646050000001</v>
      </c>
      <c r="BE96" s="74">
        <v>0.16001973890000001</v>
      </c>
      <c r="BF96" s="74">
        <v>0.15900814399999999</v>
      </c>
      <c r="BG96" s="74">
        <v>0.15800170490000001</v>
      </c>
      <c r="BH96" s="74">
        <v>0.1570004468</v>
      </c>
      <c r="BI96" s="74">
        <v>0.1560043921</v>
      </c>
      <c r="BJ96" s="74">
        <v>0.15501355980000001</v>
      </c>
      <c r="BK96" s="74">
        <v>0.1540279662</v>
      </c>
      <c r="BL96" s="74">
        <v>0.1530476248</v>
      </c>
      <c r="BM96" s="74">
        <v>0.15207254680000001</v>
      </c>
      <c r="BN96" s="74">
        <v>0.15110274060000001</v>
      </c>
      <c r="BO96" s="74">
        <v>0.1501382127</v>
      </c>
      <c r="BP96" s="74">
        <v>0.14917896750000001</v>
      </c>
      <c r="BQ96" s="74">
        <v>0.14822500699999999</v>
      </c>
      <c r="BR96" s="74">
        <v>0.1472763319</v>
      </c>
      <c r="BS96" s="74">
        <v>0.14633294090000001</v>
      </c>
      <c r="BT96" s="74">
        <v>0.14539483080000001</v>
      </c>
      <c r="BU96" s="74">
        <v>0.14446199739999999</v>
      </c>
      <c r="BV96" s="74">
        <v>0.14353443469999999</v>
      </c>
      <c r="BW96" s="74">
        <v>0.14261213549999999</v>
      </c>
      <c r="BX96" s="74">
        <v>0.14169509120000001</v>
      </c>
      <c r="BY96" s="74">
        <v>0.14078329219999999</v>
      </c>
      <c r="BZ96" s="74">
        <v>0.1398767276</v>
      </c>
      <c r="CA96" s="74">
        <v>0.13897538570000001</v>
      </c>
      <c r="CB96" s="74">
        <v>0.13807925369999999</v>
      </c>
      <c r="CC96" s="74">
        <v>0.13718831779999999</v>
      </c>
      <c r="CD96" s="74">
        <v>0.1363025635</v>
      </c>
      <c r="CE96" s="74">
        <v>0.13542197559999999</v>
      </c>
      <c r="CF96" s="74">
        <v>0.13454653799999999</v>
      </c>
      <c r="CG96" s="74">
        <v>0.133676234</v>
      </c>
      <c r="CH96" s="74">
        <v>0.1328110462</v>
      </c>
      <c r="CI96" s="74">
        <v>0.13195095679999999</v>
      </c>
      <c r="CJ96" s="74">
        <v>0.1310959471</v>
      </c>
      <c r="CK96" s="74">
        <v>0.1302459983</v>
      </c>
      <c r="CL96" s="74">
        <v>0.12940109080000001</v>
      </c>
      <c r="CM96" s="74">
        <v>0.1285612048</v>
      </c>
      <c r="CN96" s="74">
        <v>0.12772632010000001</v>
      </c>
      <c r="CO96" s="74">
        <v>0.1268964159</v>
      </c>
      <c r="CP96" s="74">
        <v>0.12607147129999999</v>
      </c>
      <c r="CQ96" s="74">
        <v>0.1252514649</v>
      </c>
      <c r="CR96" s="74">
        <v>0.1244363752</v>
      </c>
      <c r="CS96" s="74">
        <v>0.12362618039999999</v>
      </c>
      <c r="CT96" s="74">
        <v>0.1228208583</v>
      </c>
      <c r="CU96" s="74">
        <v>0.1220203866</v>
      </c>
      <c r="CV96" s="74">
        <v>0.1212247429</v>
      </c>
      <c r="CW96" s="74">
        <v>0.12043390449999999</v>
      </c>
      <c r="CX96" s="74">
        <v>0.1196478486</v>
      </c>
      <c r="CY96" s="74">
        <v>0.1188665522</v>
      </c>
      <c r="CZ96" s="74">
        <v>0.11808999219999999</v>
      </c>
      <c r="DA96" s="74">
        <v>0.1173181454</v>
      </c>
      <c r="DB96" s="74">
        <v>0.11655098849999999</v>
      </c>
      <c r="DC96" s="74">
        <v>0.11578849820000001</v>
      </c>
      <c r="DD96" s="74">
        <v>0.115030651</v>
      </c>
      <c r="DE96" s="74">
        <v>0.11427742339999999</v>
      </c>
      <c r="DF96" s="74">
        <v>0.1135287919</v>
      </c>
      <c r="DG96" s="74">
        <v>0.1127847328</v>
      </c>
      <c r="DH96" s="74">
        <v>0.11204522259999999</v>
      </c>
      <c r="DI96" s="74">
        <v>0.1113102376</v>
      </c>
      <c r="DJ96" s="74">
        <v>0.1105797542</v>
      </c>
      <c r="DK96" s="74">
        <v>0.1098537488</v>
      </c>
      <c r="DL96" s="74">
        <v>0.1091321977</v>
      </c>
      <c r="DM96" s="74">
        <v>0.1084150773</v>
      </c>
      <c r="DN96" s="74">
        <v>0.10770236399999999</v>
      </c>
      <c r="DO96" s="74">
        <v>0.1069940343</v>
      </c>
      <c r="DP96" s="74">
        <v>0.1062900645</v>
      </c>
      <c r="DQ96" s="74">
        <v>0.1055904313</v>
      </c>
      <c r="DR96" s="74">
        <v>0.10489511109999999</v>
      </c>
      <c r="DS96" s="74">
        <v>0.1042040805</v>
      </c>
      <c r="DT96" s="74">
        <v>0.1035173162</v>
      </c>
      <c r="DU96" s="74">
        <v>0.1028347949</v>
      </c>
      <c r="DV96" s="74">
        <v>0.1021564933</v>
      </c>
      <c r="DW96" s="74">
        <v>0.1014823883</v>
      </c>
      <c r="DX96" s="74">
        <v>0.1008124566</v>
      </c>
      <c r="DY96" s="74">
        <v>0.1001466754</v>
      </c>
      <c r="DZ96" s="74">
        <v>9.9485021600000001E-2</v>
      </c>
      <c r="EA96" s="74">
        <v>9.8827472200000002E-2</v>
      </c>
      <c r="EB96" s="74">
        <v>9.8174004600000003E-2</v>
      </c>
      <c r="EC96" s="74">
        <v>9.7524595899999997E-2</v>
      </c>
      <c r="ED96" s="74">
        <v>9.68792235E-2</v>
      </c>
      <c r="EE96" s="74">
        <v>9.6237864699999995E-2</v>
      </c>
      <c r="EF96" s="74">
        <v>9.5600497300000004E-2</v>
      </c>
      <c r="EG96" s="74">
        <v>9.4967098599999994E-2</v>
      </c>
      <c r="EH96" s="74">
        <v>9.4337646400000003E-2</v>
      </c>
      <c r="EI96" s="74">
        <v>9.3712118499999997E-2</v>
      </c>
      <c r="EJ96" s="74">
        <v>9.3090492699999999E-2</v>
      </c>
      <c r="EK96" s="74">
        <v>9.2472747100000002E-2</v>
      </c>
      <c r="EL96" s="74">
        <v>9.1858859500000001E-2</v>
      </c>
      <c r="EM96" s="74">
        <v>9.1248808299999998E-2</v>
      </c>
      <c r="EN96" s="74">
        <v>9.0642571599999999E-2</v>
      </c>
      <c r="EO96" s="74">
        <v>9.0040127799999994E-2</v>
      </c>
      <c r="EP96" s="74">
        <v>8.94414553E-2</v>
      </c>
      <c r="EQ96" s="74">
        <v>8.88465326E-2</v>
      </c>
      <c r="ER96" s="74">
        <v>8.8255338399999994E-2</v>
      </c>
      <c r="ES96" s="74">
        <v>8.7667851399999996E-2</v>
      </c>
      <c r="ET96" s="74">
        <v>8.7084050299999993E-2</v>
      </c>
      <c r="EU96" s="74">
        <v>8.6503914299999998E-2</v>
      </c>
      <c r="EV96" s="74">
        <v>8.5927422200000006E-2</v>
      </c>
      <c r="EW96" s="74">
        <v>8.5354553099999994E-2</v>
      </c>
      <c r="EX96" s="74">
        <v>8.4785286400000007E-2</v>
      </c>
      <c r="EY96" s="74">
        <v>8.4219601300000002E-2</v>
      </c>
      <c r="EZ96" s="74">
        <v>8.3657477300000005E-2</v>
      </c>
      <c r="FA96" s="74">
        <v>8.3098893899999998E-2</v>
      </c>
      <c r="FB96" s="74">
        <v>8.2543830600000007E-2</v>
      </c>
      <c r="FC96" s="74">
        <v>8.1992267300000005E-2</v>
      </c>
      <c r="FD96" s="74">
        <v>8.1444183700000006E-2</v>
      </c>
      <c r="FE96" s="74">
        <v>8.0899559800000007E-2</v>
      </c>
      <c r="FF96" s="74">
        <v>8.0358375600000004E-2</v>
      </c>
      <c r="FG96" s="74">
        <v>7.9820611200000002E-2</v>
      </c>
      <c r="FH96" s="74">
        <v>7.9286246800000001E-2</v>
      </c>
      <c r="FI96" s="74">
        <v>7.8755262800000003E-2</v>
      </c>
      <c r="FJ96" s="74">
        <v>7.8227639599999996E-2</v>
      </c>
      <c r="FK96" s="74">
        <v>7.7703357599999995E-2</v>
      </c>
      <c r="FL96" s="74">
        <v>7.7182397599999994E-2</v>
      </c>
      <c r="FM96" s="74">
        <v>7.6664740199999998E-2</v>
      </c>
      <c r="FN96" s="74">
        <v>7.61503662E-2</v>
      </c>
      <c r="FO96" s="74">
        <v>7.5639256599999996E-2</v>
      </c>
      <c r="FP96" s="74">
        <v>7.5131392300000002E-2</v>
      </c>
      <c r="FQ96" s="74">
        <v>7.4626754599999998E-2</v>
      </c>
    </row>
    <row r="97" spans="1:173" x14ac:dyDescent="0.25">
      <c r="A97" s="76">
        <v>95</v>
      </c>
      <c r="B97" s="74">
        <v>0.24271427609999999</v>
      </c>
      <c r="C97" s="74">
        <v>0.24181330209999999</v>
      </c>
      <c r="D97" s="74">
        <v>0.2408937464</v>
      </c>
      <c r="E97" s="74">
        <v>0.23995696829999999</v>
      </c>
      <c r="F97" s="74">
        <v>0.23900425389999999</v>
      </c>
      <c r="G97" s="74">
        <v>0.2380368202</v>
      </c>
      <c r="H97" s="74">
        <v>0.2370558183</v>
      </c>
      <c r="I97" s="74">
        <v>0.23606233679999999</v>
      </c>
      <c r="J97" s="74">
        <v>0.23505740450000001</v>
      </c>
      <c r="K97" s="74">
        <v>0.23404199389999999</v>
      </c>
      <c r="L97" s="74">
        <v>0.2330170238</v>
      </c>
      <c r="M97" s="74">
        <v>0.23198336219999999</v>
      </c>
      <c r="N97" s="74">
        <v>0.2309418285</v>
      </c>
      <c r="O97" s="74">
        <v>0.2298931967</v>
      </c>
      <c r="P97" s="74">
        <v>0.22883819690000001</v>
      </c>
      <c r="Q97" s="74">
        <v>0.22777751830000001</v>
      </c>
      <c r="R97" s="74">
        <v>0.2267118109</v>
      </c>
      <c r="S97" s="74">
        <v>0.22564168779999999</v>
      </c>
      <c r="T97" s="74">
        <v>0.2245677271</v>
      </c>
      <c r="U97" s="74">
        <v>0.22349047350000001</v>
      </c>
      <c r="V97" s="74">
        <v>0.22241044039999999</v>
      </c>
      <c r="W97" s="74">
        <v>0.22132811150000001</v>
      </c>
      <c r="X97" s="74">
        <v>0.22024394210000001</v>
      </c>
      <c r="Y97" s="74">
        <v>0.21915836120000001</v>
      </c>
      <c r="Z97" s="74">
        <v>0.21807177210000001</v>
      </c>
      <c r="AA97" s="74">
        <v>0.21698455459999999</v>
      </c>
      <c r="AB97" s="74">
        <v>0.21589706580000001</v>
      </c>
      <c r="AC97" s="74">
        <v>0.2148096414</v>
      </c>
      <c r="AD97" s="74">
        <v>0.21372259690000001</v>
      </c>
      <c r="AE97" s="74">
        <v>0.21263622870000001</v>
      </c>
      <c r="AF97" s="74">
        <v>0.21155081519999999</v>
      </c>
      <c r="AG97" s="74">
        <v>0.21046661780000001</v>
      </c>
      <c r="AH97" s="74">
        <v>0.20938388150000001</v>
      </c>
      <c r="AI97" s="74">
        <v>0.20830283629999999</v>
      </c>
      <c r="AJ97" s="74">
        <v>0.20722369769999999</v>
      </c>
      <c r="AK97" s="74">
        <v>0.2061466676</v>
      </c>
      <c r="AL97" s="74">
        <v>0.20507193509999999</v>
      </c>
      <c r="AM97" s="74">
        <v>0.20399967699999999</v>
      </c>
      <c r="AN97" s="74">
        <v>0.20293005880000001</v>
      </c>
      <c r="AO97" s="74">
        <v>0.20186323510000001</v>
      </c>
      <c r="AP97" s="74">
        <v>0.2007993502</v>
      </c>
      <c r="AQ97" s="74">
        <v>0.19973853890000001</v>
      </c>
      <c r="AR97" s="74">
        <v>0.19868092679999999</v>
      </c>
      <c r="AS97" s="74">
        <v>0.19762663080000001</v>
      </c>
      <c r="AT97" s="74">
        <v>0.19657575990000001</v>
      </c>
      <c r="AU97" s="74">
        <v>0.1955284152</v>
      </c>
      <c r="AV97" s="74">
        <v>0.1944846908</v>
      </c>
      <c r="AW97" s="74">
        <v>0.19344467379999999</v>
      </c>
      <c r="AX97" s="74">
        <v>0.19240844500000001</v>
      </c>
      <c r="AY97" s="74">
        <v>0.19137607910000001</v>
      </c>
      <c r="AZ97" s="74">
        <v>0.1903476449</v>
      </c>
      <c r="BA97" s="74">
        <v>0.1893232061</v>
      </c>
      <c r="BB97" s="74">
        <v>0.1883028212</v>
      </c>
      <c r="BC97" s="74">
        <v>0.1872865437</v>
      </c>
      <c r="BD97" s="74">
        <v>0.18627442289999999</v>
      </c>
      <c r="BE97" s="74">
        <v>0.1852665037</v>
      </c>
      <c r="BF97" s="74">
        <v>0.18426282699999999</v>
      </c>
      <c r="BG97" s="74">
        <v>0.1832634299</v>
      </c>
      <c r="BH97" s="74">
        <v>0.18226834589999999</v>
      </c>
      <c r="BI97" s="74">
        <v>0.18127760540000001</v>
      </c>
      <c r="BJ97" s="74">
        <v>0.18029123520000001</v>
      </c>
      <c r="BK97" s="74">
        <v>0.17930925959999999</v>
      </c>
      <c r="BL97" s="74">
        <v>0.1783316999</v>
      </c>
      <c r="BM97" s="74">
        <v>0.17735857460000001</v>
      </c>
      <c r="BN97" s="74">
        <v>0.17638989999999999</v>
      </c>
      <c r="BO97" s="74">
        <v>0.17542568989999999</v>
      </c>
      <c r="BP97" s="74">
        <v>0.17446595610000001</v>
      </c>
      <c r="BQ97" s="74">
        <v>0.1735107082</v>
      </c>
      <c r="BR97" s="74">
        <v>0.1725599538</v>
      </c>
      <c r="BS97" s="74">
        <v>0.1716136989</v>
      </c>
      <c r="BT97" s="74">
        <v>0.17067194760000001</v>
      </c>
      <c r="BU97" s="74">
        <v>0.1697347025</v>
      </c>
      <c r="BV97" s="74">
        <v>0.1688019647</v>
      </c>
      <c r="BW97" s="74">
        <v>0.16787373380000001</v>
      </c>
      <c r="BX97" s="74">
        <v>0.16695000830000001</v>
      </c>
      <c r="BY97" s="74">
        <v>0.1660307852</v>
      </c>
      <c r="BZ97" s="74">
        <v>0.16511606039999999</v>
      </c>
      <c r="CA97" s="74">
        <v>0.16420582889999999</v>
      </c>
      <c r="CB97" s="74">
        <v>0.1633000845</v>
      </c>
      <c r="CC97" s="74">
        <v>0.16239882010000001</v>
      </c>
      <c r="CD97" s="74">
        <v>0.16150202759999999</v>
      </c>
      <c r="CE97" s="74">
        <v>0.1606096984</v>
      </c>
      <c r="CF97" s="74">
        <v>0.15972182269999999</v>
      </c>
      <c r="CG97" s="74">
        <v>0.15883839029999999</v>
      </c>
      <c r="CH97" s="74">
        <v>0.15795939019999999</v>
      </c>
      <c r="CI97" s="74">
        <v>0.15708481060000001</v>
      </c>
      <c r="CJ97" s="74">
        <v>0.1562146395</v>
      </c>
      <c r="CK97" s="74">
        <v>0.15534886410000001</v>
      </c>
      <c r="CL97" s="74">
        <v>0.15448747099999999</v>
      </c>
      <c r="CM97" s="74">
        <v>0.1536304466</v>
      </c>
      <c r="CN97" s="74">
        <v>0.15277777670000001</v>
      </c>
      <c r="CO97" s="74">
        <v>0.1519294467</v>
      </c>
      <c r="CP97" s="74">
        <v>0.15108544160000001</v>
      </c>
      <c r="CQ97" s="74">
        <v>0.1502457462</v>
      </c>
      <c r="CR97" s="74">
        <v>0.14941034489999999</v>
      </c>
      <c r="CS97" s="74">
        <v>0.14857922170000001</v>
      </c>
      <c r="CT97" s="74">
        <v>0.14775236050000001</v>
      </c>
      <c r="CU97" s="74">
        <v>0.14692974480000001</v>
      </c>
      <c r="CV97" s="74">
        <v>0.14611135810000001</v>
      </c>
      <c r="CW97" s="74">
        <v>0.1452971834</v>
      </c>
      <c r="CX97" s="74">
        <v>0.14448720370000001</v>
      </c>
      <c r="CY97" s="74">
        <v>0.1436814018</v>
      </c>
      <c r="CZ97" s="74">
        <v>0.14287976050000001</v>
      </c>
      <c r="DA97" s="74">
        <v>0.14208226199999999</v>
      </c>
      <c r="DB97" s="74">
        <v>0.14128888889999999</v>
      </c>
      <c r="DC97" s="74">
        <v>0.1404996235</v>
      </c>
      <c r="DD97" s="74">
        <v>0.1397144478</v>
      </c>
      <c r="DE97" s="74">
        <v>0.13893334409999999</v>
      </c>
      <c r="DF97" s="74">
        <v>0.13815629430000001</v>
      </c>
      <c r="DG97" s="74">
        <v>0.1373832804</v>
      </c>
      <c r="DH97" s="74">
        <v>0.1366142843</v>
      </c>
      <c r="DI97" s="74">
        <v>0.1358492878</v>
      </c>
      <c r="DJ97" s="74">
        <v>0.1350882729</v>
      </c>
      <c r="DK97" s="74">
        <v>0.1343312213</v>
      </c>
      <c r="DL97" s="74">
        <v>0.13357811489999999</v>
      </c>
      <c r="DM97" s="74">
        <v>0.13282893530000001</v>
      </c>
      <c r="DN97" s="74">
        <v>0.1320836645</v>
      </c>
      <c r="DO97" s="74">
        <v>0.13134228410000001</v>
      </c>
      <c r="DP97" s="74">
        <v>0.13060477600000001</v>
      </c>
      <c r="DQ97" s="74">
        <v>0.12987112200000001</v>
      </c>
      <c r="DR97" s="74">
        <v>0.1291413039</v>
      </c>
      <c r="DS97" s="74">
        <v>0.1284153036</v>
      </c>
      <c r="DT97" s="74">
        <v>0.127693103</v>
      </c>
      <c r="DU97" s="74">
        <v>0.126974684</v>
      </c>
      <c r="DV97" s="74">
        <v>0.1262600284</v>
      </c>
      <c r="DW97" s="74">
        <v>0.1255491185</v>
      </c>
      <c r="DX97" s="74">
        <v>0.12484193609999999</v>
      </c>
      <c r="DY97" s="74">
        <v>0.1241384633</v>
      </c>
      <c r="DZ97" s="74">
        <v>0.1234386824</v>
      </c>
      <c r="EA97" s="74">
        <v>0.12274257550000001</v>
      </c>
      <c r="EB97" s="74">
        <v>0.12205012480000001</v>
      </c>
      <c r="EC97" s="74">
        <v>0.1213613127</v>
      </c>
      <c r="ED97" s="74">
        <v>0.1206761215</v>
      </c>
      <c r="EE97" s="74">
        <v>0.11999453359999999</v>
      </c>
      <c r="EF97" s="74">
        <v>0.1193165316</v>
      </c>
      <c r="EG97" s="74">
        <v>0.11864209789999999</v>
      </c>
      <c r="EH97" s="74">
        <v>0.1179712153</v>
      </c>
      <c r="EI97" s="74">
        <v>0.1173038664</v>
      </c>
      <c r="EJ97" s="74">
        <v>0.1166400339</v>
      </c>
      <c r="EK97" s="74">
        <v>0.1159797008</v>
      </c>
      <c r="EL97" s="74">
        <v>0.1153228498</v>
      </c>
      <c r="EM97" s="74">
        <v>0.114669464</v>
      </c>
      <c r="EN97" s="74">
        <v>0.1140195264</v>
      </c>
      <c r="EO97" s="74">
        <v>0.11337302019999999</v>
      </c>
      <c r="EP97" s="74">
        <v>0.11272992850000001</v>
      </c>
      <c r="EQ97" s="74">
        <v>0.1120902346</v>
      </c>
      <c r="ER97" s="74">
        <v>0.1114539219</v>
      </c>
      <c r="ES97" s="74">
        <v>0.11082097370000001</v>
      </c>
      <c r="ET97" s="74">
        <v>0.1101913737</v>
      </c>
      <c r="EU97" s="74">
        <v>0.1095651052</v>
      </c>
      <c r="EV97" s="74">
        <v>0.10894215209999999</v>
      </c>
      <c r="EW97" s="74">
        <v>0.108322498</v>
      </c>
      <c r="EX97" s="74">
        <v>0.1077061268</v>
      </c>
      <c r="EY97" s="74">
        <v>0.10709302229999999</v>
      </c>
      <c r="EZ97" s="74">
        <v>0.10648316839999999</v>
      </c>
      <c r="FA97" s="74">
        <v>0.1058765493</v>
      </c>
      <c r="FB97" s="74">
        <v>0.105273149</v>
      </c>
      <c r="FC97" s="74">
        <v>0.1046729518</v>
      </c>
      <c r="FD97" s="74">
        <v>0.1040759419</v>
      </c>
      <c r="FE97" s="74">
        <v>0.1034821036</v>
      </c>
      <c r="FF97" s="74">
        <v>0.10289142129999999</v>
      </c>
      <c r="FG97" s="74">
        <v>0.1023038797</v>
      </c>
      <c r="FH97" s="74">
        <v>0.1017194632</v>
      </c>
      <c r="FI97" s="74">
        <v>0.10113815650000001</v>
      </c>
      <c r="FJ97" s="74">
        <v>0.1005599443</v>
      </c>
      <c r="FK97" s="74">
        <v>9.9984811399999998E-2</v>
      </c>
      <c r="FL97" s="74">
        <v>9.9412742799999995E-2</v>
      </c>
      <c r="FM97" s="74">
        <v>9.8843723300000005E-2</v>
      </c>
      <c r="FN97" s="74">
        <v>9.8277738000000003E-2</v>
      </c>
      <c r="FO97" s="74">
        <v>9.7714772000000005E-2</v>
      </c>
      <c r="FP97" s="74">
        <v>9.71548104E-2</v>
      </c>
      <c r="FQ97" s="74">
        <v>9.6597838599999999E-2</v>
      </c>
    </row>
    <row r="98" spans="1:173" x14ac:dyDescent="0.25">
      <c r="A98" s="76">
        <v>96</v>
      </c>
      <c r="B98" s="74">
        <v>0.26676680790000001</v>
      </c>
      <c r="C98" s="74">
        <v>0.26595756050000002</v>
      </c>
      <c r="D98" s="74">
        <v>0.26512848119999999</v>
      </c>
      <c r="E98" s="74">
        <v>0.26428094159999999</v>
      </c>
      <c r="F98" s="74">
        <v>0.26341624019999998</v>
      </c>
      <c r="G98" s="74">
        <v>0.26253560529999997</v>
      </c>
      <c r="H98" s="74">
        <v>0.26164019919999998</v>
      </c>
      <c r="I98" s="74">
        <v>0.26073112100000001</v>
      </c>
      <c r="J98" s="74">
        <v>0.2598094098</v>
      </c>
      <c r="K98" s="74">
        <v>0.25887604819999999</v>
      </c>
      <c r="L98" s="74">
        <v>0.2579319645</v>
      </c>
      <c r="M98" s="74">
        <v>0.25697803619999998</v>
      </c>
      <c r="N98" s="74">
        <v>0.256015092</v>
      </c>
      <c r="O98" s="74">
        <v>0.25504391469999999</v>
      </c>
      <c r="P98" s="74">
        <v>0.25406524330000002</v>
      </c>
      <c r="Q98" s="74">
        <v>0.25307977570000001</v>
      </c>
      <c r="R98" s="74">
        <v>0.25208817030000003</v>
      </c>
      <c r="S98" s="74">
        <v>0.25109104869999999</v>
      </c>
      <c r="T98" s="74">
        <v>0.25008899699999998</v>
      </c>
      <c r="U98" s="74">
        <v>0.24908256819999999</v>
      </c>
      <c r="V98" s="74">
        <v>0.2480722836</v>
      </c>
      <c r="W98" s="74">
        <v>0.2470586347</v>
      </c>
      <c r="X98" s="74">
        <v>0.2460420847</v>
      </c>
      <c r="Y98" s="74">
        <v>0.24502307000000001</v>
      </c>
      <c r="Z98" s="74">
        <v>0.2440020017</v>
      </c>
      <c r="AA98" s="74">
        <v>0.242979267</v>
      </c>
      <c r="AB98" s="74">
        <v>0.2419552304</v>
      </c>
      <c r="AC98" s="74">
        <v>0.2409302347</v>
      </c>
      <c r="AD98" s="74">
        <v>0.23990460280000001</v>
      </c>
      <c r="AE98" s="74">
        <v>0.23887863810000001</v>
      </c>
      <c r="AF98" s="74">
        <v>0.23785262609999999</v>
      </c>
      <c r="AG98" s="74">
        <v>0.23682683490000001</v>
      </c>
      <c r="AH98" s="74">
        <v>0.23580151660000001</v>
      </c>
      <c r="AI98" s="74">
        <v>0.23477690779999999</v>
      </c>
      <c r="AJ98" s="74">
        <v>0.2337532306</v>
      </c>
      <c r="AK98" s="74">
        <v>0.23273069369999999</v>
      </c>
      <c r="AL98" s="74">
        <v>0.2317094925</v>
      </c>
      <c r="AM98" s="74">
        <v>0.2306898104</v>
      </c>
      <c r="AN98" s="74">
        <v>0.229671819</v>
      </c>
      <c r="AO98" s="74">
        <v>0.22865567940000001</v>
      </c>
      <c r="AP98" s="74">
        <v>0.22764154189999999</v>
      </c>
      <c r="AQ98" s="74">
        <v>0.22662954760000001</v>
      </c>
      <c r="AR98" s="74">
        <v>0.22561982789999999</v>
      </c>
      <c r="AS98" s="74">
        <v>0.2246125058</v>
      </c>
      <c r="AT98" s="74">
        <v>0.2236076961</v>
      </c>
      <c r="AU98" s="74">
        <v>0.22260550579999999</v>
      </c>
      <c r="AV98" s="74">
        <v>0.22160603470000001</v>
      </c>
      <c r="AW98" s="74">
        <v>0.22060937550000001</v>
      </c>
      <c r="AX98" s="74">
        <v>0.21961561469999999</v>
      </c>
      <c r="AY98" s="74">
        <v>0.21862483229999999</v>
      </c>
      <c r="AZ98" s="74">
        <v>0.21763710289999999</v>
      </c>
      <c r="BA98" s="74">
        <v>0.2166524953</v>
      </c>
      <c r="BB98" s="74">
        <v>0.2156710734</v>
      </c>
      <c r="BC98" s="74">
        <v>0.21469289620000001</v>
      </c>
      <c r="BD98" s="74">
        <v>0.2137180179</v>
      </c>
      <c r="BE98" s="74">
        <v>0.21274648879999999</v>
      </c>
      <c r="BF98" s="74">
        <v>0.2117783547</v>
      </c>
      <c r="BG98" s="74">
        <v>0.21081365790000001</v>
      </c>
      <c r="BH98" s="74">
        <v>0.20985243689999999</v>
      </c>
      <c r="BI98" s="74">
        <v>0.20889472680000001</v>
      </c>
      <c r="BJ98" s="74">
        <v>0.20794055959999999</v>
      </c>
      <c r="BK98" s="74">
        <v>0.20698996419999999</v>
      </c>
      <c r="BL98" s="74">
        <v>0.2060429667</v>
      </c>
      <c r="BM98" s="74">
        <v>0.20509959050000001</v>
      </c>
      <c r="BN98" s="74">
        <v>0.20415985659999999</v>
      </c>
      <c r="BO98" s="74">
        <v>0.2032237834</v>
      </c>
      <c r="BP98" s="74">
        <v>0.20229138720000001</v>
      </c>
      <c r="BQ98" s="74">
        <v>0.20136268230000001</v>
      </c>
      <c r="BR98" s="74">
        <v>0.2004376809</v>
      </c>
      <c r="BS98" s="74">
        <v>0.19951639330000001</v>
      </c>
      <c r="BT98" s="74">
        <v>0.1985988283</v>
      </c>
      <c r="BU98" s="74">
        <v>0.19768499279999999</v>
      </c>
      <c r="BV98" s="74">
        <v>0.1967748923</v>
      </c>
      <c r="BW98" s="74">
        <v>0.1958685309</v>
      </c>
      <c r="BX98" s="74">
        <v>0.19496591120000001</v>
      </c>
      <c r="BY98" s="74">
        <v>0.1940670347</v>
      </c>
      <c r="BZ98" s="74">
        <v>0.19317190170000001</v>
      </c>
      <c r="CA98" s="74">
        <v>0.1922805111</v>
      </c>
      <c r="CB98" s="74">
        <v>0.19139286119999999</v>
      </c>
      <c r="CC98" s="74">
        <v>0.1905089489</v>
      </c>
      <c r="CD98" s="74">
        <v>0.1896287706</v>
      </c>
      <c r="CE98" s="74">
        <v>0.18875232159999999</v>
      </c>
      <c r="CF98" s="74">
        <v>0.18787959630000001</v>
      </c>
      <c r="CG98" s="74">
        <v>0.18701058870000001</v>
      </c>
      <c r="CH98" s="74">
        <v>0.18614529169999999</v>
      </c>
      <c r="CI98" s="74">
        <v>0.18528369789999999</v>
      </c>
      <c r="CJ98" s="74">
        <v>0.18442579910000001</v>
      </c>
      <c r="CK98" s="74">
        <v>0.1835715866</v>
      </c>
      <c r="CL98" s="74">
        <v>0.18272105120000001</v>
      </c>
      <c r="CM98" s="74">
        <v>0.1818741831</v>
      </c>
      <c r="CN98" s="74">
        <v>0.1810309722</v>
      </c>
      <c r="CO98" s="74">
        <v>0.18019140789999999</v>
      </c>
      <c r="CP98" s="74">
        <v>0.17935547930000001</v>
      </c>
      <c r="CQ98" s="74">
        <v>0.1785231749</v>
      </c>
      <c r="CR98" s="74">
        <v>0.1776944832</v>
      </c>
      <c r="CS98" s="74">
        <v>0.17686939209999999</v>
      </c>
      <c r="CT98" s="74">
        <v>0.1760478895</v>
      </c>
      <c r="CU98" s="74">
        <v>0.17522996290000001</v>
      </c>
      <c r="CV98" s="74">
        <v>0.17441559949999999</v>
      </c>
      <c r="CW98" s="74">
        <v>0.17360478630000001</v>
      </c>
      <c r="CX98" s="74">
        <v>0.17279751030000001</v>
      </c>
      <c r="CY98" s="74">
        <v>0.1719937581</v>
      </c>
      <c r="CZ98" s="74">
        <v>0.17119351629999999</v>
      </c>
      <c r="DA98" s="74">
        <v>0.17039677119999999</v>
      </c>
      <c r="DB98" s="74">
        <v>0.16960350909999999</v>
      </c>
      <c r="DC98" s="74">
        <v>0.16881371610000001</v>
      </c>
      <c r="DD98" s="74">
        <v>0.1680273783</v>
      </c>
      <c r="DE98" s="74">
        <v>0.1672444817</v>
      </c>
      <c r="DF98" s="74">
        <v>0.166465012</v>
      </c>
      <c r="DG98" s="74">
        <v>0.16568895510000001</v>
      </c>
      <c r="DH98" s="74">
        <v>0.16491629669999999</v>
      </c>
      <c r="DI98" s="74">
        <v>0.1641470226</v>
      </c>
      <c r="DJ98" s="74">
        <v>0.1633811184</v>
      </c>
      <c r="DK98" s="74">
        <v>0.1626185698</v>
      </c>
      <c r="DL98" s="74">
        <v>0.16185936240000001</v>
      </c>
      <c r="DM98" s="74">
        <v>0.1611034817</v>
      </c>
      <c r="DN98" s="74">
        <v>0.16035091339999999</v>
      </c>
      <c r="DO98" s="74">
        <v>0.1596016431</v>
      </c>
      <c r="DP98" s="74">
        <v>0.15885565639999999</v>
      </c>
      <c r="DQ98" s="74">
        <v>0.1581129389</v>
      </c>
      <c r="DR98" s="74">
        <v>0.1573734762</v>
      </c>
      <c r="DS98" s="74">
        <v>0.156637254</v>
      </c>
      <c r="DT98" s="74">
        <v>0.15590425799999999</v>
      </c>
      <c r="DU98" s="74">
        <v>0.1551744739</v>
      </c>
      <c r="DV98" s="74">
        <v>0.15444788740000001</v>
      </c>
      <c r="DW98" s="74">
        <v>0.15372448429999999</v>
      </c>
      <c r="DX98" s="74">
        <v>0.15300425049999999</v>
      </c>
      <c r="DY98" s="74">
        <v>0.1522871717</v>
      </c>
      <c r="DZ98" s="74">
        <v>0.15157323410000001</v>
      </c>
      <c r="EA98" s="74">
        <v>0.1508624234</v>
      </c>
      <c r="EB98" s="74">
        <v>0.15015472569999999</v>
      </c>
      <c r="EC98" s="74">
        <v>0.1494501272</v>
      </c>
      <c r="ED98" s="74">
        <v>0.14874861389999999</v>
      </c>
      <c r="EE98" s="74">
        <v>0.14805017209999999</v>
      </c>
      <c r="EF98" s="74">
        <v>0.14735478799999999</v>
      </c>
      <c r="EG98" s="74">
        <v>0.14666244789999999</v>
      </c>
      <c r="EH98" s="74">
        <v>0.14597313819999999</v>
      </c>
      <c r="EI98" s="74">
        <v>0.14528684529999999</v>
      </c>
      <c r="EJ98" s="74">
        <v>0.14460355590000001</v>
      </c>
      <c r="EK98" s="74">
        <v>0.1439232563</v>
      </c>
      <c r="EL98" s="74">
        <v>0.1432459334</v>
      </c>
      <c r="EM98" s="74">
        <v>0.14257157379999999</v>
      </c>
      <c r="EN98" s="74">
        <v>0.1419001644</v>
      </c>
      <c r="EO98" s="74">
        <v>0.14123169190000001</v>
      </c>
      <c r="EP98" s="74">
        <v>0.1405661433</v>
      </c>
      <c r="EQ98" s="74">
        <v>0.13990350570000001</v>
      </c>
      <c r="ER98" s="74">
        <v>0.13924376599999999</v>
      </c>
      <c r="ES98" s="74">
        <v>0.13858691149999999</v>
      </c>
      <c r="ET98" s="74">
        <v>0.13793292939999999</v>
      </c>
      <c r="EU98" s="74">
        <v>0.1372818069</v>
      </c>
      <c r="EV98" s="74">
        <v>0.13663353140000001</v>
      </c>
      <c r="EW98" s="74">
        <v>0.13598809049999999</v>
      </c>
      <c r="EX98" s="74">
        <v>0.13534547150000001</v>
      </c>
      <c r="EY98" s="74">
        <v>0.13470566210000001</v>
      </c>
      <c r="EZ98" s="74">
        <v>0.1340686499</v>
      </c>
      <c r="FA98" s="74">
        <v>0.1334344227</v>
      </c>
      <c r="FB98" s="74">
        <v>0.13280296829999999</v>
      </c>
      <c r="FC98" s="74">
        <v>0.1321742746</v>
      </c>
      <c r="FD98" s="74">
        <v>0.1315483294</v>
      </c>
      <c r="FE98" s="74">
        <v>0.1309251209</v>
      </c>
      <c r="FF98" s="74">
        <v>0.13030463710000001</v>
      </c>
      <c r="FG98" s="74">
        <v>0.1296868662</v>
      </c>
      <c r="FH98" s="74">
        <v>0.12907179639999999</v>
      </c>
      <c r="FI98" s="74">
        <v>0.12845941599999999</v>
      </c>
      <c r="FJ98" s="74">
        <v>0.12784971349999999</v>
      </c>
      <c r="FK98" s="74">
        <v>0.12724267719999999</v>
      </c>
      <c r="FL98" s="74">
        <v>0.12663829569999999</v>
      </c>
      <c r="FM98" s="74">
        <v>0.12603655750000001</v>
      </c>
      <c r="FN98" s="74">
        <v>0.1254374513</v>
      </c>
      <c r="FO98" s="74">
        <v>0.1248409659</v>
      </c>
      <c r="FP98" s="74">
        <v>0.12424709</v>
      </c>
      <c r="FQ98" s="74">
        <v>0.1236558125</v>
      </c>
    </row>
    <row r="99" spans="1:173" x14ac:dyDescent="0.25">
      <c r="A99" s="76">
        <v>97</v>
      </c>
      <c r="B99" s="74">
        <v>0.29144487930000001</v>
      </c>
      <c r="C99" s="74">
        <v>0.29074304080000002</v>
      </c>
      <c r="D99" s="74">
        <v>0.29002054459999999</v>
      </c>
      <c r="E99" s="74">
        <v>0.28927876429999999</v>
      </c>
      <c r="F99" s="74">
        <v>0.28851899949999998</v>
      </c>
      <c r="G99" s="74">
        <v>0.28774248000000002</v>
      </c>
      <c r="H99" s="74">
        <v>0.28695036899999998</v>
      </c>
      <c r="I99" s="74">
        <v>0.28614376629999999</v>
      </c>
      <c r="J99" s="74">
        <v>0.28532371220000002</v>
      </c>
      <c r="K99" s="74">
        <v>0.28449118979999999</v>
      </c>
      <c r="L99" s="74">
        <v>0.28364712850000001</v>
      </c>
      <c r="M99" s="74">
        <v>0.28279240620000001</v>
      </c>
      <c r="N99" s="74">
        <v>0.28192785279999999</v>
      </c>
      <c r="O99" s="74">
        <v>0.28105425169999998</v>
      </c>
      <c r="P99" s="74">
        <v>0.28017234299999999</v>
      </c>
      <c r="Q99" s="74">
        <v>0.2792828255</v>
      </c>
      <c r="R99" s="74">
        <v>0.27838635880000001</v>
      </c>
      <c r="S99" s="74">
        <v>0.27748356549999997</v>
      </c>
      <c r="T99" s="74">
        <v>0.27657503300000003</v>
      </c>
      <c r="U99" s="74">
        <v>0.27566131560000001</v>
      </c>
      <c r="V99" s="74">
        <v>0.2747429361</v>
      </c>
      <c r="W99" s="74">
        <v>0.27382038730000002</v>
      </c>
      <c r="X99" s="74">
        <v>0.27289413410000002</v>
      </c>
      <c r="Y99" s="74">
        <v>0.27196461449999998</v>
      </c>
      <c r="Z99" s="74">
        <v>0.27103224129999998</v>
      </c>
      <c r="AA99" s="74">
        <v>0.2700974035</v>
      </c>
      <c r="AB99" s="74">
        <v>0.26916046719999998</v>
      </c>
      <c r="AC99" s="74">
        <v>0.26822177749999998</v>
      </c>
      <c r="AD99" s="74">
        <v>0.267281659</v>
      </c>
      <c r="AE99" s="74">
        <v>0.26634041720000001</v>
      </c>
      <c r="AF99" s="74">
        <v>0.26539833959999998</v>
      </c>
      <c r="AG99" s="74">
        <v>0.2644556965</v>
      </c>
      <c r="AH99" s="74">
        <v>0.26351274200000002</v>
      </c>
      <c r="AI99" s="74">
        <v>0.26256971489999997</v>
      </c>
      <c r="AJ99" s="74">
        <v>0.26162683980000001</v>
      </c>
      <c r="AK99" s="74">
        <v>0.26068432720000001</v>
      </c>
      <c r="AL99" s="74">
        <v>0.25974237490000002</v>
      </c>
      <c r="AM99" s="74">
        <v>0.25880116869999997</v>
      </c>
      <c r="AN99" s="74">
        <v>0.25786088239999999</v>
      </c>
      <c r="AO99" s="74">
        <v>0.25692167939999999</v>
      </c>
      <c r="AP99" s="74">
        <v>0.25598371250000002</v>
      </c>
      <c r="AQ99" s="74">
        <v>0.25504712470000002</v>
      </c>
      <c r="AR99" s="74">
        <v>0.25411205009999999</v>
      </c>
      <c r="AS99" s="74">
        <v>0.25317861400000002</v>
      </c>
      <c r="AT99" s="74">
        <v>0.25224693339999998</v>
      </c>
      <c r="AU99" s="74">
        <v>0.25131711769999998</v>
      </c>
      <c r="AV99" s="74">
        <v>0.25038926890000002</v>
      </c>
      <c r="AW99" s="74">
        <v>0.2494634822</v>
      </c>
      <c r="AX99" s="74">
        <v>0.24853984630000001</v>
      </c>
      <c r="AY99" s="74">
        <v>0.24761844359999999</v>
      </c>
      <c r="AZ99" s="74">
        <v>0.2466993509</v>
      </c>
      <c r="BA99" s="74">
        <v>0.2457826394</v>
      </c>
      <c r="BB99" s="74">
        <v>0.24486837510000001</v>
      </c>
      <c r="BC99" s="74">
        <v>0.24395661939999999</v>
      </c>
      <c r="BD99" s="74">
        <v>0.24304742879999999</v>
      </c>
      <c r="BE99" s="74">
        <v>0.24214085560000001</v>
      </c>
      <c r="BF99" s="74">
        <v>0.24123694809999999</v>
      </c>
      <c r="BG99" s="74">
        <v>0.24033575060000001</v>
      </c>
      <c r="BH99" s="74">
        <v>0.23943730390000001</v>
      </c>
      <c r="BI99" s="74">
        <v>0.23854164520000001</v>
      </c>
      <c r="BJ99" s="74">
        <v>0.2376488088</v>
      </c>
      <c r="BK99" s="74">
        <v>0.23675882570000001</v>
      </c>
      <c r="BL99" s="74">
        <v>0.235871724</v>
      </c>
      <c r="BM99" s="74">
        <v>0.23498752949999999</v>
      </c>
      <c r="BN99" s="74">
        <v>0.23410626500000001</v>
      </c>
      <c r="BO99" s="74">
        <v>0.2332279511</v>
      </c>
      <c r="BP99" s="74">
        <v>0.23235260639999999</v>
      </c>
      <c r="BQ99" s="74">
        <v>0.23148024689999999</v>
      </c>
      <c r="BR99" s="74">
        <v>0.23061088709999999</v>
      </c>
      <c r="BS99" s="74">
        <v>0.2297445394</v>
      </c>
      <c r="BT99" s="74">
        <v>0.2288812144</v>
      </c>
      <c r="BU99" s="74">
        <v>0.2280209211</v>
      </c>
      <c r="BV99" s="74">
        <v>0.22716366709999999</v>
      </c>
      <c r="BW99" s="74">
        <v>0.2263094584</v>
      </c>
      <c r="BX99" s="74">
        <v>0.2254582996</v>
      </c>
      <c r="BY99" s="74">
        <v>0.2246101942</v>
      </c>
      <c r="BZ99" s="74">
        <v>0.2237651443</v>
      </c>
      <c r="CA99" s="74">
        <v>0.22292315109999999</v>
      </c>
      <c r="CB99" s="74">
        <v>0.2220842146</v>
      </c>
      <c r="CC99" s="74">
        <v>0.22124833369999999</v>
      </c>
      <c r="CD99" s="74">
        <v>0.22041550670000001</v>
      </c>
      <c r="CE99" s="74">
        <v>0.21958573079999999</v>
      </c>
      <c r="CF99" s="74">
        <v>0.21875900249999999</v>
      </c>
      <c r="CG99" s="74">
        <v>0.21793531739999999</v>
      </c>
      <c r="CH99" s="74">
        <v>0.2171146706</v>
      </c>
      <c r="CI99" s="74">
        <v>0.2162970565</v>
      </c>
      <c r="CJ99" s="74">
        <v>0.21548246879999999</v>
      </c>
      <c r="CK99" s="74">
        <v>0.21467090059999999</v>
      </c>
      <c r="CL99" s="74">
        <v>0.21386234470000001</v>
      </c>
      <c r="CM99" s="74">
        <v>0.2130567931</v>
      </c>
      <c r="CN99" s="74">
        <v>0.21225423769999999</v>
      </c>
      <c r="CO99" s="74">
        <v>0.21145466979999999</v>
      </c>
      <c r="CP99" s="74">
        <v>0.21065808010000001</v>
      </c>
      <c r="CQ99" s="74">
        <v>0.20986445940000001</v>
      </c>
      <c r="CR99" s="74">
        <v>0.20907379770000001</v>
      </c>
      <c r="CS99" s="74">
        <v>0.20828608509999999</v>
      </c>
      <c r="CT99" s="74">
        <v>0.20750131120000001</v>
      </c>
      <c r="CU99" s="74">
        <v>0.20671946529999999</v>
      </c>
      <c r="CV99" s="74">
        <v>0.2059405366</v>
      </c>
      <c r="CW99" s="74">
        <v>0.2051645141</v>
      </c>
      <c r="CX99" s="74">
        <v>0.20439138640000001</v>
      </c>
      <c r="CY99" s="74">
        <v>0.20362114219999999</v>
      </c>
      <c r="CZ99" s="74">
        <v>0.20285376999999999</v>
      </c>
      <c r="DA99" s="74">
        <v>0.20208925780000001</v>
      </c>
      <c r="DB99" s="74">
        <v>0.201327594</v>
      </c>
      <c r="DC99" s="74">
        <v>0.2005687665</v>
      </c>
      <c r="DD99" s="74">
        <v>0.1998127633</v>
      </c>
      <c r="DE99" s="74">
        <v>0.19905957229999999</v>
      </c>
      <c r="DF99" s="74">
        <v>0.19830918119999999</v>
      </c>
      <c r="DG99" s="74">
        <v>0.19756157769999999</v>
      </c>
      <c r="DH99" s="74">
        <v>0.19681674960000001</v>
      </c>
      <c r="DI99" s="74">
        <v>0.1960746844</v>
      </c>
      <c r="DJ99" s="74">
        <v>0.19533536970000001</v>
      </c>
      <c r="DK99" s="74">
        <v>0.19459879320000001</v>
      </c>
      <c r="DL99" s="74">
        <v>0.19386494230000001</v>
      </c>
      <c r="DM99" s="74">
        <v>0.19313380469999999</v>
      </c>
      <c r="DN99" s="74">
        <v>0.19240536790000001</v>
      </c>
      <c r="DO99" s="74">
        <v>0.1916796194</v>
      </c>
      <c r="DP99" s="74">
        <v>0.19095654679999999</v>
      </c>
      <c r="DQ99" s="74">
        <v>0.19023613780000001</v>
      </c>
      <c r="DR99" s="74">
        <v>0.1895183798</v>
      </c>
      <c r="DS99" s="74">
        <v>0.18880326059999999</v>
      </c>
      <c r="DT99" s="74">
        <v>0.18809076790000001</v>
      </c>
      <c r="DU99" s="74">
        <v>0.18738088929999999</v>
      </c>
      <c r="DV99" s="74">
        <v>0.18667361260000001</v>
      </c>
      <c r="DW99" s="74">
        <v>0.1859689256</v>
      </c>
      <c r="DX99" s="74">
        <v>0.18526681610000001</v>
      </c>
      <c r="DY99" s="74">
        <v>0.18456727210000001</v>
      </c>
      <c r="DZ99" s="74">
        <v>0.18387028150000001</v>
      </c>
      <c r="EA99" s="74">
        <v>0.18317583239999999</v>
      </c>
      <c r="EB99" s="74">
        <v>0.1824839127</v>
      </c>
      <c r="EC99" s="74">
        <v>0.18179451069999999</v>
      </c>
      <c r="ED99" s="74">
        <v>0.18110761459999999</v>
      </c>
      <c r="EE99" s="74">
        <v>0.18042321250000001</v>
      </c>
      <c r="EF99" s="74">
        <v>0.179741293</v>
      </c>
      <c r="EG99" s="74">
        <v>0.17906184429999999</v>
      </c>
      <c r="EH99" s="74">
        <v>0.17838485500000001</v>
      </c>
      <c r="EI99" s="74">
        <v>0.1777103136</v>
      </c>
      <c r="EJ99" s="74">
        <v>0.17703820880000001</v>
      </c>
      <c r="EK99" s="74">
        <v>0.17636852920000001</v>
      </c>
      <c r="EL99" s="74">
        <v>0.1757012637</v>
      </c>
      <c r="EM99" s="74">
        <v>0.17503640100000001</v>
      </c>
      <c r="EN99" s="74">
        <v>0.17437393030000001</v>
      </c>
      <c r="EO99" s="74">
        <v>0.17371384040000001</v>
      </c>
      <c r="EP99" s="74">
        <v>0.17305612040000001</v>
      </c>
      <c r="EQ99" s="74">
        <v>0.17240075960000001</v>
      </c>
      <c r="ER99" s="74">
        <v>0.1717477473</v>
      </c>
      <c r="ES99" s="74">
        <v>0.17109707260000001</v>
      </c>
      <c r="ET99" s="74">
        <v>0.1704487251</v>
      </c>
      <c r="EU99" s="74">
        <v>0.1698026943</v>
      </c>
      <c r="EV99" s="74">
        <v>0.16915896969999999</v>
      </c>
      <c r="EW99" s="74">
        <v>0.1685175411</v>
      </c>
      <c r="EX99" s="74">
        <v>0.16787839800000001</v>
      </c>
      <c r="EY99" s="74">
        <v>0.16724153050000001</v>
      </c>
      <c r="EZ99" s="74">
        <v>0.16660692830000001</v>
      </c>
      <c r="FA99" s="74">
        <v>0.1659745815</v>
      </c>
      <c r="FB99" s="74">
        <v>0.1653444801</v>
      </c>
      <c r="FC99" s="74">
        <v>0.16471661430000001</v>
      </c>
      <c r="FD99" s="74">
        <v>0.1640909743</v>
      </c>
      <c r="FE99" s="74">
        <v>0.16346755039999999</v>
      </c>
      <c r="FF99" s="74">
        <v>0.1628463329</v>
      </c>
      <c r="FG99" s="74">
        <v>0.1622273125</v>
      </c>
      <c r="FH99" s="74">
        <v>0.16161047940000001</v>
      </c>
      <c r="FI99" s="74">
        <v>0.1609958245</v>
      </c>
      <c r="FJ99" s="74">
        <v>0.16038333839999999</v>
      </c>
      <c r="FK99" s="74">
        <v>0.1597730118</v>
      </c>
      <c r="FL99" s="74">
        <v>0.15916483570000001</v>
      </c>
      <c r="FM99" s="74">
        <v>0.15855880089999999</v>
      </c>
      <c r="FN99" s="74">
        <v>0.15795489839999999</v>
      </c>
      <c r="FO99" s="74">
        <v>0.15735311930000001</v>
      </c>
      <c r="FP99" s="74">
        <v>0.15675345469999999</v>
      </c>
      <c r="FQ99" s="74">
        <v>0.15615589590000001</v>
      </c>
    </row>
    <row r="100" spans="1:173" x14ac:dyDescent="0.25">
      <c r="A100" s="76">
        <v>98</v>
      </c>
      <c r="B100" s="74">
        <v>0.31645109160000001</v>
      </c>
      <c r="C100" s="74">
        <v>0.31586869950000002</v>
      </c>
      <c r="D100" s="74">
        <v>0.31526526329999999</v>
      </c>
      <c r="E100" s="74">
        <v>0.31464214820000003</v>
      </c>
      <c r="F100" s="74">
        <v>0.31400064570000003</v>
      </c>
      <c r="G100" s="74">
        <v>0.31334197749999998</v>
      </c>
      <c r="H100" s="74">
        <v>0.31266729859999998</v>
      </c>
      <c r="I100" s="74">
        <v>0.31197770130000002</v>
      </c>
      <c r="J100" s="74">
        <v>0.31127421820000001</v>
      </c>
      <c r="K100" s="74">
        <v>0.31055782510000002</v>
      </c>
      <c r="L100" s="74">
        <v>0.30982944410000002</v>
      </c>
      <c r="M100" s="74">
        <v>0.30908994649999999</v>
      </c>
      <c r="N100" s="74">
        <v>0.3083401556</v>
      </c>
      <c r="O100" s="74">
        <v>0.3075808485</v>
      </c>
      <c r="P100" s="74">
        <v>0.30681275959999998</v>
      </c>
      <c r="Q100" s="74">
        <v>0.30603658179999998</v>
      </c>
      <c r="R100" s="74">
        <v>0.30525296940000002</v>
      </c>
      <c r="S100" s="74">
        <v>0.30446254</v>
      </c>
      <c r="T100" s="74">
        <v>0.30366587620000002</v>
      </c>
      <c r="U100" s="74">
        <v>0.30286352779999998</v>
      </c>
      <c r="V100" s="74">
        <v>0.30205601329999998</v>
      </c>
      <c r="W100" s="74">
        <v>0.30124382179999998</v>
      </c>
      <c r="X100" s="74">
        <v>0.30042741429999997</v>
      </c>
      <c r="Y100" s="74">
        <v>0.29960722540000001</v>
      </c>
      <c r="Z100" s="74">
        <v>0.29878366470000001</v>
      </c>
      <c r="AA100" s="74">
        <v>0.29795711809999997</v>
      </c>
      <c r="AB100" s="74">
        <v>0.29712794920000002</v>
      </c>
      <c r="AC100" s="74">
        <v>0.29629650029999999</v>
      </c>
      <c r="AD100" s="74">
        <v>0.29546309370000001</v>
      </c>
      <c r="AE100" s="74">
        <v>0.29462803279999999</v>
      </c>
      <c r="AF100" s="74">
        <v>0.2937916029</v>
      </c>
      <c r="AG100" s="74">
        <v>0.2929540726</v>
      </c>
      <c r="AH100" s="74">
        <v>0.29211569430000001</v>
      </c>
      <c r="AI100" s="74">
        <v>0.29127670529999999</v>
      </c>
      <c r="AJ100" s="74">
        <v>0.29043732859999999</v>
      </c>
      <c r="AK100" s="74">
        <v>0.28959777380000001</v>
      </c>
      <c r="AL100" s="74">
        <v>0.2887582373</v>
      </c>
      <c r="AM100" s="74">
        <v>0.28791890380000001</v>
      </c>
      <c r="AN100" s="74">
        <v>0.28707994650000002</v>
      </c>
      <c r="AO100" s="74">
        <v>0.2862415277</v>
      </c>
      <c r="AP100" s="74">
        <v>0.28540379939999999</v>
      </c>
      <c r="AQ100" s="74">
        <v>0.28456690429999998</v>
      </c>
      <c r="AR100" s="74">
        <v>0.2837309757</v>
      </c>
      <c r="AS100" s="74">
        <v>0.2828961384</v>
      </c>
      <c r="AT100" s="74">
        <v>0.28206250900000002</v>
      </c>
      <c r="AU100" s="74">
        <v>0.28123019659999998</v>
      </c>
      <c r="AV100" s="74">
        <v>0.28039930280000003</v>
      </c>
      <c r="AW100" s="74">
        <v>0.27956992269999997</v>
      </c>
      <c r="AX100" s="74">
        <v>0.27874214460000002</v>
      </c>
      <c r="AY100" s="74">
        <v>0.277916051</v>
      </c>
      <c r="AZ100" s="74">
        <v>0.27709171840000002</v>
      </c>
      <c r="BA100" s="74">
        <v>0.27626921789999997</v>
      </c>
      <c r="BB100" s="74">
        <v>0.27544861570000001</v>
      </c>
      <c r="BC100" s="74">
        <v>0.27462997290000002</v>
      </c>
      <c r="BD100" s="74">
        <v>0.27381334619999997</v>
      </c>
      <c r="BE100" s="74">
        <v>0.27299878789999998</v>
      </c>
      <c r="BF100" s="74">
        <v>0.2721863464</v>
      </c>
      <c r="BG100" s="74">
        <v>0.27137606609999998</v>
      </c>
      <c r="BH100" s="74">
        <v>0.27056798780000002</v>
      </c>
      <c r="BI100" s="74">
        <v>0.26976214910000001</v>
      </c>
      <c r="BJ100" s="74">
        <v>0.26895858410000001</v>
      </c>
      <c r="BK100" s="74">
        <v>0.26815732409999998</v>
      </c>
      <c r="BL100" s="74">
        <v>0.26735839760000002</v>
      </c>
      <c r="BM100" s="74">
        <v>0.26656183010000001</v>
      </c>
      <c r="BN100" s="74">
        <v>0.26576764510000001</v>
      </c>
      <c r="BO100" s="74">
        <v>0.26497586309999999</v>
      </c>
      <c r="BP100" s="74">
        <v>0.26418650290000001</v>
      </c>
      <c r="BQ100" s="74">
        <v>0.26339958099999999</v>
      </c>
      <c r="BR100" s="74">
        <v>0.26261511180000002</v>
      </c>
      <c r="BS100" s="74">
        <v>0.26183310799999998</v>
      </c>
      <c r="BT100" s="74">
        <v>0.26105358049999999</v>
      </c>
      <c r="BU100" s="74">
        <v>0.26027653849999999</v>
      </c>
      <c r="BV100" s="74">
        <v>0.25950198990000001</v>
      </c>
      <c r="BW100" s="74">
        <v>0.25872994090000001</v>
      </c>
      <c r="BX100" s="74">
        <v>0.25796039630000001</v>
      </c>
      <c r="BY100" s="74">
        <v>0.25719335989999997</v>
      </c>
      <c r="BZ100" s="74">
        <v>0.2564288341</v>
      </c>
      <c r="CA100" s="74">
        <v>0.25566682019999998</v>
      </c>
      <c r="CB100" s="74">
        <v>0.25490731849999998</v>
      </c>
      <c r="CC100" s="74">
        <v>0.25415032830000001</v>
      </c>
      <c r="CD100" s="74">
        <v>0.25339584790000003</v>
      </c>
      <c r="CE100" s="74">
        <v>0.25264387500000002</v>
      </c>
      <c r="CF100" s="74">
        <v>0.25189440610000002</v>
      </c>
      <c r="CG100" s="74">
        <v>0.2511474373</v>
      </c>
      <c r="CH100" s="74">
        <v>0.25040296379999999</v>
      </c>
      <c r="CI100" s="74">
        <v>0.2496609803</v>
      </c>
      <c r="CJ100" s="74">
        <v>0.2489214807</v>
      </c>
      <c r="CK100" s="74">
        <v>0.24818445859999999</v>
      </c>
      <c r="CL100" s="74">
        <v>0.2474499067</v>
      </c>
      <c r="CM100" s="74">
        <v>0.2467178176</v>
      </c>
      <c r="CN100" s="74">
        <v>0.24598818319999999</v>
      </c>
      <c r="CO100" s="74">
        <v>0.24526099509999999</v>
      </c>
      <c r="CP100" s="74">
        <v>0.2445362445</v>
      </c>
      <c r="CQ100" s="74">
        <v>0.24381392220000001</v>
      </c>
      <c r="CR100" s="74">
        <v>0.2430940187</v>
      </c>
      <c r="CS100" s="74">
        <v>0.24237652409999999</v>
      </c>
      <c r="CT100" s="74">
        <v>0.24166142839999999</v>
      </c>
      <c r="CU100" s="74">
        <v>0.24094872119999999</v>
      </c>
      <c r="CV100" s="74">
        <v>0.2402383921</v>
      </c>
      <c r="CW100" s="74">
        <v>0.2395304301</v>
      </c>
      <c r="CX100" s="74">
        <v>0.23882482429999999</v>
      </c>
      <c r="CY100" s="74">
        <v>0.23812156370000001</v>
      </c>
      <c r="CZ100" s="74">
        <v>0.2374206368</v>
      </c>
      <c r="DA100" s="74">
        <v>0.2367220323</v>
      </c>
      <c r="DB100" s="74">
        <v>0.23602573860000001</v>
      </c>
      <c r="DC100" s="74">
        <v>0.23533174400000001</v>
      </c>
      <c r="DD100" s="74">
        <v>0.23464003689999999</v>
      </c>
      <c r="DE100" s="74">
        <v>0.2339506053</v>
      </c>
      <c r="DF100" s="74">
        <v>0.2332634374</v>
      </c>
      <c r="DG100" s="74">
        <v>0.2325785212</v>
      </c>
      <c r="DH100" s="74">
        <v>0.23189584460000001</v>
      </c>
      <c r="DI100" s="74">
        <v>0.2312153958</v>
      </c>
      <c r="DJ100" s="74">
        <v>0.2305371625</v>
      </c>
      <c r="DK100" s="74">
        <v>0.2298611327</v>
      </c>
      <c r="DL100" s="74">
        <v>0.22918729439999999</v>
      </c>
      <c r="DM100" s="74">
        <v>0.2285156354</v>
      </c>
      <c r="DN100" s="74">
        <v>0.2278461436</v>
      </c>
      <c r="DO100" s="74">
        <v>0.2271788069</v>
      </c>
      <c r="DP100" s="74">
        <v>0.2265136133</v>
      </c>
      <c r="DQ100" s="74">
        <v>0.22585055079999999</v>
      </c>
      <c r="DR100" s="74">
        <v>0.22518960739999999</v>
      </c>
      <c r="DS100" s="74">
        <v>0.22453077099999999</v>
      </c>
      <c r="DT100" s="74">
        <v>0.22387402980000001</v>
      </c>
      <c r="DU100" s="74">
        <v>0.22321937180000001</v>
      </c>
      <c r="DV100" s="74">
        <v>0.22256678529999999</v>
      </c>
      <c r="DW100" s="74">
        <v>0.22191625849999999</v>
      </c>
      <c r="DX100" s="74">
        <v>0.22126777959999999</v>
      </c>
      <c r="DY100" s="74">
        <v>0.220621337</v>
      </c>
      <c r="DZ100" s="74">
        <v>0.21997691899999999</v>
      </c>
      <c r="EA100" s="74">
        <v>0.2193345142</v>
      </c>
      <c r="EB100" s="74">
        <v>0.2186941111</v>
      </c>
      <c r="EC100" s="74">
        <v>0.21805569829999999</v>
      </c>
      <c r="ED100" s="74">
        <v>0.21741926440000001</v>
      </c>
      <c r="EE100" s="74">
        <v>0.2167847983</v>
      </c>
      <c r="EF100" s="74">
        <v>0.2161522887</v>
      </c>
      <c r="EG100" s="74">
        <v>0.21552172450000001</v>
      </c>
      <c r="EH100" s="74">
        <v>0.2148930949</v>
      </c>
      <c r="EI100" s="74">
        <v>0.2142663887</v>
      </c>
      <c r="EJ100" s="74">
        <v>0.21364159529999999</v>
      </c>
      <c r="EK100" s="74">
        <v>0.21301870379999999</v>
      </c>
      <c r="EL100" s="74">
        <v>0.21239770359999999</v>
      </c>
      <c r="EM100" s="74">
        <v>0.21177858399999999</v>
      </c>
      <c r="EN100" s="74">
        <v>0.21116133470000001</v>
      </c>
      <c r="EO100" s="74">
        <v>0.21054594509999999</v>
      </c>
      <c r="EP100" s="74">
        <v>0.20993240499999999</v>
      </c>
      <c r="EQ100" s="74">
        <v>0.2093207041</v>
      </c>
      <c r="ER100" s="74">
        <v>0.20871083230000001</v>
      </c>
      <c r="ES100" s="74">
        <v>0.20810277960000001</v>
      </c>
      <c r="ET100" s="74">
        <v>0.2074965359</v>
      </c>
      <c r="EU100" s="74">
        <v>0.20689209140000001</v>
      </c>
      <c r="EV100" s="74">
        <v>0.2062894364</v>
      </c>
      <c r="EW100" s="74">
        <v>0.2056885611</v>
      </c>
      <c r="EX100" s="74">
        <v>0.2050894559</v>
      </c>
      <c r="EY100" s="74">
        <v>0.20449211140000001</v>
      </c>
      <c r="EZ100" s="74">
        <v>0.20389651810000001</v>
      </c>
      <c r="FA100" s="74">
        <v>0.2033026667</v>
      </c>
      <c r="FB100" s="74">
        <v>0.20271054799999999</v>
      </c>
      <c r="FC100" s="74">
        <v>0.20212015280000001</v>
      </c>
      <c r="FD100" s="74">
        <v>0.20153147199999999</v>
      </c>
      <c r="FE100" s="74">
        <v>0.2009444967</v>
      </c>
      <c r="FF100" s="74">
        <v>0.20035921800000001</v>
      </c>
      <c r="FG100" s="74">
        <v>0.19977562709999999</v>
      </c>
      <c r="FH100" s="74">
        <v>0.1991937154</v>
      </c>
      <c r="FI100" s="74">
        <v>0.19861347409999999</v>
      </c>
      <c r="FJ100" s="74">
        <v>0.1980348948</v>
      </c>
      <c r="FK100" s="74">
        <v>0.19745796909999999</v>
      </c>
      <c r="FL100" s="74">
        <v>0.19688268850000001</v>
      </c>
      <c r="FM100" s="74">
        <v>0.19630904490000001</v>
      </c>
      <c r="FN100" s="74">
        <v>0.1957370299</v>
      </c>
      <c r="FO100" s="74">
        <v>0.1951666356</v>
      </c>
      <c r="FP100" s="74">
        <v>0.19459785390000001</v>
      </c>
      <c r="FQ100" s="74">
        <v>0.1940306769</v>
      </c>
    </row>
    <row r="101" spans="1:173" x14ac:dyDescent="0.25">
      <c r="A101" s="76">
        <v>99</v>
      </c>
      <c r="B101" s="74">
        <v>0.34147031080000001</v>
      </c>
      <c r="C101" s="74">
        <v>0.34101497310000001</v>
      </c>
      <c r="D101" s="74">
        <v>0.34053862470000001</v>
      </c>
      <c r="E101" s="74">
        <v>0.34004261359999999</v>
      </c>
      <c r="F101" s="74">
        <v>0.33952821439999997</v>
      </c>
      <c r="G101" s="74">
        <v>0.33899663229999999</v>
      </c>
      <c r="H101" s="74">
        <v>0.33844900630000002</v>
      </c>
      <c r="I101" s="74">
        <v>0.33788641320000001</v>
      </c>
      <c r="J101" s="74">
        <v>0.33730987029999998</v>
      </c>
      <c r="K101" s="74">
        <v>0.33672033909999999</v>
      </c>
      <c r="L101" s="74">
        <v>0.33611872770000001</v>
      </c>
      <c r="M101" s="74">
        <v>0.33550589390000002</v>
      </c>
      <c r="N101" s="74">
        <v>0.334882648</v>
      </c>
      <c r="O101" s="74">
        <v>0.33424975489999997</v>
      </c>
      <c r="P101" s="74">
        <v>0.33360793700000002</v>
      </c>
      <c r="Q101" s="74">
        <v>0.33295787589999998</v>
      </c>
      <c r="R101" s="74">
        <v>0.33230021510000002</v>
      </c>
      <c r="S101" s="74">
        <v>0.33163556189999999</v>
      </c>
      <c r="T101" s="74">
        <v>0.33096448909999998</v>
      </c>
      <c r="U101" s="74">
        <v>0.33028753709999997</v>
      </c>
      <c r="V101" s="74">
        <v>0.32960521549999999</v>
      </c>
      <c r="W101" s="74">
        <v>0.32891800490000001</v>
      </c>
      <c r="X101" s="74">
        <v>0.32822635830000002</v>
      </c>
      <c r="Y101" s="74">
        <v>0.32753070280000002</v>
      </c>
      <c r="Z101" s="74">
        <v>0.32683144069999998</v>
      </c>
      <c r="AA101" s="74">
        <v>0.32612895110000001</v>
      </c>
      <c r="AB101" s="74">
        <v>0.32542359100000001</v>
      </c>
      <c r="AC101" s="74">
        <v>0.3247156967</v>
      </c>
      <c r="AD101" s="74">
        <v>0.32400558460000001</v>
      </c>
      <c r="AE101" s="74">
        <v>0.32329355269999999</v>
      </c>
      <c r="AF101" s="74">
        <v>0.32257988100000001</v>
      </c>
      <c r="AG101" s="74">
        <v>0.32186483329999999</v>
      </c>
      <c r="AH101" s="74">
        <v>0.32114865729999997</v>
      </c>
      <c r="AI101" s="74">
        <v>0.32043158599999999</v>
      </c>
      <c r="AJ101" s="74">
        <v>0.31971383819999999</v>
      </c>
      <c r="AK101" s="74">
        <v>0.31899561949999999</v>
      </c>
      <c r="AL101" s="74">
        <v>0.31827712289999999</v>
      </c>
      <c r="AM101" s="74">
        <v>0.3175585293</v>
      </c>
      <c r="AN101" s="74">
        <v>0.31684000870000001</v>
      </c>
      <c r="AO101" s="74">
        <v>0.31612172030000002</v>
      </c>
      <c r="AP101" s="74">
        <v>0.3154038133</v>
      </c>
      <c r="AQ101" s="74">
        <v>0.31468642740000002</v>
      </c>
      <c r="AR101" s="74">
        <v>0.31396969340000003</v>
      </c>
      <c r="AS101" s="74">
        <v>0.31325373359999997</v>
      </c>
      <c r="AT101" s="74">
        <v>0.31253866219999998</v>
      </c>
      <c r="AU101" s="74">
        <v>0.31182458619999998</v>
      </c>
      <c r="AV101" s="74">
        <v>0.31111160510000002</v>
      </c>
      <c r="AW101" s="74">
        <v>0.31039981179999998</v>
      </c>
      <c r="AX101" s="74">
        <v>0.30968929299999998</v>
      </c>
      <c r="AY101" s="74">
        <v>0.3089801291</v>
      </c>
      <c r="AZ101" s="74">
        <v>0.30827239509999999</v>
      </c>
      <c r="BA101" s="74">
        <v>0.30756616050000002</v>
      </c>
      <c r="BB101" s="74">
        <v>0.30686148990000001</v>
      </c>
      <c r="BC101" s="74">
        <v>0.306158443</v>
      </c>
      <c r="BD101" s="74">
        <v>0.30545707500000002</v>
      </c>
      <c r="BE101" s="74">
        <v>0.30475743700000002</v>
      </c>
      <c r="BF101" s="74">
        <v>0.30405957610000001</v>
      </c>
      <c r="BG101" s="74">
        <v>0.30336353529999999</v>
      </c>
      <c r="BH101" s="74">
        <v>0.3026693546</v>
      </c>
      <c r="BI101" s="74">
        <v>0.30197707019999998</v>
      </c>
      <c r="BJ101" s="74">
        <v>0.30128671530000001</v>
      </c>
      <c r="BK101" s="74">
        <v>0.30059832009999998</v>
      </c>
      <c r="BL101" s="74">
        <v>0.29991191210000001</v>
      </c>
      <c r="BM101" s="74">
        <v>0.29922751590000002</v>
      </c>
      <c r="BN101" s="74">
        <v>0.29854515399999998</v>
      </c>
      <c r="BO101" s="74">
        <v>0.29786484619999998</v>
      </c>
      <c r="BP101" s="74">
        <v>0.29718661029999999</v>
      </c>
      <c r="BQ101" s="74">
        <v>0.29651046190000002</v>
      </c>
      <c r="BR101" s="74">
        <v>0.2958364148</v>
      </c>
      <c r="BS101" s="74">
        <v>0.29516448080000002</v>
      </c>
      <c r="BT101" s="74">
        <v>0.29449467000000001</v>
      </c>
      <c r="BU101" s="74">
        <v>0.29382699089999997</v>
      </c>
      <c r="BV101" s="74">
        <v>0.29316145069999999</v>
      </c>
      <c r="BW101" s="74">
        <v>0.29249805480000002</v>
      </c>
      <c r="BX101" s="74">
        <v>0.29183680740000001</v>
      </c>
      <c r="BY101" s="74">
        <v>0.2911777116</v>
      </c>
      <c r="BZ101" s="74">
        <v>0.29052076900000001</v>
      </c>
      <c r="CA101" s="74">
        <v>0.2898659804</v>
      </c>
      <c r="CB101" s="74">
        <v>0.28921334539999999</v>
      </c>
      <c r="CC101" s="74">
        <v>0.28856286260000003</v>
      </c>
      <c r="CD101" s="74">
        <v>0.28791452979999999</v>
      </c>
      <c r="CE101" s="74">
        <v>0.2872683439</v>
      </c>
      <c r="CF101" s="74">
        <v>0.28662430090000002</v>
      </c>
      <c r="CG101" s="74">
        <v>0.2859823963</v>
      </c>
      <c r="CH101" s="74">
        <v>0.28534262469999999</v>
      </c>
      <c r="CI101" s="74">
        <v>0.28470498</v>
      </c>
      <c r="CJ101" s="74">
        <v>0.28406945579999998</v>
      </c>
      <c r="CK101" s="74">
        <v>0.28343604480000001</v>
      </c>
      <c r="CL101" s="74">
        <v>0.2828047394</v>
      </c>
      <c r="CM101" s="74">
        <v>0.28217553150000002</v>
      </c>
      <c r="CN101" s="74">
        <v>0.2815484124</v>
      </c>
      <c r="CO101" s="74">
        <v>0.28092337319999999</v>
      </c>
      <c r="CP101" s="74">
        <v>0.28030040429999997</v>
      </c>
      <c r="CQ101" s="74">
        <v>0.27967949609999998</v>
      </c>
      <c r="CR101" s="74">
        <v>0.27906063860000002</v>
      </c>
      <c r="CS101" s="74">
        <v>0.2784438212</v>
      </c>
      <c r="CT101" s="74">
        <v>0.27782903339999998</v>
      </c>
      <c r="CU101" s="74">
        <v>0.27721626420000001</v>
      </c>
      <c r="CV101" s="74">
        <v>0.2766055026</v>
      </c>
      <c r="CW101" s="74">
        <v>0.2759967371</v>
      </c>
      <c r="CX101" s="74">
        <v>0.27538995640000002</v>
      </c>
      <c r="CY101" s="74">
        <v>0.27478514850000002</v>
      </c>
      <c r="CZ101" s="74">
        <v>0.27418230179999997</v>
      </c>
      <c r="DA101" s="74">
        <v>0.27358140419999999</v>
      </c>
      <c r="DB101" s="74">
        <v>0.27298244360000001</v>
      </c>
      <c r="DC101" s="74">
        <v>0.27238540779999998</v>
      </c>
      <c r="DD101" s="74">
        <v>0.27179028449999998</v>
      </c>
      <c r="DE101" s="74">
        <v>0.27119706129999999</v>
      </c>
      <c r="DF101" s="74">
        <v>0.27060572570000002</v>
      </c>
      <c r="DG101" s="74">
        <v>0.2700162653</v>
      </c>
      <c r="DH101" s="74">
        <v>0.2694286676</v>
      </c>
      <c r="DI101" s="74">
        <v>0.26884291980000002</v>
      </c>
      <c r="DJ101" s="74">
        <v>0.26825900940000003</v>
      </c>
      <c r="DK101" s="74">
        <v>0.26767692389999997</v>
      </c>
      <c r="DL101" s="74">
        <v>0.26709665040000002</v>
      </c>
      <c r="DM101" s="74">
        <v>0.26651817649999998</v>
      </c>
      <c r="DN101" s="74">
        <v>0.26594148950000002</v>
      </c>
      <c r="DO101" s="74">
        <v>0.26536657670000002</v>
      </c>
      <c r="DP101" s="74">
        <v>0.26479342569999997</v>
      </c>
      <c r="DQ101" s="74">
        <v>0.26422202369999997</v>
      </c>
      <c r="DR101" s="74">
        <v>0.2636523583</v>
      </c>
      <c r="DS101" s="74">
        <v>0.26308441710000002</v>
      </c>
      <c r="DT101" s="74">
        <v>0.2625181875</v>
      </c>
      <c r="DU101" s="74">
        <v>0.26195365710000001</v>
      </c>
      <c r="DV101" s="74">
        <v>0.26139081359999999</v>
      </c>
      <c r="DW101" s="74">
        <v>0.26082964469999997</v>
      </c>
      <c r="DX101" s="74">
        <v>0.2602701382</v>
      </c>
      <c r="DY101" s="74">
        <v>0.25971228190000001</v>
      </c>
      <c r="DZ101" s="74">
        <v>0.25915606369999999</v>
      </c>
      <c r="EA101" s="74">
        <v>0.25860147150000001</v>
      </c>
      <c r="EB101" s="74">
        <v>0.25804849330000001</v>
      </c>
      <c r="EC101" s="74">
        <v>0.25749711739999998</v>
      </c>
      <c r="ED101" s="74">
        <v>0.25694733180000001</v>
      </c>
      <c r="EE101" s="74">
        <v>0.2563991249</v>
      </c>
      <c r="EF101" s="74">
        <v>0.25585248500000002</v>
      </c>
      <c r="EG101" s="74">
        <v>0.2553074005</v>
      </c>
      <c r="EH101" s="74">
        <v>0.2547638599</v>
      </c>
      <c r="EI101" s="74">
        <v>0.25422185180000001</v>
      </c>
      <c r="EJ101" s="74">
        <v>0.25368136489999998</v>
      </c>
      <c r="EK101" s="74">
        <v>0.2531423881</v>
      </c>
      <c r="EL101" s="74">
        <v>0.25260491010000002</v>
      </c>
      <c r="EM101" s="74">
        <v>0.25206891990000002</v>
      </c>
      <c r="EN101" s="74">
        <v>0.25153440649999997</v>
      </c>
      <c r="EO101" s="74">
        <v>0.2510013592</v>
      </c>
      <c r="EP101" s="74">
        <v>0.25046976710000002</v>
      </c>
      <c r="EQ101" s="74">
        <v>0.24993961949999999</v>
      </c>
      <c r="ER101" s="74">
        <v>0.24941090599999999</v>
      </c>
      <c r="ES101" s="74">
        <v>0.24888361589999999</v>
      </c>
      <c r="ET101" s="74">
        <v>0.24835773890000001</v>
      </c>
      <c r="EU101" s="74">
        <v>0.24783326480000001</v>
      </c>
      <c r="EV101" s="74">
        <v>0.24731018330000001</v>
      </c>
      <c r="EW101" s="74">
        <v>0.2467884843</v>
      </c>
      <c r="EX101" s="74">
        <v>0.2462681578</v>
      </c>
      <c r="EY101" s="74">
        <v>0.2457491939</v>
      </c>
      <c r="EZ101" s="74">
        <v>0.24523158270000001</v>
      </c>
      <c r="FA101" s="74">
        <v>0.24471531469999999</v>
      </c>
      <c r="FB101" s="74">
        <v>0.2442003801</v>
      </c>
      <c r="FC101" s="74">
        <v>0.2436867694</v>
      </c>
      <c r="FD101" s="74">
        <v>0.24317447319999999</v>
      </c>
      <c r="FE101" s="74">
        <v>0.24266348209999999</v>
      </c>
      <c r="FF101" s="74">
        <v>0.24215378700000001</v>
      </c>
      <c r="FG101" s="74">
        <v>0.24164537859999999</v>
      </c>
      <c r="FH101" s="74">
        <v>0.24113824789999999</v>
      </c>
      <c r="FI101" s="74">
        <v>0.2406323859</v>
      </c>
      <c r="FJ101" s="74">
        <v>0.24012778379999999</v>
      </c>
      <c r="FK101" s="74">
        <v>0.23962443280000001</v>
      </c>
      <c r="FL101" s="74">
        <v>0.23912232420000001</v>
      </c>
      <c r="FM101" s="74">
        <v>0.2386214495</v>
      </c>
      <c r="FN101" s="74">
        <v>0.23812179999999999</v>
      </c>
      <c r="FO101" s="74">
        <v>0.23762336749999999</v>
      </c>
      <c r="FP101" s="74">
        <v>0.23712614360000001</v>
      </c>
      <c r="FQ101" s="74">
        <v>0.23663012</v>
      </c>
    </row>
    <row r="102" spans="1:173" x14ac:dyDescent="0.25">
      <c r="A102" s="76">
        <v>100</v>
      </c>
      <c r="B102" s="74">
        <v>0.36618553819999999</v>
      </c>
      <c r="C102" s="74">
        <v>0.36586000909999999</v>
      </c>
      <c r="D102" s="74">
        <v>0.3655138738</v>
      </c>
      <c r="E102" s="74">
        <v>0.36514845460000001</v>
      </c>
      <c r="F102" s="74">
        <v>0.36476500119999999</v>
      </c>
      <c r="G102" s="74">
        <v>0.36436469459999998</v>
      </c>
      <c r="H102" s="74">
        <v>0.36394865069999999</v>
      </c>
      <c r="I102" s="74">
        <v>0.36351792360000001</v>
      </c>
      <c r="J102" s="74">
        <v>0.36307350900000002</v>
      </c>
      <c r="K102" s="74">
        <v>0.36261634729999997</v>
      </c>
      <c r="L102" s="74">
        <v>0.36214732649999998</v>
      </c>
      <c r="M102" s="74">
        <v>0.36166728529999997</v>
      </c>
      <c r="N102" s="74">
        <v>0.36117701520000001</v>
      </c>
      <c r="O102" s="74">
        <v>0.3606772634</v>
      </c>
      <c r="P102" s="74">
        <v>0.36016873529999999</v>
      </c>
      <c r="Q102" s="74">
        <v>0.3596520963</v>
      </c>
      <c r="R102" s="74">
        <v>0.35912797429999999</v>
      </c>
      <c r="S102" s="74">
        <v>0.3585969618</v>
      </c>
      <c r="T102" s="74">
        <v>0.35805961739999997</v>
      </c>
      <c r="U102" s="74">
        <v>0.35751646809999998</v>
      </c>
      <c r="V102" s="74">
        <v>0.3569680106</v>
      </c>
      <c r="W102" s="74">
        <v>0.35641471320000001</v>
      </c>
      <c r="X102" s="74">
        <v>0.35585701739999998</v>
      </c>
      <c r="Y102" s="74">
        <v>0.35529533899999999</v>
      </c>
      <c r="Z102" s="74">
        <v>0.35473007000000001</v>
      </c>
      <c r="AA102" s="74">
        <v>0.35416157929999997</v>
      </c>
      <c r="AB102" s="74">
        <v>0.35359021460000001</v>
      </c>
      <c r="AC102" s="74">
        <v>0.35301630290000002</v>
      </c>
      <c r="AD102" s="74">
        <v>0.35244015229999998</v>
      </c>
      <c r="AE102" s="74">
        <v>0.35186205240000001</v>
      </c>
      <c r="AF102" s="74">
        <v>0.35128227569999998</v>
      </c>
      <c r="AG102" s="74">
        <v>0.35070107859999999</v>
      </c>
      <c r="AH102" s="74">
        <v>0.3501187019</v>
      </c>
      <c r="AI102" s="74">
        <v>0.3495353719</v>
      </c>
      <c r="AJ102" s="74">
        <v>0.34895130120000001</v>
      </c>
      <c r="AK102" s="74">
        <v>0.3483666896</v>
      </c>
      <c r="AL102" s="74">
        <v>0.34778172429999998</v>
      </c>
      <c r="AM102" s="74">
        <v>0.347196581</v>
      </c>
      <c r="AN102" s="74">
        <v>0.3466114247</v>
      </c>
      <c r="AO102" s="74">
        <v>0.34602640969999998</v>
      </c>
      <c r="AP102" s="74">
        <v>0.34544168069999998</v>
      </c>
      <c r="AQ102" s="74">
        <v>0.34485737319999998</v>
      </c>
      <c r="AR102" s="74">
        <v>0.34427361379999999</v>
      </c>
      <c r="AS102" s="74">
        <v>0.34369052090000002</v>
      </c>
      <c r="AT102" s="74">
        <v>0.34310820539999998</v>
      </c>
      <c r="AU102" s="74">
        <v>0.34252677030000001</v>
      </c>
      <c r="AV102" s="74">
        <v>0.34194631209999998</v>
      </c>
      <c r="AW102" s="74">
        <v>0.34136692070000002</v>
      </c>
      <c r="AX102" s="74">
        <v>0.34078867940000002</v>
      </c>
      <c r="AY102" s="74">
        <v>0.34021166619999998</v>
      </c>
      <c r="AZ102" s="74">
        <v>0.33963595320000001</v>
      </c>
      <c r="BA102" s="74">
        <v>0.33906160749999997</v>
      </c>
      <c r="BB102" s="74">
        <v>0.33848869110000002</v>
      </c>
      <c r="BC102" s="74">
        <v>0.3379172614</v>
      </c>
      <c r="BD102" s="74">
        <v>0.33734737149999999</v>
      </c>
      <c r="BE102" s="74">
        <v>0.3367790705</v>
      </c>
      <c r="BF102" s="74">
        <v>0.3362124031</v>
      </c>
      <c r="BG102" s="74">
        <v>0.33564741100000001</v>
      </c>
      <c r="BH102" s="74">
        <v>0.33508413180000002</v>
      </c>
      <c r="BI102" s="74">
        <v>0.33452260029999997</v>
      </c>
      <c r="BJ102" s="74">
        <v>0.33396284790000003</v>
      </c>
      <c r="BK102" s="74">
        <v>0.3334049033</v>
      </c>
      <c r="BL102" s="74">
        <v>0.33284879239999998</v>
      </c>
      <c r="BM102" s="74">
        <v>0.33229453840000001</v>
      </c>
      <c r="BN102" s="74">
        <v>0.33174216229999998</v>
      </c>
      <c r="BO102" s="74">
        <v>0.33119168269999999</v>
      </c>
      <c r="BP102" s="74">
        <v>0.33064311590000001</v>
      </c>
      <c r="BQ102" s="74">
        <v>0.33009647650000001</v>
      </c>
      <c r="BR102" s="74">
        <v>0.32955177679999997</v>
      </c>
      <c r="BS102" s="74">
        <v>0.3290090276</v>
      </c>
      <c r="BT102" s="74">
        <v>0.32846823790000002</v>
      </c>
      <c r="BU102" s="74">
        <v>0.32792941520000002</v>
      </c>
      <c r="BV102" s="74">
        <v>0.3273925654</v>
      </c>
      <c r="BW102" s="74">
        <v>0.326857693</v>
      </c>
      <c r="BX102" s="74">
        <v>0.32632480120000001</v>
      </c>
      <c r="BY102" s="74">
        <v>0.32579389209999998</v>
      </c>
      <c r="BZ102" s="74">
        <v>0.32526496640000002</v>
      </c>
      <c r="CA102" s="74">
        <v>0.32473802400000001</v>
      </c>
      <c r="CB102" s="74">
        <v>0.32421306360000002</v>
      </c>
      <c r="CC102" s="74">
        <v>0.32369008290000001</v>
      </c>
      <c r="CD102" s="74">
        <v>0.32316907880000001</v>
      </c>
      <c r="CE102" s="74">
        <v>0.32265004739999997</v>
      </c>
      <c r="CF102" s="74">
        <v>0.3221329839</v>
      </c>
      <c r="CG102" s="74">
        <v>0.32161788289999999</v>
      </c>
      <c r="CH102" s="74">
        <v>0.32110473830000003</v>
      </c>
      <c r="CI102" s="74">
        <v>0.32059354330000001</v>
      </c>
      <c r="CJ102" s="74">
        <v>0.32008429049999998</v>
      </c>
      <c r="CK102" s="74">
        <v>0.31957697200000001</v>
      </c>
      <c r="CL102" s="74">
        <v>0.31907157940000003</v>
      </c>
      <c r="CM102" s="74">
        <v>0.31856810390000001</v>
      </c>
      <c r="CN102" s="74">
        <v>0.31806653600000001</v>
      </c>
      <c r="CO102" s="74">
        <v>0.317566866</v>
      </c>
      <c r="CP102" s="74">
        <v>0.31706908379999998</v>
      </c>
      <c r="CQ102" s="74">
        <v>0.31657317889999997</v>
      </c>
      <c r="CR102" s="74">
        <v>0.31607914059999997</v>
      </c>
      <c r="CS102" s="74">
        <v>0.31558695780000001</v>
      </c>
      <c r="CT102" s="74">
        <v>0.31509661909999997</v>
      </c>
      <c r="CU102" s="74">
        <v>0.31460811290000001</v>
      </c>
      <c r="CV102" s="74">
        <v>0.31412142739999999</v>
      </c>
      <c r="CW102" s="74">
        <v>0.3136365505</v>
      </c>
      <c r="CX102" s="74">
        <v>0.3131534701</v>
      </c>
      <c r="CY102" s="74">
        <v>0.31267217380000001</v>
      </c>
      <c r="CZ102" s="74">
        <v>0.31219264899999999</v>
      </c>
      <c r="DA102" s="74">
        <v>0.31171488310000001</v>
      </c>
      <c r="DB102" s="74">
        <v>0.31123886319999999</v>
      </c>
      <c r="DC102" s="74">
        <v>0.3107645765</v>
      </c>
      <c r="DD102" s="74">
        <v>0.31029201010000002</v>
      </c>
      <c r="DE102" s="74">
        <v>0.30982115069999999</v>
      </c>
      <c r="DF102" s="74">
        <v>0.30935198539999997</v>
      </c>
      <c r="DG102" s="74">
        <v>0.30888450099999998</v>
      </c>
      <c r="DH102" s="74">
        <v>0.30841868420000002</v>
      </c>
      <c r="DI102" s="74">
        <v>0.30795452169999998</v>
      </c>
      <c r="DJ102" s="74">
        <v>0.30749200030000001</v>
      </c>
      <c r="DK102" s="74">
        <v>0.3070311067</v>
      </c>
      <c r="DL102" s="74">
        <v>0.30657182760000001</v>
      </c>
      <c r="DM102" s="74">
        <v>0.3061141496</v>
      </c>
      <c r="DN102" s="74">
        <v>0.30565805950000002</v>
      </c>
      <c r="DO102" s="74">
        <v>0.30520354399999999</v>
      </c>
      <c r="DP102" s="74">
        <v>0.30475058970000002</v>
      </c>
      <c r="DQ102" s="74">
        <v>0.30429918360000002</v>
      </c>
      <c r="DR102" s="74">
        <v>0.30384931230000001</v>
      </c>
      <c r="DS102" s="74">
        <v>0.3034009627</v>
      </c>
      <c r="DT102" s="74">
        <v>0.30295412170000002</v>
      </c>
      <c r="DU102" s="74">
        <v>0.30250877609999999</v>
      </c>
      <c r="DV102" s="74">
        <v>0.30206491299999999</v>
      </c>
      <c r="DW102" s="74">
        <v>0.30162251940000001</v>
      </c>
      <c r="DX102" s="74">
        <v>0.30118158229999997</v>
      </c>
      <c r="DY102" s="74">
        <v>0.30074208899999999</v>
      </c>
      <c r="DZ102" s="74">
        <v>0.30030402649999999</v>
      </c>
      <c r="EA102" s="74">
        <v>0.29986738229999998</v>
      </c>
      <c r="EB102" s="74">
        <v>0.29943214359999998</v>
      </c>
      <c r="EC102" s="74">
        <v>0.29899829789999999</v>
      </c>
      <c r="ED102" s="74">
        <v>0.29856583260000003</v>
      </c>
      <c r="EE102" s="74">
        <v>0.29813473550000003</v>
      </c>
      <c r="EF102" s="74">
        <v>0.297704994</v>
      </c>
      <c r="EG102" s="74">
        <v>0.297276596</v>
      </c>
      <c r="EH102" s="74">
        <v>0.29684952930000003</v>
      </c>
      <c r="EI102" s="74">
        <v>0.2964237817</v>
      </c>
      <c r="EJ102" s="74">
        <v>0.2959993414</v>
      </c>
      <c r="EK102" s="74">
        <v>0.29557619629999998</v>
      </c>
      <c r="EL102" s="74">
        <v>0.29515433470000002</v>
      </c>
      <c r="EM102" s="74">
        <v>0.29473374489999998</v>
      </c>
      <c r="EN102" s="74">
        <v>0.2943144151</v>
      </c>
      <c r="EO102" s="74">
        <v>0.29389633380000002</v>
      </c>
      <c r="EP102" s="74">
        <v>0.29347948969999998</v>
      </c>
      <c r="EQ102" s="74">
        <v>0.29306387119999999</v>
      </c>
      <c r="ER102" s="74">
        <v>0.29264946720000001</v>
      </c>
      <c r="ES102" s="74">
        <v>0.2922362664</v>
      </c>
      <c r="ET102" s="74">
        <v>0.29182425789999999</v>
      </c>
      <c r="EU102" s="74">
        <v>0.29141343060000002</v>
      </c>
      <c r="EV102" s="74">
        <v>0.29100377350000001</v>
      </c>
      <c r="EW102" s="74">
        <v>0.29059527610000002</v>
      </c>
      <c r="EX102" s="74">
        <v>0.29018792739999999</v>
      </c>
      <c r="EY102" s="74">
        <v>0.28978171699999999</v>
      </c>
      <c r="EZ102" s="74">
        <v>0.28937663429999999</v>
      </c>
      <c r="FA102" s="74">
        <v>0.28897266890000001</v>
      </c>
      <c r="FB102" s="74">
        <v>0.28856981059999998</v>
      </c>
      <c r="FC102" s="74">
        <v>0.28816804899999998</v>
      </c>
      <c r="FD102" s="74">
        <v>0.28776737409999997</v>
      </c>
      <c r="FE102" s="74">
        <v>0.28736777590000001</v>
      </c>
      <c r="FF102" s="74">
        <v>0.28696924439999999</v>
      </c>
      <c r="FG102" s="74">
        <v>0.28657176969999998</v>
      </c>
      <c r="FH102" s="74">
        <v>0.28617534220000002</v>
      </c>
      <c r="FI102" s="74">
        <v>0.28577995220000002</v>
      </c>
      <c r="FJ102" s="74">
        <v>0.28538559019999998</v>
      </c>
      <c r="FK102" s="74">
        <v>0.2849922466</v>
      </c>
      <c r="FL102" s="74">
        <v>0.28459991220000003</v>
      </c>
      <c r="FM102" s="74">
        <v>0.28420857760000001</v>
      </c>
      <c r="FN102" s="74">
        <v>0.28381823369999998</v>
      </c>
      <c r="FO102" s="74">
        <v>0.2834288713</v>
      </c>
      <c r="FP102" s="74">
        <v>0.2830404816</v>
      </c>
      <c r="FQ102" s="74">
        <v>0.28265305549999997</v>
      </c>
    </row>
    <row r="103" spans="1:173" x14ac:dyDescent="0.25">
      <c r="A103" s="76">
        <v>101</v>
      </c>
      <c r="B103" s="74">
        <v>0.39029412930000001</v>
      </c>
      <c r="C103" s="74">
        <v>0.39009630000000001</v>
      </c>
      <c r="D103" s="74">
        <v>0.3898785689</v>
      </c>
      <c r="E103" s="74">
        <v>0.38964222500000001</v>
      </c>
      <c r="F103" s="74">
        <v>0.38938848580000002</v>
      </c>
      <c r="G103" s="74">
        <v>0.38911850120000002</v>
      </c>
      <c r="H103" s="74">
        <v>0.38883335699999999</v>
      </c>
      <c r="I103" s="74">
        <v>0.38853407829999997</v>
      </c>
      <c r="J103" s="74">
        <v>0.38822163279999999</v>
      </c>
      <c r="K103" s="74">
        <v>0.3878969344</v>
      </c>
      <c r="L103" s="74">
        <v>0.38756084530000001</v>
      </c>
      <c r="M103" s="74">
        <v>0.38721417930000002</v>
      </c>
      <c r="N103" s="74">
        <v>0.38685770450000001</v>
      </c>
      <c r="O103" s="74">
        <v>0.3864921455</v>
      </c>
      <c r="P103" s="74">
        <v>0.38611818590000002</v>
      </c>
      <c r="Q103" s="74">
        <v>0.38573647049999998</v>
      </c>
      <c r="R103" s="74">
        <v>0.38534760759999998</v>
      </c>
      <c r="S103" s="74">
        <v>0.38495217050000002</v>
      </c>
      <c r="T103" s="74">
        <v>0.38455070000000002</v>
      </c>
      <c r="U103" s="74">
        <v>0.38414370580000001</v>
      </c>
      <c r="V103" s="74">
        <v>0.3837316684</v>
      </c>
      <c r="W103" s="74">
        <v>0.38331504049999998</v>
      </c>
      <c r="X103" s="74">
        <v>0.38289424859999999</v>
      </c>
      <c r="Y103" s="74">
        <v>0.38246969460000002</v>
      </c>
      <c r="Z103" s="74">
        <v>0.38204175680000002</v>
      </c>
      <c r="AA103" s="74">
        <v>0.38161079149999999</v>
      </c>
      <c r="AB103" s="74">
        <v>0.38117713419999999</v>
      </c>
      <c r="AC103" s="74">
        <v>0.38074110039999998</v>
      </c>
      <c r="AD103" s="74">
        <v>0.38030298709999999</v>
      </c>
      <c r="AE103" s="74">
        <v>0.37986307359999999</v>
      </c>
      <c r="AF103" s="74">
        <v>0.37942162260000001</v>
      </c>
      <c r="AG103" s="74">
        <v>0.37897888079999997</v>
      </c>
      <c r="AH103" s="74">
        <v>0.37853508019999998</v>
      </c>
      <c r="AI103" s="74">
        <v>0.37809043879999998</v>
      </c>
      <c r="AJ103" s="74">
        <v>0.37764516100000001</v>
      </c>
      <c r="AK103" s="74">
        <v>0.37719943900000003</v>
      </c>
      <c r="AL103" s="74">
        <v>0.37675345269999999</v>
      </c>
      <c r="AM103" s="74">
        <v>0.37630737120000002</v>
      </c>
      <c r="AN103" s="74">
        <v>0.37586135279999999</v>
      </c>
      <c r="AO103" s="74">
        <v>0.37541554560000001</v>
      </c>
      <c r="AP103" s="74">
        <v>0.37497008859999997</v>
      </c>
      <c r="AQ103" s="74">
        <v>0.37452511170000002</v>
      </c>
      <c r="AR103" s="74">
        <v>0.37408073619999999</v>
      </c>
      <c r="AS103" s="74">
        <v>0.37363707569999999</v>
      </c>
      <c r="AT103" s="74">
        <v>0.37319423610000002</v>
      </c>
      <c r="AU103" s="74">
        <v>0.37275231609999998</v>
      </c>
      <c r="AV103" s="74">
        <v>0.37231140800000001</v>
      </c>
      <c r="AW103" s="74">
        <v>0.37187159749999998</v>
      </c>
      <c r="AX103" s="74">
        <v>0.37143296440000001</v>
      </c>
      <c r="AY103" s="74">
        <v>0.3709955828</v>
      </c>
      <c r="AZ103" s="74">
        <v>0.37055952149999999</v>
      </c>
      <c r="BA103" s="74">
        <v>0.37012484420000002</v>
      </c>
      <c r="BB103" s="74">
        <v>0.36969161</v>
      </c>
      <c r="BC103" s="74">
        <v>0.3692598735</v>
      </c>
      <c r="BD103" s="74">
        <v>0.3688296848</v>
      </c>
      <c r="BE103" s="74">
        <v>0.36840109030000001</v>
      </c>
      <c r="BF103" s="74">
        <v>0.3679741325</v>
      </c>
      <c r="BG103" s="74">
        <v>0.36754885040000002</v>
      </c>
      <c r="BH103" s="74">
        <v>0.36712527969999997</v>
      </c>
      <c r="BI103" s="74">
        <v>0.3667034529</v>
      </c>
      <c r="BJ103" s="74">
        <v>0.36628339929999998</v>
      </c>
      <c r="BK103" s="74">
        <v>0.36586514580000001</v>
      </c>
      <c r="BL103" s="74">
        <v>0.36544871639999998</v>
      </c>
      <c r="BM103" s="74">
        <v>0.36503413260000001</v>
      </c>
      <c r="BN103" s="74">
        <v>0.36462141370000001</v>
      </c>
      <c r="BO103" s="74">
        <v>0.36421057670000001</v>
      </c>
      <c r="BP103" s="74">
        <v>0.36380163650000003</v>
      </c>
      <c r="BQ103" s="74">
        <v>0.36339460620000003</v>
      </c>
      <c r="BR103" s="74">
        <v>0.36298949670000002</v>
      </c>
      <c r="BS103" s="74">
        <v>0.36258631759999999</v>
      </c>
      <c r="BT103" s="74">
        <v>0.3621850767</v>
      </c>
      <c r="BU103" s="74">
        <v>0.36178578010000001</v>
      </c>
      <c r="BV103" s="74">
        <v>0.36138843269999998</v>
      </c>
      <c r="BW103" s="74">
        <v>0.36099303789999998</v>
      </c>
      <c r="BX103" s="74">
        <v>0.36059959790000001</v>
      </c>
      <c r="BY103" s="74">
        <v>0.36020811380000001</v>
      </c>
      <c r="BZ103" s="74">
        <v>0.35981858529999999</v>
      </c>
      <c r="CA103" s="74">
        <v>0.35943101150000001</v>
      </c>
      <c r="CB103" s="74">
        <v>0.35904539000000002</v>
      </c>
      <c r="CC103" s="74">
        <v>0.3586617178</v>
      </c>
      <c r="CD103" s="74">
        <v>0.35827999100000002</v>
      </c>
      <c r="CE103" s="74">
        <v>0.35790020490000002</v>
      </c>
      <c r="CF103" s="74">
        <v>0.35752235399999999</v>
      </c>
      <c r="CG103" s="74">
        <v>0.35714643210000002</v>
      </c>
      <c r="CH103" s="74">
        <v>0.35677243240000001</v>
      </c>
      <c r="CI103" s="74">
        <v>0.35640034739999998</v>
      </c>
      <c r="CJ103" s="74">
        <v>0.35603016910000002</v>
      </c>
      <c r="CK103" s="74">
        <v>0.3556618889</v>
      </c>
      <c r="CL103" s="74">
        <v>0.35529549789999998</v>
      </c>
      <c r="CM103" s="74">
        <v>0.35493098649999999</v>
      </c>
      <c r="CN103" s="74">
        <v>0.35456834469999998</v>
      </c>
      <c r="CO103" s="74">
        <v>0.35420756240000001</v>
      </c>
      <c r="CP103" s="74">
        <v>0.3538486287</v>
      </c>
      <c r="CQ103" s="74">
        <v>0.35349153280000001</v>
      </c>
      <c r="CR103" s="74">
        <v>0.35313626320000002</v>
      </c>
      <c r="CS103" s="74">
        <v>0.35278280839999998</v>
      </c>
      <c r="CT103" s="74">
        <v>0.35243115660000002</v>
      </c>
      <c r="CU103" s="74">
        <v>0.3520812955</v>
      </c>
      <c r="CV103" s="74">
        <v>0.35173321289999998</v>
      </c>
      <c r="CW103" s="74">
        <v>0.35138689639999998</v>
      </c>
      <c r="CX103" s="74">
        <v>0.35104233309999999</v>
      </c>
      <c r="CY103" s="74">
        <v>0.35069951030000002</v>
      </c>
      <c r="CZ103" s="74">
        <v>0.35035841490000003</v>
      </c>
      <c r="DA103" s="74">
        <v>0.3500190339</v>
      </c>
      <c r="DB103" s="74">
        <v>0.34968135410000001</v>
      </c>
      <c r="DC103" s="74">
        <v>0.34934536189999998</v>
      </c>
      <c r="DD103" s="74">
        <v>0.34901104420000001</v>
      </c>
      <c r="DE103" s="74">
        <v>0.3486783873</v>
      </c>
      <c r="DF103" s="74">
        <v>0.34834737770000002</v>
      </c>
      <c r="DG103" s="74">
        <v>0.34801800179999998</v>
      </c>
      <c r="DH103" s="74">
        <v>0.34769024599999998</v>
      </c>
      <c r="DI103" s="74">
        <v>0.34736409660000001</v>
      </c>
      <c r="DJ103" s="74">
        <v>0.34703953980000002</v>
      </c>
      <c r="DK103" s="74">
        <v>0.34671656200000001</v>
      </c>
      <c r="DL103" s="74">
        <v>0.34639514939999999</v>
      </c>
      <c r="DM103" s="74">
        <v>0.34607528840000001</v>
      </c>
      <c r="DN103" s="74">
        <v>0.34575696509999998</v>
      </c>
      <c r="DO103" s="74">
        <v>0.34544016599999999</v>
      </c>
      <c r="DP103" s="74">
        <v>0.34512487730000002</v>
      </c>
      <c r="DQ103" s="74">
        <v>0.34481108539999999</v>
      </c>
      <c r="DR103" s="74">
        <v>0.34449877670000001</v>
      </c>
      <c r="DS103" s="74">
        <v>0.34418793749999999</v>
      </c>
      <c r="DT103" s="74">
        <v>0.34387855449999999</v>
      </c>
      <c r="DU103" s="74">
        <v>0.343570614</v>
      </c>
      <c r="DV103" s="74">
        <v>0.34326410260000001</v>
      </c>
      <c r="DW103" s="74">
        <v>0.34295900699999998</v>
      </c>
      <c r="DX103" s="74">
        <v>0.34265531389999998</v>
      </c>
      <c r="DY103" s="74">
        <v>0.3423530099</v>
      </c>
      <c r="DZ103" s="74">
        <v>0.34205208190000003</v>
      </c>
      <c r="EA103" s="74">
        <v>0.34175251680000002</v>
      </c>
      <c r="EB103" s="74">
        <v>0.34145430139999999</v>
      </c>
      <c r="EC103" s="74">
        <v>0.34115742290000001</v>
      </c>
      <c r="ED103" s="74">
        <v>0.34086186839999999</v>
      </c>
      <c r="EE103" s="74">
        <v>0.34056762480000002</v>
      </c>
      <c r="EF103" s="74">
        <v>0.34027467970000003</v>
      </c>
      <c r="EG103" s="74">
        <v>0.33998302019999999</v>
      </c>
      <c r="EH103" s="74">
        <v>0.33969263379999998</v>
      </c>
      <c r="EI103" s="74">
        <v>0.33940350790000001</v>
      </c>
      <c r="EJ103" s="74">
        <v>0.33911563030000003</v>
      </c>
      <c r="EK103" s="74">
        <v>0.33882898839999998</v>
      </c>
      <c r="EL103" s="74">
        <v>0.33854357019999998</v>
      </c>
      <c r="EM103" s="74">
        <v>0.33825936350000002</v>
      </c>
      <c r="EN103" s="74">
        <v>0.33797635609999999</v>
      </c>
      <c r="EO103" s="74">
        <v>0.33769453620000001</v>
      </c>
      <c r="EP103" s="74">
        <v>0.33741389179999998</v>
      </c>
      <c r="EQ103" s="74">
        <v>0.33713441119999998</v>
      </c>
      <c r="ER103" s="74">
        <v>0.3368560827</v>
      </c>
      <c r="ES103" s="74">
        <v>0.33657889470000002</v>
      </c>
      <c r="ET103" s="74">
        <v>0.33630283570000002</v>
      </c>
      <c r="EU103" s="74">
        <v>0.33602789420000001</v>
      </c>
      <c r="EV103" s="74">
        <v>0.3357540591</v>
      </c>
      <c r="EW103" s="74">
        <v>0.33548131889999999</v>
      </c>
      <c r="EX103" s="74">
        <v>0.33520966270000002</v>
      </c>
      <c r="EY103" s="74">
        <v>0.33493907940000001</v>
      </c>
      <c r="EZ103" s="74">
        <v>0.33466955809999999</v>
      </c>
      <c r="FA103" s="74">
        <v>0.3344010879</v>
      </c>
      <c r="FB103" s="74">
        <v>0.33413365810000001</v>
      </c>
      <c r="FC103" s="74">
        <v>0.333867258</v>
      </c>
      <c r="FD103" s="74">
        <v>0.3336018771</v>
      </c>
      <c r="FE103" s="74">
        <v>0.33333750490000003</v>
      </c>
      <c r="FF103" s="74">
        <v>0.3330741311</v>
      </c>
      <c r="FG103" s="74">
        <v>0.33281174530000002</v>
      </c>
      <c r="FH103" s="74">
        <v>0.33255033750000002</v>
      </c>
      <c r="FI103" s="74">
        <v>0.33228989749999999</v>
      </c>
      <c r="FJ103" s="74">
        <v>0.3320304154</v>
      </c>
      <c r="FK103" s="74">
        <v>0.33177188120000001</v>
      </c>
      <c r="FL103" s="74">
        <v>0.33151428509999997</v>
      </c>
      <c r="FM103" s="74">
        <v>0.33125761739999998</v>
      </c>
      <c r="FN103" s="74">
        <v>0.33100186860000003</v>
      </c>
      <c r="FO103" s="74">
        <v>0.33074702900000003</v>
      </c>
      <c r="FP103" s="74">
        <v>0.33049308919999998</v>
      </c>
      <c r="FQ103" s="74">
        <v>0.3302400399</v>
      </c>
    </row>
    <row r="104" spans="1:173" x14ac:dyDescent="0.25">
      <c r="A104" s="76">
        <v>102</v>
      </c>
      <c r="B104" s="74">
        <v>0.41352260099999999</v>
      </c>
      <c r="C104" s="74">
        <v>0.4134458929</v>
      </c>
      <c r="D104" s="74">
        <v>0.41335020589999999</v>
      </c>
      <c r="E104" s="74">
        <v>0.4132367884</v>
      </c>
      <c r="F104" s="74">
        <v>0.41310681859999998</v>
      </c>
      <c r="G104" s="74">
        <v>0.41296140869999998</v>
      </c>
      <c r="H104" s="74">
        <v>0.41280160789999998</v>
      </c>
      <c r="I104" s="74">
        <v>0.4126284066</v>
      </c>
      <c r="J104" s="74">
        <v>0.412442739</v>
      </c>
      <c r="K104" s="74">
        <v>0.41224548649999998</v>
      </c>
      <c r="L104" s="74">
        <v>0.4120374805</v>
      </c>
      <c r="M104" s="74">
        <v>0.41181950540000001</v>
      </c>
      <c r="N104" s="74">
        <v>0.41159230070000002</v>
      </c>
      <c r="O104" s="74">
        <v>0.41135656409999999</v>
      </c>
      <c r="P104" s="74">
        <v>0.411112953</v>
      </c>
      <c r="Q104" s="74">
        <v>0.41086208769999999</v>
      </c>
      <c r="R104" s="74">
        <v>0.4106045525</v>
      </c>
      <c r="S104" s="74">
        <v>0.4103408985</v>
      </c>
      <c r="T104" s="74">
        <v>0.41007164470000002</v>
      </c>
      <c r="U104" s="74">
        <v>0.4097972802</v>
      </c>
      <c r="V104" s="74">
        <v>0.40951826600000002</v>
      </c>
      <c r="W104" s="74">
        <v>0.409235036</v>
      </c>
      <c r="X104" s="74">
        <v>0.40894799900000001</v>
      </c>
      <c r="Y104" s="74">
        <v>0.40865753980000002</v>
      </c>
      <c r="Z104" s="74">
        <v>0.4083640207</v>
      </c>
      <c r="AA104" s="74">
        <v>0.40806778259999998</v>
      </c>
      <c r="AB104" s="74">
        <v>0.40776914619999999</v>
      </c>
      <c r="AC104" s="74">
        <v>0.4074684133</v>
      </c>
      <c r="AD104" s="74">
        <v>0.40716586760000001</v>
      </c>
      <c r="AE104" s="74">
        <v>0.40686177579999999</v>
      </c>
      <c r="AF104" s="74">
        <v>0.40655638849999998</v>
      </c>
      <c r="AG104" s="74">
        <v>0.40624994120000002</v>
      </c>
      <c r="AH104" s="74">
        <v>0.40594265509999999</v>
      </c>
      <c r="AI104" s="74">
        <v>0.40563473789999999</v>
      </c>
      <c r="AJ104" s="74">
        <v>0.4053263842</v>
      </c>
      <c r="AK104" s="74">
        <v>0.40501777690000001</v>
      </c>
      <c r="AL104" s="74">
        <v>0.40470908729999999</v>
      </c>
      <c r="AM104" s="74">
        <v>0.40440047600000001</v>
      </c>
      <c r="AN104" s="74">
        <v>0.4040920932</v>
      </c>
      <c r="AO104" s="74">
        <v>0.40378407989999998</v>
      </c>
      <c r="AP104" s="74">
        <v>0.4034765676</v>
      </c>
      <c r="AQ104" s="74">
        <v>0.40316967939999998</v>
      </c>
      <c r="AR104" s="74">
        <v>0.40286353050000001</v>
      </c>
      <c r="AS104" s="74">
        <v>0.40255822800000002</v>
      </c>
      <c r="AT104" s="74">
        <v>0.40225387219999997</v>
      </c>
      <c r="AU104" s="74">
        <v>0.40195055639999999</v>
      </c>
      <c r="AV104" s="74">
        <v>0.40164836749999999</v>
      </c>
      <c r="AW104" s="74">
        <v>0.40134738640000001</v>
      </c>
      <c r="AX104" s="74">
        <v>0.40104768800000001</v>
      </c>
      <c r="AY104" s="74">
        <v>0.40074934210000002</v>
      </c>
      <c r="AZ104" s="74">
        <v>0.40045241320000002</v>
      </c>
      <c r="BA104" s="74">
        <v>0.40015696109999999</v>
      </c>
      <c r="BB104" s="74">
        <v>0.39986304109999998</v>
      </c>
      <c r="BC104" s="74">
        <v>0.39957070389999999</v>
      </c>
      <c r="BD104" s="74">
        <v>0.39927999660000002</v>
      </c>
      <c r="BE104" s="74">
        <v>0.39899096210000001</v>
      </c>
      <c r="BF104" s="74">
        <v>0.39870363990000002</v>
      </c>
      <c r="BG104" s="74">
        <v>0.39841806619999998</v>
      </c>
      <c r="BH104" s="74">
        <v>0.39813427359999998</v>
      </c>
      <c r="BI104" s="74">
        <v>0.39785229220000001</v>
      </c>
      <c r="BJ104" s="74">
        <v>0.39757214880000002</v>
      </c>
      <c r="BK104" s="74">
        <v>0.39729386799999999</v>
      </c>
      <c r="BL104" s="74">
        <v>0.39701747139999999</v>
      </c>
      <c r="BM104" s="74">
        <v>0.39674297850000001</v>
      </c>
      <c r="BN104" s="74">
        <v>0.39647040649999998</v>
      </c>
      <c r="BO104" s="74">
        <v>0.39619977049999999</v>
      </c>
      <c r="BP104" s="74">
        <v>0.39593108360000001</v>
      </c>
      <c r="BQ104" s="74">
        <v>0.39566435709999997</v>
      </c>
      <c r="BR104" s="74">
        <v>0.3953996004</v>
      </c>
      <c r="BS104" s="74">
        <v>0.39513682150000001</v>
      </c>
      <c r="BT104" s="74">
        <v>0.39487602659999999</v>
      </c>
      <c r="BU104" s="74">
        <v>0.39461722049999998</v>
      </c>
      <c r="BV104" s="74">
        <v>0.39436040680000001</v>
      </c>
      <c r="BW104" s="74">
        <v>0.39410558759999997</v>
      </c>
      <c r="BX104" s="74">
        <v>0.39385276380000001</v>
      </c>
      <c r="BY104" s="74">
        <v>0.3936019355</v>
      </c>
      <c r="BZ104" s="74">
        <v>0.39335310130000001</v>
      </c>
      <c r="CA104" s="74">
        <v>0.39310625900000001</v>
      </c>
      <c r="CB104" s="74">
        <v>0.39286140559999999</v>
      </c>
      <c r="CC104" s="74">
        <v>0.39261853699999999</v>
      </c>
      <c r="CD104" s="74">
        <v>0.39237764829999999</v>
      </c>
      <c r="CE104" s="74">
        <v>0.3921387341</v>
      </c>
      <c r="CF104" s="74">
        <v>0.39190178799999997</v>
      </c>
      <c r="CG104" s="74">
        <v>0.39166680310000002</v>
      </c>
      <c r="CH104" s="74">
        <v>0.3914337718</v>
      </c>
      <c r="CI104" s="74">
        <v>0.39120268590000001</v>
      </c>
      <c r="CJ104" s="74">
        <v>0.39097353680000002</v>
      </c>
      <c r="CK104" s="74">
        <v>0.39074631520000003</v>
      </c>
      <c r="CL104" s="74">
        <v>0.39052101160000002</v>
      </c>
      <c r="CM104" s="74">
        <v>0.3902976158</v>
      </c>
      <c r="CN104" s="74">
        <v>0.39007611730000002</v>
      </c>
      <c r="CO104" s="74">
        <v>0.3898565054</v>
      </c>
      <c r="CP104" s="74">
        <v>0.38963876870000003</v>
      </c>
      <c r="CQ104" s="74">
        <v>0.38942289590000001</v>
      </c>
      <c r="CR104" s="74">
        <v>0.38920887510000002</v>
      </c>
      <c r="CS104" s="74">
        <v>0.3889966943</v>
      </c>
      <c r="CT104" s="74">
        <v>0.3887863412</v>
      </c>
      <c r="CU104" s="74">
        <v>0.38857780330000002</v>
      </c>
      <c r="CV104" s="74">
        <v>0.38837106780000002</v>
      </c>
      <c r="CW104" s="74">
        <v>0.38816612189999999</v>
      </c>
      <c r="CX104" s="74">
        <v>0.38796295250000001</v>
      </c>
      <c r="CY104" s="74">
        <v>0.38776154639999999</v>
      </c>
      <c r="CZ104" s="74">
        <v>0.38756189019999998</v>
      </c>
      <c r="DA104" s="74">
        <v>0.3873639706</v>
      </c>
      <c r="DB104" s="74">
        <v>0.38716777390000001</v>
      </c>
      <c r="DC104" s="74">
        <v>0.38697328660000002</v>
      </c>
      <c r="DD104" s="74">
        <v>0.38678049479999999</v>
      </c>
      <c r="DE104" s="74">
        <v>0.3865893849</v>
      </c>
      <c r="DF104" s="74">
        <v>0.38639994300000002</v>
      </c>
      <c r="DG104" s="74">
        <v>0.38621215510000001</v>
      </c>
      <c r="DH104" s="74">
        <v>0.38602600749999999</v>
      </c>
      <c r="DI104" s="74">
        <v>0.38584148610000002</v>
      </c>
      <c r="DJ104" s="74">
        <v>0.385658577</v>
      </c>
      <c r="DK104" s="74">
        <v>0.38547726630000001</v>
      </c>
      <c r="DL104" s="74">
        <v>0.38529753989999999</v>
      </c>
      <c r="DM104" s="74">
        <v>0.38511938400000001</v>
      </c>
      <c r="DN104" s="74">
        <v>0.38494278450000002</v>
      </c>
      <c r="DO104" s="74">
        <v>0.38476772770000001</v>
      </c>
      <c r="DP104" s="74">
        <v>0.38459419950000001</v>
      </c>
      <c r="DQ104" s="74">
        <v>0.38442218620000002</v>
      </c>
      <c r="DR104" s="74">
        <v>0.38425167380000003</v>
      </c>
      <c r="DS104" s="74">
        <v>0.38408264869999997</v>
      </c>
      <c r="DT104" s="74">
        <v>0.38391509709999999</v>
      </c>
      <c r="DU104" s="74">
        <v>0.3837490053</v>
      </c>
      <c r="DV104" s="74">
        <v>0.38358435969999999</v>
      </c>
      <c r="DW104" s="74">
        <v>0.38342114669999999</v>
      </c>
      <c r="DX104" s="74">
        <v>0.38325935280000001</v>
      </c>
      <c r="DY104" s="74">
        <v>0.38309896450000003</v>
      </c>
      <c r="DZ104" s="74">
        <v>0.38293996850000001</v>
      </c>
      <c r="EA104" s="74">
        <v>0.38278235160000001</v>
      </c>
      <c r="EB104" s="74">
        <v>0.38262610029999999</v>
      </c>
      <c r="EC104" s="74">
        <v>0.38247120159999998</v>
      </c>
      <c r="ED104" s="74">
        <v>0.3823176425</v>
      </c>
      <c r="EE104" s="74">
        <v>0.38216540980000002</v>
      </c>
      <c r="EF104" s="74">
        <v>0.3820144908</v>
      </c>
      <c r="EG104" s="74">
        <v>0.38186487250000001</v>
      </c>
      <c r="EH104" s="74">
        <v>0.3817165421</v>
      </c>
      <c r="EI104" s="74">
        <v>0.3815694872</v>
      </c>
      <c r="EJ104" s="74">
        <v>0.38142369500000001</v>
      </c>
      <c r="EK104" s="74">
        <v>0.38127915299999998</v>
      </c>
      <c r="EL104" s="74">
        <v>0.38113584900000003</v>
      </c>
      <c r="EM104" s="74">
        <v>0.38099377039999999</v>
      </c>
      <c r="EN104" s="74">
        <v>0.38085290529999999</v>
      </c>
      <c r="EO104" s="74">
        <v>0.3807132413</v>
      </c>
      <c r="EP104" s="74">
        <v>0.3805747666</v>
      </c>
      <c r="EQ104" s="74">
        <v>0.38043746909999998</v>
      </c>
      <c r="ER104" s="74">
        <v>0.38030133700000002</v>
      </c>
      <c r="ES104" s="74">
        <v>0.38016635850000002</v>
      </c>
      <c r="ET104" s="74">
        <v>0.38003252209999999</v>
      </c>
      <c r="EU104" s="74">
        <v>0.37989981610000001</v>
      </c>
      <c r="EV104" s="74">
        <v>0.37976822900000001</v>
      </c>
      <c r="EW104" s="74">
        <v>0.37963774960000002</v>
      </c>
      <c r="EX104" s="74">
        <v>0.37950836650000003</v>
      </c>
      <c r="EY104" s="74">
        <v>0.3793800685</v>
      </c>
      <c r="EZ104" s="74">
        <v>0.37925284460000003</v>
      </c>
      <c r="FA104" s="74">
        <v>0.37912668370000002</v>
      </c>
      <c r="FB104" s="74">
        <v>0.37900157499999998</v>
      </c>
      <c r="FC104" s="74">
        <v>0.3788775077</v>
      </c>
      <c r="FD104" s="74">
        <v>0.37875447109999999</v>
      </c>
      <c r="FE104" s="74">
        <v>0.3786324546</v>
      </c>
      <c r="FF104" s="74">
        <v>0.3785114476</v>
      </c>
      <c r="FG104" s="74">
        <v>0.3783914397</v>
      </c>
      <c r="FH104" s="74">
        <v>0.37827242059999999</v>
      </c>
      <c r="FI104" s="74">
        <v>0.37815438010000002</v>
      </c>
      <c r="FJ104" s="74">
        <v>0.37803730800000002</v>
      </c>
      <c r="FK104" s="74">
        <v>0.37792119439999999</v>
      </c>
      <c r="FL104" s="74">
        <v>0.3778060291</v>
      </c>
      <c r="FM104" s="74">
        <v>0.37769180250000001</v>
      </c>
      <c r="FN104" s="74">
        <v>0.37757850459999998</v>
      </c>
      <c r="FO104" s="74">
        <v>0.3774661259</v>
      </c>
      <c r="FP104" s="74">
        <v>0.37735465670000001</v>
      </c>
      <c r="FQ104" s="74">
        <v>0.37724408749999999</v>
      </c>
    </row>
    <row r="105" spans="1:173" x14ac:dyDescent="0.25">
      <c r="A105" s="76">
        <v>103</v>
      </c>
      <c r="B105" s="74">
        <v>0.43563849240000002</v>
      </c>
      <c r="C105" s="74">
        <v>0.43567258669999998</v>
      </c>
      <c r="D105" s="74">
        <v>0.43568876109999999</v>
      </c>
      <c r="E105" s="74">
        <v>0.43568821670000002</v>
      </c>
      <c r="F105" s="74">
        <v>0.43567208610000002</v>
      </c>
      <c r="G105" s="74">
        <v>0.43564143750000001</v>
      </c>
      <c r="H105" s="74">
        <v>0.43559727819999999</v>
      </c>
      <c r="I105" s="74">
        <v>0.43554055790000001</v>
      </c>
      <c r="J105" s="74">
        <v>0.43547217199999999</v>
      </c>
      <c r="K105" s="74">
        <v>0.4353929648</v>
      </c>
      <c r="L105" s="74">
        <v>0.435303732</v>
      </c>
      <c r="M105" s="74">
        <v>0.43520522360000002</v>
      </c>
      <c r="N105" s="74">
        <v>0.43509814679999997</v>
      </c>
      <c r="O105" s="74">
        <v>0.43498316770000001</v>
      </c>
      <c r="P105" s="74">
        <v>0.4348609141</v>
      </c>
      <c r="Q105" s="74">
        <v>0.43473197759999999</v>
      </c>
      <c r="R105" s="74">
        <v>0.43459691519999999</v>
      </c>
      <c r="S105" s="74">
        <v>0.43445625189999998</v>
      </c>
      <c r="T105" s="74">
        <v>0.43431048179999998</v>
      </c>
      <c r="U105" s="74">
        <v>0.43416007049999999</v>
      </c>
      <c r="V105" s="74">
        <v>0.43400545610000002</v>
      </c>
      <c r="W105" s="74">
        <v>0.43384705099999998</v>
      </c>
      <c r="X105" s="74">
        <v>0.43368524339999998</v>
      </c>
      <c r="Y105" s="74">
        <v>0.43352039850000001</v>
      </c>
      <c r="Z105" s="74">
        <v>0.43335285969999998</v>
      </c>
      <c r="AA105" s="74">
        <v>0.43318295029999998</v>
      </c>
      <c r="AB105" s="74">
        <v>0.43301097389999998</v>
      </c>
      <c r="AC105" s="74">
        <v>0.43283721609999998</v>
      </c>
      <c r="AD105" s="74">
        <v>0.4326619451</v>
      </c>
      <c r="AE105" s="74">
        <v>0.43248541299999999</v>
      </c>
      <c r="AF105" s="74">
        <v>0.43230785659999998</v>
      </c>
      <c r="AG105" s="74">
        <v>0.43212949779999998</v>
      </c>
      <c r="AH105" s="74">
        <v>0.43195054529999999</v>
      </c>
      <c r="AI105" s="74">
        <v>0.43177119460000002</v>
      </c>
      <c r="AJ105" s="74">
        <v>0.43159162890000002</v>
      </c>
      <c r="AK105" s="74">
        <v>0.43141202020000002</v>
      </c>
      <c r="AL105" s="74">
        <v>0.43123252940000001</v>
      </c>
      <c r="AM105" s="74">
        <v>0.4310533071</v>
      </c>
      <c r="AN105" s="74">
        <v>0.43087449420000001</v>
      </c>
      <c r="AO105" s="74">
        <v>0.43069622260000001</v>
      </c>
      <c r="AP105" s="74">
        <v>0.43051861549999998</v>
      </c>
      <c r="AQ105" s="74">
        <v>0.43034178769999998</v>
      </c>
      <c r="AR105" s="74">
        <v>0.43016584660000001</v>
      </c>
      <c r="AS105" s="74">
        <v>0.42999089219999997</v>
      </c>
      <c r="AT105" s="74">
        <v>0.42981701770000003</v>
      </c>
      <c r="AU105" s="74">
        <v>0.4296443097</v>
      </c>
      <c r="AV105" s="74">
        <v>0.42947284870000002</v>
      </c>
      <c r="AW105" s="74">
        <v>0.42930270970000001</v>
      </c>
      <c r="AX105" s="74">
        <v>0.42913396190000003</v>
      </c>
      <c r="AY105" s="74">
        <v>0.42896666950000001</v>
      </c>
      <c r="AZ105" s="74">
        <v>0.42880089199999999</v>
      </c>
      <c r="BA105" s="74">
        <v>0.4286366841</v>
      </c>
      <c r="BB105" s="74">
        <v>0.4284740964</v>
      </c>
      <c r="BC105" s="74">
        <v>0.42831317520000001</v>
      </c>
      <c r="BD105" s="74">
        <v>0.42815396319999999</v>
      </c>
      <c r="BE105" s="74">
        <v>0.42799649940000001</v>
      </c>
      <c r="BF105" s="74">
        <v>0.42784081940000002</v>
      </c>
      <c r="BG105" s="74">
        <v>0.42768695550000002</v>
      </c>
      <c r="BH105" s="74">
        <v>0.42753493720000002</v>
      </c>
      <c r="BI105" s="74">
        <v>0.42738479089999998</v>
      </c>
      <c r="BJ105" s="74">
        <v>0.42723654039999998</v>
      </c>
      <c r="BK105" s="74">
        <v>0.42709020710000001</v>
      </c>
      <c r="BL105" s="74">
        <v>0.42694580989999997</v>
      </c>
      <c r="BM105" s="74">
        <v>0.42680336540000002</v>
      </c>
      <c r="BN105" s="74">
        <v>0.42666288829999999</v>
      </c>
      <c r="BO105" s="74">
        <v>0.42652439110000001</v>
      </c>
      <c r="BP105" s="74">
        <v>0.42638788459999999</v>
      </c>
      <c r="BQ105" s="74">
        <v>0.42625337759999998</v>
      </c>
      <c r="BR105" s="74">
        <v>0.4261208776</v>
      </c>
      <c r="BS105" s="74">
        <v>0.42599039030000002</v>
      </c>
      <c r="BT105" s="74">
        <v>0.42586192010000001</v>
      </c>
      <c r="BU105" s="74">
        <v>0.42573546979999999</v>
      </c>
      <c r="BV105" s="74">
        <v>0.42561104119999998</v>
      </c>
      <c r="BW105" s="74">
        <v>0.42548863460000003</v>
      </c>
      <c r="BX105" s="74">
        <v>0.42536824950000002</v>
      </c>
      <c r="BY105" s="74">
        <v>0.42524988419999998</v>
      </c>
      <c r="BZ105" s="74">
        <v>0.42513353580000002</v>
      </c>
      <c r="CA105" s="74">
        <v>0.42501920069999999</v>
      </c>
      <c r="CB105" s="74">
        <v>0.42490687449999998</v>
      </c>
      <c r="CC105" s="74">
        <v>0.42479655179999998</v>
      </c>
      <c r="CD105" s="74">
        <v>0.42468822649999999</v>
      </c>
      <c r="CE105" s="74">
        <v>0.42458189190000001</v>
      </c>
      <c r="CF105" s="74">
        <v>0.42447754040000002</v>
      </c>
      <c r="CG105" s="74">
        <v>0.42437516400000003</v>
      </c>
      <c r="CH105" s="74">
        <v>0.42427475409999998</v>
      </c>
      <c r="CI105" s="74">
        <v>0.42417630150000002</v>
      </c>
      <c r="CJ105" s="74">
        <v>0.42407979649999999</v>
      </c>
      <c r="CK105" s="74">
        <v>0.42398522890000001</v>
      </c>
      <c r="CL105" s="74">
        <v>0.42389258829999998</v>
      </c>
      <c r="CM105" s="74">
        <v>0.4238018637</v>
      </c>
      <c r="CN105" s="74">
        <v>0.42371304370000001</v>
      </c>
      <c r="CO105" s="74">
        <v>0.4236261167</v>
      </c>
      <c r="CP105" s="74">
        <v>0.42354107070000002</v>
      </c>
      <c r="CQ105" s="74">
        <v>0.42345789350000002</v>
      </c>
      <c r="CR105" s="74">
        <v>0.4233765726</v>
      </c>
      <c r="CS105" s="74">
        <v>0.42329709519999997</v>
      </c>
      <c r="CT105" s="74">
        <v>0.42321944830000002</v>
      </c>
      <c r="CU105" s="74">
        <v>0.42314361890000002</v>
      </c>
      <c r="CV105" s="74">
        <v>0.42306959350000001</v>
      </c>
      <c r="CW105" s="74">
        <v>0.42299735869999999</v>
      </c>
      <c r="CX105" s="74">
        <v>0.42292690080000001</v>
      </c>
      <c r="CY105" s="74">
        <v>0.42285820610000002</v>
      </c>
      <c r="CZ105" s="74">
        <v>0.4227912607</v>
      </c>
      <c r="DA105" s="74">
        <v>0.42272605050000001</v>
      </c>
      <c r="DB105" s="74">
        <v>0.42266256159999999</v>
      </c>
      <c r="DC105" s="74">
        <v>0.42260077979999999</v>
      </c>
      <c r="DD105" s="74">
        <v>0.42254069100000002</v>
      </c>
      <c r="DE105" s="74">
        <v>0.42248228069999999</v>
      </c>
      <c r="DF105" s="74">
        <v>0.42242553490000001</v>
      </c>
      <c r="DG105" s="74">
        <v>0.42237043899999999</v>
      </c>
      <c r="DH105" s="74">
        <v>0.42231697889999997</v>
      </c>
      <c r="DI105" s="74">
        <v>0.4222651402</v>
      </c>
      <c r="DJ105" s="74">
        <v>0.42221490849999999</v>
      </c>
      <c r="DK105" s="74">
        <v>0.42216626940000002</v>
      </c>
      <c r="DL105" s="74">
        <v>0.42211920870000003</v>
      </c>
      <c r="DM105" s="74">
        <v>0.42207371189999998</v>
      </c>
      <c r="DN105" s="74">
        <v>0.42202976479999998</v>
      </c>
      <c r="DO105" s="74">
        <v>0.42198735320000003</v>
      </c>
      <c r="DP105" s="74">
        <v>0.42194646270000002</v>
      </c>
      <c r="DQ105" s="74">
        <v>0.42190707919999998</v>
      </c>
      <c r="DR105" s="74">
        <v>0.4218691886</v>
      </c>
      <c r="DS105" s="74">
        <v>0.42183277670000002</v>
      </c>
      <c r="DT105" s="74">
        <v>0.4217978295</v>
      </c>
      <c r="DU105" s="74">
        <v>0.42176433299999999</v>
      </c>
      <c r="DV105" s="74">
        <v>0.42173227330000002</v>
      </c>
      <c r="DW105" s="74">
        <v>0.42170163649999998</v>
      </c>
      <c r="DX105" s="74">
        <v>0.42167240880000001</v>
      </c>
      <c r="DY105" s="74">
        <v>0.42164457649999998</v>
      </c>
      <c r="DZ105" s="74">
        <v>0.42161812589999997</v>
      </c>
      <c r="EA105" s="74">
        <v>0.42159304349999999</v>
      </c>
      <c r="EB105" s="74">
        <v>0.42156931580000001</v>
      </c>
      <c r="EC105" s="74">
        <v>0.42154692929999998</v>
      </c>
      <c r="ED105" s="74">
        <v>0.42152587060000002</v>
      </c>
      <c r="EE105" s="74">
        <v>0.42150612669999998</v>
      </c>
      <c r="EF105" s="74">
        <v>0.42148768419999999</v>
      </c>
      <c r="EG105" s="74">
        <v>0.42147053020000003</v>
      </c>
      <c r="EH105" s="74">
        <v>0.4214546515</v>
      </c>
      <c r="EI105" s="74">
        <v>0.42144003540000002</v>
      </c>
      <c r="EJ105" s="74">
        <v>0.42142666899999998</v>
      </c>
      <c r="EK105" s="74">
        <v>0.42141453960000003</v>
      </c>
      <c r="EL105" s="74">
        <v>0.42140363460000002</v>
      </c>
      <c r="EM105" s="74">
        <v>0.42139394140000003</v>
      </c>
      <c r="EN105" s="74">
        <v>0.42138544770000003</v>
      </c>
      <c r="EO105" s="74">
        <v>0.42137814099999998</v>
      </c>
      <c r="EP105" s="74">
        <v>0.42137200920000001</v>
      </c>
      <c r="EQ105" s="74">
        <v>0.42136704000000003</v>
      </c>
      <c r="ER105" s="74">
        <v>0.4213632215</v>
      </c>
      <c r="ES105" s="74">
        <v>0.42136054169999998</v>
      </c>
      <c r="ET105" s="74">
        <v>0.42135898869999999</v>
      </c>
      <c r="EU105" s="74">
        <v>0.42135855080000001</v>
      </c>
      <c r="EV105" s="74">
        <v>0.42135921630000001</v>
      </c>
      <c r="EW105" s="74">
        <v>0.42136097360000002</v>
      </c>
      <c r="EX105" s="74">
        <v>0.42136381140000001</v>
      </c>
      <c r="EY105" s="74">
        <v>0.42136771820000002</v>
      </c>
      <c r="EZ105" s="74">
        <v>0.4213726827</v>
      </c>
      <c r="FA105" s="74">
        <v>0.42137869389999999</v>
      </c>
      <c r="FB105" s="74">
        <v>0.4213857406</v>
      </c>
      <c r="FC105" s="74">
        <v>0.42139381180000002</v>
      </c>
      <c r="FD105" s="74">
        <v>0.42140289669999997</v>
      </c>
      <c r="FE105" s="74">
        <v>0.42141298449999998</v>
      </c>
      <c r="FF105" s="74">
        <v>0.42142406449999997</v>
      </c>
      <c r="FG105" s="74">
        <v>0.42143612619999998</v>
      </c>
      <c r="FH105" s="74">
        <v>0.42144915890000001</v>
      </c>
      <c r="FI105" s="74">
        <v>0.42146315239999999</v>
      </c>
      <c r="FJ105" s="74">
        <v>0.4214780964</v>
      </c>
      <c r="FK105" s="74">
        <v>0.42149398059999998</v>
      </c>
      <c r="FL105" s="74">
        <v>0.42151079489999999</v>
      </c>
      <c r="FM105" s="74">
        <v>0.42152852940000002</v>
      </c>
      <c r="FN105" s="74">
        <v>0.42154717400000002</v>
      </c>
      <c r="FO105" s="74">
        <v>0.42156671899999998</v>
      </c>
      <c r="FP105" s="74">
        <v>0.42158715460000001</v>
      </c>
      <c r="FQ105" s="74">
        <v>0.4216084712</v>
      </c>
    </row>
    <row r="106" spans="1:173" x14ac:dyDescent="0.25">
      <c r="A106" s="76">
        <v>104</v>
      </c>
      <c r="B106" s="74">
        <v>0.4564582553</v>
      </c>
      <c r="C106" s="74">
        <v>0.45659004339999998</v>
      </c>
      <c r="D106" s="74">
        <v>0.45670503369999998</v>
      </c>
      <c r="E106" s="74">
        <v>0.45680437369999999</v>
      </c>
      <c r="F106" s="74">
        <v>0.45688914470000003</v>
      </c>
      <c r="G106" s="74">
        <v>0.45696036559999997</v>
      </c>
      <c r="H106" s="74">
        <v>0.45701899629999998</v>
      </c>
      <c r="I106" s="74">
        <v>0.45706594109999998</v>
      </c>
      <c r="J106" s="74">
        <v>0.45710205189999997</v>
      </c>
      <c r="K106" s="74">
        <v>0.45712813140000003</v>
      </c>
      <c r="L106" s="74">
        <v>0.45714493550000002</v>
      </c>
      <c r="M106" s="74">
        <v>0.45715317589999999</v>
      </c>
      <c r="N106" s="74">
        <v>0.45715352329999998</v>
      </c>
      <c r="O106" s="74">
        <v>0.45714660880000002</v>
      </c>
      <c r="P106" s="74">
        <v>0.45713302700000003</v>
      </c>
      <c r="Q106" s="74">
        <v>0.45711333729999998</v>
      </c>
      <c r="R106" s="74">
        <v>0.4570880665</v>
      </c>
      <c r="S106" s="74">
        <v>0.45705771020000002</v>
      </c>
      <c r="T106" s="74">
        <v>0.45702273510000002</v>
      </c>
      <c r="U106" s="74">
        <v>0.45698357979999998</v>
      </c>
      <c r="V106" s="74">
        <v>0.45694065719999999</v>
      </c>
      <c r="W106" s="74">
        <v>0.45689435550000002</v>
      </c>
      <c r="X106" s="74">
        <v>0.45684503980000002</v>
      </c>
      <c r="Y106" s="74">
        <v>0.45679305329999997</v>
      </c>
      <c r="Z106" s="74">
        <v>0.45673871840000002</v>
      </c>
      <c r="AA106" s="74">
        <v>0.45668233809999997</v>
      </c>
      <c r="AB106" s="74">
        <v>0.45662419720000003</v>
      </c>
      <c r="AC106" s="74">
        <v>0.45656456280000002</v>
      </c>
      <c r="AD106" s="74">
        <v>0.4565036858</v>
      </c>
      <c r="AE106" s="74">
        <v>0.45644180159999997</v>
      </c>
      <c r="AF106" s="74">
        <v>0.4563791311</v>
      </c>
      <c r="AG106" s="74">
        <v>0.45631588140000001</v>
      </c>
      <c r="AH106" s="74">
        <v>0.45625224650000001</v>
      </c>
      <c r="AI106" s="74">
        <v>0.45618840820000001</v>
      </c>
      <c r="AJ106" s="74">
        <v>0.45612453670000003</v>
      </c>
      <c r="AK106" s="74">
        <v>0.4560607914</v>
      </c>
      <c r="AL106" s="74">
        <v>0.45599732120000003</v>
      </c>
      <c r="AM106" s="74">
        <v>0.45593426549999999</v>
      </c>
      <c r="AN106" s="74">
        <v>0.4558717544</v>
      </c>
      <c r="AO106" s="74">
        <v>0.45580990919999997</v>
      </c>
      <c r="AP106" s="74">
        <v>0.45574884329999998</v>
      </c>
      <c r="AQ106" s="74">
        <v>0.45568866219999998</v>
      </c>
      <c r="AR106" s="74">
        <v>0.4556294642</v>
      </c>
      <c r="AS106" s="74">
        <v>0.45557134069999999</v>
      </c>
      <c r="AT106" s="74">
        <v>0.45551437680000001</v>
      </c>
      <c r="AU106" s="74">
        <v>0.45545865120000001</v>
      </c>
      <c r="AV106" s="74">
        <v>0.45540423699999999</v>
      </c>
      <c r="AW106" s="74">
        <v>0.45535120200000001</v>
      </c>
      <c r="AX106" s="74">
        <v>0.45529960860000002</v>
      </c>
      <c r="AY106" s="74">
        <v>0.45524951450000001</v>
      </c>
      <c r="AZ106" s="74">
        <v>0.45520097310000002</v>
      </c>
      <c r="BA106" s="74">
        <v>0.45515403300000001</v>
      </c>
      <c r="BB106" s="74">
        <v>0.45510873909999999</v>
      </c>
      <c r="BC106" s="74">
        <v>0.45506513250000002</v>
      </c>
      <c r="BD106" s="74">
        <v>0.45502325059999998</v>
      </c>
      <c r="BE106" s="74">
        <v>0.45498312740000002</v>
      </c>
      <c r="BF106" s="74">
        <v>0.45494479370000002</v>
      </c>
      <c r="BG106" s="74">
        <v>0.45490827740000001</v>
      </c>
      <c r="BH106" s="74">
        <v>0.4548736035</v>
      </c>
      <c r="BI106" s="74">
        <v>0.45484079430000002</v>
      </c>
      <c r="BJ106" s="74">
        <v>0.45480986979999999</v>
      </c>
      <c r="BK106" s="74">
        <v>0.45478084730000001</v>
      </c>
      <c r="BL106" s="74">
        <v>0.45475374219999998</v>
      </c>
      <c r="BM106" s="74">
        <v>0.45472856760000002</v>
      </c>
      <c r="BN106" s="74">
        <v>0.45470533470000002</v>
      </c>
      <c r="BO106" s="74">
        <v>0.45468405299999998</v>
      </c>
      <c r="BP106" s="74">
        <v>0.45466473000000002</v>
      </c>
      <c r="BQ106" s="74">
        <v>0.45464737170000002</v>
      </c>
      <c r="BR106" s="74">
        <v>0.45463198259999998</v>
      </c>
      <c r="BS106" s="74">
        <v>0.45461856569999998</v>
      </c>
      <c r="BT106" s="74">
        <v>0.45460712279999999</v>
      </c>
      <c r="BU106" s="74">
        <v>0.45459765419999998</v>
      </c>
      <c r="BV106" s="74">
        <v>0.45459015920000001</v>
      </c>
      <c r="BW106" s="74">
        <v>0.45458463599999999</v>
      </c>
      <c r="BX106" s="74">
        <v>0.45458108149999998</v>
      </c>
      <c r="BY106" s="74">
        <v>0.45457949190000002</v>
      </c>
      <c r="BZ106" s="74">
        <v>0.45457986239999998</v>
      </c>
      <c r="CA106" s="74">
        <v>0.4545821873</v>
      </c>
      <c r="CB106" s="74">
        <v>0.45458646019999999</v>
      </c>
      <c r="CC106" s="74">
        <v>0.45459267390000002</v>
      </c>
      <c r="CD106" s="74">
        <v>0.4546008205</v>
      </c>
      <c r="CE106" s="74">
        <v>0.4546108915</v>
      </c>
      <c r="CF106" s="74">
        <v>0.45462287769999998</v>
      </c>
      <c r="CG106" s="74">
        <v>0.45463676949999998</v>
      </c>
      <c r="CH106" s="74">
        <v>0.45465255650000003</v>
      </c>
      <c r="CI106" s="74">
        <v>0.45467022829999998</v>
      </c>
      <c r="CJ106" s="74">
        <v>0.4546897734</v>
      </c>
      <c r="CK106" s="74">
        <v>0.45471118059999999</v>
      </c>
      <c r="CL106" s="74">
        <v>0.45473443769999999</v>
      </c>
      <c r="CM106" s="74">
        <v>0.45475953250000001</v>
      </c>
      <c r="CN106" s="74">
        <v>0.45478645239999999</v>
      </c>
      <c r="CO106" s="74">
        <v>0.45481518450000002</v>
      </c>
      <c r="CP106" s="74">
        <v>0.45484571559999998</v>
      </c>
      <c r="CQ106" s="74">
        <v>0.4548780322</v>
      </c>
      <c r="CR106" s="74">
        <v>0.45491212079999999</v>
      </c>
      <c r="CS106" s="74">
        <v>0.45494796739999999</v>
      </c>
      <c r="CT106" s="74">
        <v>0.45498555800000001</v>
      </c>
      <c r="CU106" s="74">
        <v>0.45502487850000001</v>
      </c>
      <c r="CV106" s="74">
        <v>0.45506591429999999</v>
      </c>
      <c r="CW106" s="74">
        <v>0.45510865099999998</v>
      </c>
      <c r="CX106" s="74">
        <v>0.4551530741</v>
      </c>
      <c r="CY106" s="74">
        <v>0.4551991688</v>
      </c>
      <c r="CZ106" s="74">
        <v>0.45524692020000002</v>
      </c>
      <c r="DA106" s="74">
        <v>0.4552963136</v>
      </c>
      <c r="DB106" s="74">
        <v>0.45534733389999998</v>
      </c>
      <c r="DC106" s="74">
        <v>0.45539996620000001</v>
      </c>
      <c r="DD106" s="74">
        <v>0.45545419549999999</v>
      </c>
      <c r="DE106" s="74">
        <v>0.45551000660000002</v>
      </c>
      <c r="DF106" s="74">
        <v>0.4555673844</v>
      </c>
      <c r="DG106" s="74">
        <v>0.45562631399999998</v>
      </c>
      <c r="DH106" s="74">
        <v>0.45568678010000002</v>
      </c>
      <c r="DI106" s="74">
        <v>0.4557487677</v>
      </c>
      <c r="DJ106" s="74">
        <v>0.45581226159999999</v>
      </c>
      <c r="DK106" s="74">
        <v>0.45587724689999998</v>
      </c>
      <c r="DL106" s="74">
        <v>0.45594370839999998</v>
      </c>
      <c r="DM106" s="74">
        <v>0.45601163119999999</v>
      </c>
      <c r="DN106" s="74">
        <v>0.45608100019999998</v>
      </c>
      <c r="DO106" s="74">
        <v>0.45615180059999999</v>
      </c>
      <c r="DP106" s="74">
        <v>0.45622401740000001</v>
      </c>
      <c r="DQ106" s="74">
        <v>0.45629763579999999</v>
      </c>
      <c r="DR106" s="74">
        <v>0.45637264109999998</v>
      </c>
      <c r="DS106" s="74">
        <v>0.45644901850000003</v>
      </c>
      <c r="DT106" s="74">
        <v>0.45652675329999998</v>
      </c>
      <c r="DU106" s="74">
        <v>0.45660583110000003</v>
      </c>
      <c r="DV106" s="74">
        <v>0.45668623720000001</v>
      </c>
      <c r="DW106" s="74">
        <v>0.45676795720000002</v>
      </c>
      <c r="DX106" s="74">
        <v>0.45685097679999997</v>
      </c>
      <c r="DY106" s="74">
        <v>0.45693528169999997</v>
      </c>
      <c r="DZ106" s="74">
        <v>0.4570208577</v>
      </c>
      <c r="EA106" s="74">
        <v>0.45710769070000001</v>
      </c>
      <c r="EB106" s="74">
        <v>0.4571957666</v>
      </c>
      <c r="EC106" s="74">
        <v>0.45728507149999997</v>
      </c>
      <c r="ED106" s="74">
        <v>0.45737559160000002</v>
      </c>
      <c r="EE106" s="74">
        <v>0.45746731309999999</v>
      </c>
      <c r="EF106" s="74">
        <v>0.45756022239999999</v>
      </c>
      <c r="EG106" s="74">
        <v>0.45765430579999999</v>
      </c>
      <c r="EH106" s="74">
        <v>0.45774955000000001</v>
      </c>
      <c r="EI106" s="74">
        <v>0.45784594140000001</v>
      </c>
      <c r="EJ106" s="74">
        <v>0.45794346699999999</v>
      </c>
      <c r="EK106" s="74">
        <v>0.45804211340000001</v>
      </c>
      <c r="EL106" s="74">
        <v>0.45814186759999997</v>
      </c>
      <c r="EM106" s="74">
        <v>0.4582427167</v>
      </c>
      <c r="EN106" s="74">
        <v>0.4583446477</v>
      </c>
      <c r="EO106" s="74">
        <v>0.45844764799999999</v>
      </c>
      <c r="EP106" s="74">
        <v>0.45855170470000001</v>
      </c>
      <c r="EQ106" s="74">
        <v>0.45865680539999998</v>
      </c>
      <c r="ER106" s="74">
        <v>0.45876293750000002</v>
      </c>
      <c r="ES106" s="74">
        <v>0.45887008880000002</v>
      </c>
      <c r="ET106" s="74">
        <v>0.4589782469</v>
      </c>
      <c r="EU106" s="74">
        <v>0.45908739970000001</v>
      </c>
      <c r="EV106" s="74">
        <v>0.45919753520000001</v>
      </c>
      <c r="EW106" s="74">
        <v>0.4593086414</v>
      </c>
      <c r="EX106" s="74">
        <v>0.45942070639999999</v>
      </c>
      <c r="EY106" s="74">
        <v>0.45953371850000002</v>
      </c>
      <c r="EZ106" s="74">
        <v>0.45964766610000002</v>
      </c>
      <c r="FA106" s="74">
        <v>0.45976253769999997</v>
      </c>
      <c r="FB106" s="74">
        <v>0.45987832169999998</v>
      </c>
      <c r="FC106" s="74">
        <v>0.4599950069</v>
      </c>
      <c r="FD106" s="74">
        <v>0.46011258199999999</v>
      </c>
      <c r="FE106" s="74">
        <v>0.46023103589999997</v>
      </c>
      <c r="FF106" s="74">
        <v>0.46035035759999998</v>
      </c>
      <c r="FG106" s="74">
        <v>0.46047053609999999</v>
      </c>
      <c r="FH106" s="74">
        <v>0.46059156060000001</v>
      </c>
      <c r="FI106" s="74">
        <v>0.46071342050000003</v>
      </c>
      <c r="FJ106" s="74">
        <v>0.460836105</v>
      </c>
      <c r="FK106" s="74">
        <v>0.46095960359999999</v>
      </c>
      <c r="FL106" s="74">
        <v>0.46108390599999999</v>
      </c>
      <c r="FM106" s="74">
        <v>0.46120900170000001</v>
      </c>
      <c r="FN106" s="74">
        <v>0.4613348806</v>
      </c>
      <c r="FO106" s="74">
        <v>0.46146153249999999</v>
      </c>
      <c r="FP106" s="74">
        <v>0.4615889474</v>
      </c>
      <c r="FQ106" s="74">
        <v>0.46171711529999998</v>
      </c>
    </row>
    <row r="107" spans="1:173" x14ac:dyDescent="0.25">
      <c r="A107" s="76">
        <v>105</v>
      </c>
      <c r="B107" s="74">
        <v>0.47585078310000001</v>
      </c>
      <c r="C107" s="74">
        <v>0.47606541159999999</v>
      </c>
      <c r="D107" s="74">
        <v>0.47626436830000002</v>
      </c>
      <c r="E107" s="74">
        <v>0.4764487422</v>
      </c>
      <c r="F107" s="74">
        <v>0.47661955830000002</v>
      </c>
      <c r="G107" s="74">
        <v>0.47677778170000001</v>
      </c>
      <c r="H107" s="74">
        <v>0.47692432070000002</v>
      </c>
      <c r="I107" s="74">
        <v>0.47706003009999998</v>
      </c>
      <c r="J107" s="74">
        <v>0.47718571450000002</v>
      </c>
      <c r="K107" s="74">
        <v>0.47730213119999998</v>
      </c>
      <c r="L107" s="74">
        <v>0.47740999270000001</v>
      </c>
      <c r="M107" s="74">
        <v>0.47750996950000002</v>
      </c>
      <c r="N107" s="74">
        <v>0.47760269230000002</v>
      </c>
      <c r="O107" s="74">
        <v>0.47768875459999999</v>
      </c>
      <c r="P107" s="74">
        <v>0.47776871450000002</v>
      </c>
      <c r="Q107" s="74">
        <v>0.47784309689999999</v>
      </c>
      <c r="R107" s="74">
        <v>0.47791239549999998</v>
      </c>
      <c r="S107" s="74">
        <v>0.47797707430000003</v>
      </c>
      <c r="T107" s="74">
        <v>0.4780375697</v>
      </c>
      <c r="U107" s="74">
        <v>0.4780942916</v>
      </c>
      <c r="V107" s="74">
        <v>0.4781476254</v>
      </c>
      <c r="W107" s="74">
        <v>0.4781979328</v>
      </c>
      <c r="X107" s="74">
        <v>0.47824555400000002</v>
      </c>
      <c r="Y107" s="74">
        <v>0.47829080810000002</v>
      </c>
      <c r="Z107" s="74">
        <v>0.47833399459999998</v>
      </c>
      <c r="AA107" s="74">
        <v>0.47837539480000002</v>
      </c>
      <c r="AB107" s="74">
        <v>0.47841527239999998</v>
      </c>
      <c r="AC107" s="74">
        <v>0.4784538747</v>
      </c>
      <c r="AD107" s="74">
        <v>0.47849143370000002</v>
      </c>
      <c r="AE107" s="74">
        <v>0.47852816650000002</v>
      </c>
      <c r="AF107" s="74">
        <v>0.47856427680000002</v>
      </c>
      <c r="AG107" s="74">
        <v>0.47859995490000001</v>
      </c>
      <c r="AH107" s="74">
        <v>0.47863537919999999</v>
      </c>
      <c r="AI107" s="74">
        <v>0.47867071630000002</v>
      </c>
      <c r="AJ107" s="74">
        <v>0.47870612219999997</v>
      </c>
      <c r="AK107" s="74">
        <v>0.47874174219999999</v>
      </c>
      <c r="AL107" s="74">
        <v>0.47877771229999999</v>
      </c>
      <c r="AM107" s="74">
        <v>0.47881415919999998</v>
      </c>
      <c r="AN107" s="74">
        <v>0.4788512009</v>
      </c>
      <c r="AO107" s="74">
        <v>0.4788889475</v>
      </c>
      <c r="AP107" s="74">
        <v>0.47892750119999999</v>
      </c>
      <c r="AQ107" s="74">
        <v>0.47896695719999999</v>
      </c>
      <c r="AR107" s="74">
        <v>0.47900740359999999</v>
      </c>
      <c r="AS107" s="74">
        <v>0.47904892240000002</v>
      </c>
      <c r="AT107" s="74">
        <v>0.47909158940000002</v>
      </c>
      <c r="AU107" s="74">
        <v>0.47913547449999999</v>
      </c>
      <c r="AV107" s="74">
        <v>0.47918064259999998</v>
      </c>
      <c r="AW107" s="74">
        <v>0.47922715329999999</v>
      </c>
      <c r="AX107" s="74">
        <v>0.47927506139999998</v>
      </c>
      <c r="AY107" s="74">
        <v>0.47932441730000003</v>
      </c>
      <c r="AZ107" s="74">
        <v>0.47937526720000001</v>
      </c>
      <c r="BA107" s="74">
        <v>0.47942765310000002</v>
      </c>
      <c r="BB107" s="74">
        <v>0.47948161340000001</v>
      </c>
      <c r="BC107" s="74">
        <v>0.47953718299999998</v>
      </c>
      <c r="BD107" s="74">
        <v>0.47959439329999998</v>
      </c>
      <c r="BE107" s="74">
        <v>0.47965327270000002</v>
      </c>
      <c r="BF107" s="74">
        <v>0.47971384649999999</v>
      </c>
      <c r="BG107" s="74">
        <v>0.47977613749999998</v>
      </c>
      <c r="BH107" s="74">
        <v>0.47984016550000003</v>
      </c>
      <c r="BI107" s="74">
        <v>0.47990594800000003</v>
      </c>
      <c r="BJ107" s="74">
        <v>0.47997350049999998</v>
      </c>
      <c r="BK107" s="74">
        <v>0.4800428357</v>
      </c>
      <c r="BL107" s="74">
        <v>0.48011396480000001</v>
      </c>
      <c r="BM107" s="74">
        <v>0.48018689689999999</v>
      </c>
      <c r="BN107" s="74">
        <v>0.48026163910000003</v>
      </c>
      <c r="BO107" s="74">
        <v>0.48033819709999998</v>
      </c>
      <c r="BP107" s="74">
        <v>0.4804165748</v>
      </c>
      <c r="BQ107" s="74">
        <v>0.48049677470000002</v>
      </c>
      <c r="BR107" s="74">
        <v>0.48057879799999997</v>
      </c>
      <c r="BS107" s="74">
        <v>0.4806626443</v>
      </c>
      <c r="BT107" s="74">
        <v>0.48074831229999998</v>
      </c>
      <c r="BU107" s="74">
        <v>0.48083579939999999</v>
      </c>
      <c r="BV107" s="74">
        <v>0.48092510170000002</v>
      </c>
      <c r="BW107" s="74">
        <v>0.48101621480000001</v>
      </c>
      <c r="BX107" s="74">
        <v>0.48110913290000001</v>
      </c>
      <c r="BY107" s="74">
        <v>0.4812038495</v>
      </c>
      <c r="BZ107" s="74">
        <v>0.48130035719999997</v>
      </c>
      <c r="CA107" s="74">
        <v>0.48139864809999999</v>
      </c>
      <c r="CB107" s="74">
        <v>0.48149871319999998</v>
      </c>
      <c r="CC107" s="74">
        <v>0.48160054320000001</v>
      </c>
      <c r="CD107" s="74">
        <v>0.48170412779999999</v>
      </c>
      <c r="CE107" s="74">
        <v>0.48180945650000001</v>
      </c>
      <c r="CF107" s="74">
        <v>0.48191651800000002</v>
      </c>
      <c r="CG107" s="74">
        <v>0.48202530059999998</v>
      </c>
      <c r="CH107" s="74">
        <v>0.48213579220000002</v>
      </c>
      <c r="CI107" s="74">
        <v>0.48224798019999998</v>
      </c>
      <c r="CJ107" s="74">
        <v>0.4823618516</v>
      </c>
      <c r="CK107" s="74">
        <v>0.48247739319999999</v>
      </c>
      <c r="CL107" s="74">
        <v>0.48259459129999999</v>
      </c>
      <c r="CM107" s="74">
        <v>0.48271343179999998</v>
      </c>
      <c r="CN107" s="74">
        <v>0.48283390069999998</v>
      </c>
      <c r="CO107" s="74">
        <v>0.48295598340000001</v>
      </c>
      <c r="CP107" s="74">
        <v>0.48307966520000001</v>
      </c>
      <c r="CQ107" s="74">
        <v>0.48320493120000002</v>
      </c>
      <c r="CR107" s="74">
        <v>0.48333176639999997</v>
      </c>
      <c r="CS107" s="74">
        <v>0.48346015530000003</v>
      </c>
      <c r="CT107" s="74">
        <v>0.48359008279999999</v>
      </c>
      <c r="CU107" s="74">
        <v>0.48372153309999999</v>
      </c>
      <c r="CV107" s="74">
        <v>0.48385449079999998</v>
      </c>
      <c r="CW107" s="74">
        <v>0.48398893990000003</v>
      </c>
      <c r="CX107" s="74">
        <v>0.48412486469999999</v>
      </c>
      <c r="CY107" s="74">
        <v>0.4842622493</v>
      </c>
      <c r="CZ107" s="74">
        <v>0.48440107770000002</v>
      </c>
      <c r="DA107" s="74">
        <v>0.48454133389999998</v>
      </c>
      <c r="DB107" s="74">
        <v>0.48468300180000001</v>
      </c>
      <c r="DC107" s="74">
        <v>0.48482606550000001</v>
      </c>
      <c r="DD107" s="74">
        <v>0.48497050870000002</v>
      </c>
      <c r="DE107" s="74">
        <v>0.48511631550000001</v>
      </c>
      <c r="DF107" s="74">
        <v>0.4852634696</v>
      </c>
      <c r="DG107" s="74">
        <v>0.48541195520000002</v>
      </c>
      <c r="DH107" s="74">
        <v>0.48556175600000001</v>
      </c>
      <c r="DI107" s="74">
        <v>0.48571285609999998</v>
      </c>
      <c r="DJ107" s="74">
        <v>0.48586523939999998</v>
      </c>
      <c r="DK107" s="74">
        <v>0.48601889009999999</v>
      </c>
      <c r="DL107" s="74">
        <v>0.48617379220000001</v>
      </c>
      <c r="DM107" s="74">
        <v>0.48632992990000001</v>
      </c>
      <c r="DN107" s="74">
        <v>0.48648728730000002</v>
      </c>
      <c r="DO107" s="74">
        <v>0.48664584869999999</v>
      </c>
      <c r="DP107" s="74">
        <v>0.48680559839999998</v>
      </c>
      <c r="DQ107" s="74">
        <v>0.48696652089999998</v>
      </c>
      <c r="DR107" s="74">
        <v>0.48712860050000001</v>
      </c>
      <c r="DS107" s="74">
        <v>0.48729182189999998</v>
      </c>
      <c r="DT107" s="74">
        <v>0.4874561697</v>
      </c>
      <c r="DU107" s="74">
        <v>0.48762162860000002</v>
      </c>
      <c r="DV107" s="74">
        <v>0.48778818330000001</v>
      </c>
      <c r="DW107" s="74">
        <v>0.4879558188</v>
      </c>
      <c r="DX107" s="74">
        <v>0.48812452000000001</v>
      </c>
      <c r="DY107" s="74">
        <v>0.48829427209999998</v>
      </c>
      <c r="DZ107" s="74">
        <v>0.48846506010000001</v>
      </c>
      <c r="EA107" s="74">
        <v>0.48863686950000002</v>
      </c>
      <c r="EB107" s="74">
        <v>0.48880968540000003</v>
      </c>
      <c r="EC107" s="74">
        <v>0.48898349340000002</v>
      </c>
      <c r="ED107" s="74">
        <v>0.48915827919999999</v>
      </c>
      <c r="EE107" s="74">
        <v>0.4893340283</v>
      </c>
      <c r="EF107" s="74">
        <v>0.48951072649999999</v>
      </c>
      <c r="EG107" s="74">
        <v>0.48968835979999997</v>
      </c>
      <c r="EH107" s="74">
        <v>0.48986691409999999</v>
      </c>
      <c r="EI107" s="74">
        <v>0.49004637559999997</v>
      </c>
      <c r="EJ107" s="74">
        <v>0.49022673039999998</v>
      </c>
      <c r="EK107" s="74">
        <v>0.49040796489999999</v>
      </c>
      <c r="EL107" s="74">
        <v>0.49059006560000001</v>
      </c>
      <c r="EM107" s="74">
        <v>0.49077301899999998</v>
      </c>
      <c r="EN107" s="74">
        <v>0.4909568118</v>
      </c>
      <c r="EO107" s="74">
        <v>0.49114143069999999</v>
      </c>
      <c r="EP107" s="74">
        <v>0.49132686260000002</v>
      </c>
      <c r="EQ107" s="74">
        <v>0.49151309450000003</v>
      </c>
      <c r="ER107" s="74">
        <v>0.4917001137</v>
      </c>
      <c r="ES107" s="74">
        <v>0.49188790710000002</v>
      </c>
      <c r="ET107" s="74">
        <v>0.49207646240000003</v>
      </c>
      <c r="EU107" s="74">
        <v>0.4922657668</v>
      </c>
      <c r="EV107" s="74">
        <v>0.49245580789999999</v>
      </c>
      <c r="EW107" s="74">
        <v>0.49264657340000001</v>
      </c>
      <c r="EX107" s="74">
        <v>0.49283805120000002</v>
      </c>
      <c r="EY107" s="74">
        <v>0.49303022909999999</v>
      </c>
      <c r="EZ107" s="74">
        <v>0.49322309520000002</v>
      </c>
      <c r="FA107" s="74">
        <v>0.49341663749999998</v>
      </c>
      <c r="FB107" s="74">
        <v>0.49361084430000002</v>
      </c>
      <c r="FC107" s="74">
        <v>0.49380570400000001</v>
      </c>
      <c r="FD107" s="74">
        <v>0.494001205</v>
      </c>
      <c r="FE107" s="74">
        <v>0.49419733589999998</v>
      </c>
      <c r="FF107" s="74">
        <v>0.49439408540000002</v>
      </c>
      <c r="FG107" s="74">
        <v>0.49459144220000001</v>
      </c>
      <c r="FH107" s="74">
        <v>0.49478939529999999</v>
      </c>
      <c r="FI107" s="74">
        <v>0.49498793369999999</v>
      </c>
      <c r="FJ107" s="74">
        <v>0.49518704650000001</v>
      </c>
      <c r="FK107" s="74">
        <v>0.49538672290000002</v>
      </c>
      <c r="FL107" s="74">
        <v>0.49558695219999999</v>
      </c>
      <c r="FM107" s="74">
        <v>0.49578772389999998</v>
      </c>
      <c r="FN107" s="74">
        <v>0.49598902760000002</v>
      </c>
      <c r="FO107" s="74">
        <v>0.49619085280000003</v>
      </c>
      <c r="FP107" s="74">
        <v>0.49639318939999999</v>
      </c>
      <c r="FQ107" s="74">
        <v>0.4965960271</v>
      </c>
    </row>
    <row r="108" spans="1:173" x14ac:dyDescent="0.25">
      <c r="A108" s="76">
        <v>106</v>
      </c>
      <c r="B108" s="74">
        <v>0.49373682600000002</v>
      </c>
      <c r="C108" s="74">
        <v>0.49401871159999999</v>
      </c>
      <c r="D108" s="74">
        <v>0.4942860134</v>
      </c>
      <c r="E108" s="74">
        <v>0.494539758</v>
      </c>
      <c r="F108" s="74">
        <v>0.4947809105</v>
      </c>
      <c r="G108" s="74">
        <v>0.49501037860000002</v>
      </c>
      <c r="H108" s="74">
        <v>0.49522901580000001</v>
      </c>
      <c r="I108" s="74">
        <v>0.49543762450000001</v>
      </c>
      <c r="J108" s="74">
        <v>0.49563695899999999</v>
      </c>
      <c r="K108" s="74">
        <v>0.49582772870000003</v>
      </c>
      <c r="L108" s="74">
        <v>0.49601060019999998</v>
      </c>
      <c r="M108" s="74">
        <v>0.49618620000000002</v>
      </c>
      <c r="N108" s="74">
        <v>0.49635511719999997</v>
      </c>
      <c r="O108" s="74">
        <v>0.49651790499999998</v>
      </c>
      <c r="P108" s="74">
        <v>0.49667508329999999</v>
      </c>
      <c r="Q108" s="74">
        <v>0.4968271407</v>
      </c>
      <c r="R108" s="74">
        <v>0.49697453590000001</v>
      </c>
      <c r="S108" s="74">
        <v>0.49711769950000001</v>
      </c>
      <c r="T108" s="74">
        <v>0.4972570362</v>
      </c>
      <c r="U108" s="74">
        <v>0.49739292550000003</v>
      </c>
      <c r="V108" s="74">
        <v>0.49752572369999998</v>
      </c>
      <c r="W108" s="74">
        <v>0.49765576519999999</v>
      </c>
      <c r="X108" s="74">
        <v>0.4977833632</v>
      </c>
      <c r="Y108" s="74">
        <v>0.49790881199999998</v>
      </c>
      <c r="Z108" s="74">
        <v>0.4980323868</v>
      </c>
      <c r="AA108" s="74">
        <v>0.49815434600000003</v>
      </c>
      <c r="AB108" s="74">
        <v>0.49827493140000001</v>
      </c>
      <c r="AC108" s="74">
        <v>0.49839436920000002</v>
      </c>
      <c r="AD108" s="74">
        <v>0.49851287129999999</v>
      </c>
      <c r="AE108" s="74">
        <v>0.49863063590000001</v>
      </c>
      <c r="AF108" s="74">
        <v>0.49874784830000002</v>
      </c>
      <c r="AG108" s="74">
        <v>0.49886468140000001</v>
      </c>
      <c r="AH108" s="74">
        <v>0.49898129689999998</v>
      </c>
      <c r="AI108" s="74">
        <v>0.49909784569999999</v>
      </c>
      <c r="AJ108" s="74">
        <v>0.49921446819999998</v>
      </c>
      <c r="AK108" s="74">
        <v>0.4993312956</v>
      </c>
      <c r="AL108" s="74">
        <v>0.49944844989999998</v>
      </c>
      <c r="AM108" s="74">
        <v>0.49956604440000002</v>
      </c>
      <c r="AN108" s="74">
        <v>0.49968418460000003</v>
      </c>
      <c r="AO108" s="74">
        <v>0.49980296839999999</v>
      </c>
      <c r="AP108" s="74">
        <v>0.49992248649999999</v>
      </c>
      <c r="AQ108" s="74">
        <v>0.50004282290000002</v>
      </c>
      <c r="AR108" s="74">
        <v>0.50016405539999997</v>
      </c>
      <c r="AS108" s="74">
        <v>0.50028625559999995</v>
      </c>
      <c r="AT108" s="74">
        <v>0.50040948959999998</v>
      </c>
      <c r="AU108" s="74">
        <v>0.50053381829999999</v>
      </c>
      <c r="AV108" s="74">
        <v>0.50065929760000005</v>
      </c>
      <c r="AW108" s="74">
        <v>0.50078597849999995</v>
      </c>
      <c r="AX108" s="74">
        <v>0.50091390790000001</v>
      </c>
      <c r="AY108" s="74">
        <v>0.50104312839999998</v>
      </c>
      <c r="AZ108" s="74">
        <v>0.50117367850000005</v>
      </c>
      <c r="BA108" s="74">
        <v>0.50130559340000003</v>
      </c>
      <c r="BB108" s="74">
        <v>0.50143890459999996</v>
      </c>
      <c r="BC108" s="74">
        <v>0.50157364039999996</v>
      </c>
      <c r="BD108" s="74">
        <v>0.50170982590000002</v>
      </c>
      <c r="BE108" s="74">
        <v>0.50184748349999997</v>
      </c>
      <c r="BF108" s="74">
        <v>0.50198663290000001</v>
      </c>
      <c r="BG108" s="74">
        <v>0.50212729119999999</v>
      </c>
      <c r="BH108" s="74">
        <v>0.50226947300000002</v>
      </c>
      <c r="BI108" s="74">
        <v>0.50241319090000003</v>
      </c>
      <c r="BJ108" s="74">
        <v>0.50255845499999996</v>
      </c>
      <c r="BK108" s="74">
        <v>0.50270527389999997</v>
      </c>
      <c r="BL108" s="74">
        <v>0.50285365400000004</v>
      </c>
      <c r="BM108" s="74">
        <v>0.5030036001</v>
      </c>
      <c r="BN108" s="74">
        <v>0.50315511530000001</v>
      </c>
      <c r="BO108" s="74">
        <v>0.50330820129999998</v>
      </c>
      <c r="BP108" s="74">
        <v>0.50346285810000002</v>
      </c>
      <c r="BQ108" s="74">
        <v>0.50361908460000004</v>
      </c>
      <c r="BR108" s="74">
        <v>0.50377687839999996</v>
      </c>
      <c r="BS108" s="74">
        <v>0.50393623590000003</v>
      </c>
      <c r="BT108" s="74">
        <v>0.50409715219999995</v>
      </c>
      <c r="BU108" s="74">
        <v>0.50425962189999995</v>
      </c>
      <c r="BV108" s="74">
        <v>0.50442363800000001</v>
      </c>
      <c r="BW108" s="74">
        <v>0.50458919300000005</v>
      </c>
      <c r="BX108" s="74">
        <v>0.50475627860000005</v>
      </c>
      <c r="BY108" s="74">
        <v>0.50492488550000003</v>
      </c>
      <c r="BZ108" s="74">
        <v>0.50509500370000004</v>
      </c>
      <c r="CA108" s="74">
        <v>0.50526662280000001</v>
      </c>
      <c r="CB108" s="74">
        <v>0.50543973149999999</v>
      </c>
      <c r="CC108" s="74">
        <v>0.50561431800000001</v>
      </c>
      <c r="CD108" s="74">
        <v>0.50579037000000004</v>
      </c>
      <c r="CE108" s="74">
        <v>0.50596787480000005</v>
      </c>
      <c r="CF108" s="74">
        <v>0.50614681890000002</v>
      </c>
      <c r="CG108" s="74">
        <v>0.50632718880000005</v>
      </c>
      <c r="CH108" s="74">
        <v>0.50650897039999998</v>
      </c>
      <c r="CI108" s="74">
        <v>0.50669214920000005</v>
      </c>
      <c r="CJ108" s="74">
        <v>0.50687671059999995</v>
      </c>
      <c r="CK108" s="74">
        <v>0.50706263949999997</v>
      </c>
      <c r="CL108" s="74">
        <v>0.50724992059999996</v>
      </c>
      <c r="CM108" s="74">
        <v>0.50743853829999996</v>
      </c>
      <c r="CN108" s="74">
        <v>0.50762847690000001</v>
      </c>
      <c r="CO108" s="74">
        <v>0.50781972050000002</v>
      </c>
      <c r="CP108" s="74">
        <v>0.50801225279999995</v>
      </c>
      <c r="CQ108" s="74">
        <v>0.50820605770000005</v>
      </c>
      <c r="CR108" s="74">
        <v>0.50840111880000005</v>
      </c>
      <c r="CS108" s="74">
        <v>0.50859741930000002</v>
      </c>
      <c r="CT108" s="74">
        <v>0.50879494290000005</v>
      </c>
      <c r="CU108" s="74">
        <v>0.50899367259999995</v>
      </c>
      <c r="CV108" s="74">
        <v>0.50919359180000001</v>
      </c>
      <c r="CW108" s="74">
        <v>0.50939468349999995</v>
      </c>
      <c r="CX108" s="74">
        <v>0.50959693090000002</v>
      </c>
      <c r="CY108" s="74">
        <v>0.50980031699999995</v>
      </c>
      <c r="CZ108" s="74">
        <v>0.51000482499999999</v>
      </c>
      <c r="DA108" s="74">
        <v>0.51021043779999997</v>
      </c>
      <c r="DB108" s="74">
        <v>0.51041713850000003</v>
      </c>
      <c r="DC108" s="74">
        <v>0.5106249101</v>
      </c>
      <c r="DD108" s="74">
        <v>0.51083373580000002</v>
      </c>
      <c r="DE108" s="74">
        <v>0.51104359860000004</v>
      </c>
      <c r="DF108" s="74">
        <v>0.51125448159999998</v>
      </c>
      <c r="DG108" s="74">
        <v>0.51146636810000001</v>
      </c>
      <c r="DH108" s="74">
        <v>0.51167924119999997</v>
      </c>
      <c r="DI108" s="74">
        <v>0.51189308430000002</v>
      </c>
      <c r="DJ108" s="74">
        <v>0.51210788060000001</v>
      </c>
      <c r="DK108" s="74">
        <v>0.51232361370000001</v>
      </c>
      <c r="DL108" s="74">
        <v>0.51254026699999999</v>
      </c>
      <c r="DM108" s="74">
        <v>0.51275782400000003</v>
      </c>
      <c r="DN108" s="74">
        <v>0.5129762685</v>
      </c>
      <c r="DO108" s="74">
        <v>0.51319558399999998</v>
      </c>
      <c r="DP108" s="74">
        <v>0.51341575449999999</v>
      </c>
      <c r="DQ108" s="74">
        <v>0.51363676390000002</v>
      </c>
      <c r="DR108" s="74">
        <v>0.51385859619999996</v>
      </c>
      <c r="DS108" s="74">
        <v>0.51408123549999996</v>
      </c>
      <c r="DT108" s="74">
        <v>0.51430466590000001</v>
      </c>
      <c r="DU108" s="74">
        <v>0.51452887199999997</v>
      </c>
      <c r="DV108" s="74">
        <v>0.51475383799999996</v>
      </c>
      <c r="DW108" s="74">
        <v>0.51497954850000005</v>
      </c>
      <c r="DX108" s="74">
        <v>0.51520598809999996</v>
      </c>
      <c r="DY108" s="74">
        <v>0.51543314169999999</v>
      </c>
      <c r="DZ108" s="74">
        <v>0.5156609942</v>
      </c>
      <c r="EA108" s="74">
        <v>0.51588953039999996</v>
      </c>
      <c r="EB108" s="74">
        <v>0.51611873559999999</v>
      </c>
      <c r="EC108" s="74">
        <v>0.51634859499999997</v>
      </c>
      <c r="ED108" s="74">
        <v>0.51657909400000002</v>
      </c>
      <c r="EE108" s="74">
        <v>0.51681021800000004</v>
      </c>
      <c r="EF108" s="74">
        <v>0.51704195269999997</v>
      </c>
      <c r="EG108" s="74">
        <v>0.51727428369999995</v>
      </c>
      <c r="EH108" s="74">
        <v>0.51750719710000004</v>
      </c>
      <c r="EI108" s="74">
        <v>0.51774067869999996</v>
      </c>
      <c r="EJ108" s="74">
        <v>0.5179747146</v>
      </c>
      <c r="EK108" s="74">
        <v>0.51820929120000003</v>
      </c>
      <c r="EL108" s="74">
        <v>0.51844439480000004</v>
      </c>
      <c r="EM108" s="74">
        <v>0.51868001180000001</v>
      </c>
      <c r="EN108" s="74">
        <v>0.51891612890000005</v>
      </c>
      <c r="EO108" s="74">
        <v>0.51915273289999997</v>
      </c>
      <c r="EP108" s="74">
        <v>0.5193898106</v>
      </c>
      <c r="EQ108" s="74">
        <v>0.51962734909999997</v>
      </c>
      <c r="ER108" s="74">
        <v>0.51986533540000002</v>
      </c>
      <c r="ES108" s="74">
        <v>0.52010375689999999</v>
      </c>
      <c r="ET108" s="74">
        <v>0.52034260089999995</v>
      </c>
      <c r="EU108" s="74">
        <v>0.52058185499999998</v>
      </c>
      <c r="EV108" s="74">
        <v>0.52082150670000005</v>
      </c>
      <c r="EW108" s="74">
        <v>0.52106154390000003</v>
      </c>
      <c r="EX108" s="74">
        <v>0.52130195440000004</v>
      </c>
      <c r="EY108" s="74">
        <v>0.52154272629999998</v>
      </c>
      <c r="EZ108" s="74">
        <v>0.52178384769999997</v>
      </c>
      <c r="FA108" s="74">
        <v>0.52202530690000004</v>
      </c>
      <c r="FB108" s="74">
        <v>0.52226709230000001</v>
      </c>
      <c r="FC108" s="74">
        <v>0.52250919240000004</v>
      </c>
      <c r="FD108" s="74">
        <v>0.52275159589999998</v>
      </c>
      <c r="FE108" s="74">
        <v>0.52299429139999998</v>
      </c>
      <c r="FF108" s="74">
        <v>0.52323726800000003</v>
      </c>
      <c r="FG108" s="74">
        <v>0.5234805146</v>
      </c>
      <c r="FH108" s="74">
        <v>0.52372402029999998</v>
      </c>
      <c r="FI108" s="74">
        <v>0.52396777429999997</v>
      </c>
      <c r="FJ108" s="74">
        <v>0.52421176619999998</v>
      </c>
      <c r="FK108" s="74">
        <v>0.52445598520000003</v>
      </c>
      <c r="FL108" s="74">
        <v>0.52470042120000004</v>
      </c>
      <c r="FM108" s="74">
        <v>0.52494506360000004</v>
      </c>
      <c r="FN108" s="74">
        <v>0.52518990249999997</v>
      </c>
      <c r="FO108" s="74">
        <v>0.52543492780000001</v>
      </c>
      <c r="FP108" s="74">
        <v>0.52568012939999997</v>
      </c>
      <c r="FQ108" s="74">
        <v>0.52592549769999997</v>
      </c>
    </row>
    <row r="109" spans="1:173" x14ac:dyDescent="0.25">
      <c r="A109" s="76">
        <v>107</v>
      </c>
      <c r="B109" s="74">
        <v>0.51008501969999998</v>
      </c>
      <c r="C109" s="74">
        <v>0.51041874030000001</v>
      </c>
      <c r="D109" s="74">
        <v>0.51073890150000001</v>
      </c>
      <c r="E109" s="74">
        <v>0.51104646460000003</v>
      </c>
      <c r="F109" s="74">
        <v>0.51134233269999996</v>
      </c>
      <c r="G109" s="74">
        <v>0.51162735380000002</v>
      </c>
      <c r="H109" s="74">
        <v>0.51190232459999996</v>
      </c>
      <c r="I109" s="74">
        <v>0.51216799310000005</v>
      </c>
      <c r="J109" s="74">
        <v>0.51242506180000003</v>
      </c>
      <c r="K109" s="74">
        <v>0.51267419049999996</v>
      </c>
      <c r="L109" s="74">
        <v>0.51291599850000003</v>
      </c>
      <c r="M109" s="74">
        <v>0.51315106710000002</v>
      </c>
      <c r="N109" s="74">
        <v>0.51337994239999996</v>
      </c>
      <c r="O109" s="74">
        <v>0.51360313629999998</v>
      </c>
      <c r="P109" s="74">
        <v>0.51382112970000005</v>
      </c>
      <c r="Q109" s="74">
        <v>0.51403437350000003</v>
      </c>
      <c r="R109" s="74">
        <v>0.51424329069999997</v>
      </c>
      <c r="S109" s="74">
        <v>0.51444827790000003</v>
      </c>
      <c r="T109" s="74">
        <v>0.51464970710000002</v>
      </c>
      <c r="U109" s="74">
        <v>0.51484792700000004</v>
      </c>
      <c r="V109" s="74">
        <v>0.515043264</v>
      </c>
      <c r="W109" s="74">
        <v>0.51523602440000005</v>
      </c>
      <c r="X109" s="74">
        <v>0.5154264945</v>
      </c>
      <c r="Y109" s="74">
        <v>0.51561494279999998</v>
      </c>
      <c r="Z109" s="74">
        <v>0.51580162009999997</v>
      </c>
      <c r="AA109" s="74">
        <v>0.51598676129999999</v>
      </c>
      <c r="AB109" s="74">
        <v>0.51617058579999997</v>
      </c>
      <c r="AC109" s="74">
        <v>0.51635329870000002</v>
      </c>
      <c r="AD109" s="74">
        <v>0.51653509149999999</v>
      </c>
      <c r="AE109" s="74">
        <v>0.51671614310000002</v>
      </c>
      <c r="AF109" s="74">
        <v>0.51689662010000004</v>
      </c>
      <c r="AG109" s="74">
        <v>0.51707667810000002</v>
      </c>
      <c r="AH109" s="74">
        <v>0.51725646179999996</v>
      </c>
      <c r="AI109" s="74">
        <v>0.5174361059</v>
      </c>
      <c r="AJ109" s="74">
        <v>0.51761573569999997</v>
      </c>
      <c r="AK109" s="74">
        <v>0.51779546769999996</v>
      </c>
      <c r="AL109" s="74">
        <v>0.51797540980000001</v>
      </c>
      <c r="AM109" s="74">
        <v>0.51815566229999999</v>
      </c>
      <c r="AN109" s="74">
        <v>0.5183363178</v>
      </c>
      <c r="AO109" s="74">
        <v>0.51851746200000004</v>
      </c>
      <c r="AP109" s="74">
        <v>0.5186991742</v>
      </c>
      <c r="AQ109" s="74">
        <v>0.51888152730000003</v>
      </c>
      <c r="AR109" s="74">
        <v>0.51906458840000003</v>
      </c>
      <c r="AS109" s="74">
        <v>0.51924841919999998</v>
      </c>
      <c r="AT109" s="74">
        <v>0.5194330761</v>
      </c>
      <c r="AU109" s="74">
        <v>0.51961861090000006</v>
      </c>
      <c r="AV109" s="74">
        <v>0.51980507060000003</v>
      </c>
      <c r="AW109" s="74">
        <v>0.51999249810000003</v>
      </c>
      <c r="AX109" s="74">
        <v>0.52018093200000004</v>
      </c>
      <c r="AY109" s="74">
        <v>0.52037040729999995</v>
      </c>
      <c r="AZ109" s="74">
        <v>0.52056095550000003</v>
      </c>
      <c r="BA109" s="74">
        <v>0.52075260450000005</v>
      </c>
      <c r="BB109" s="74">
        <v>0.52094537939999996</v>
      </c>
      <c r="BC109" s="74">
        <v>0.52113930190000002</v>
      </c>
      <c r="BD109" s="74">
        <v>0.52133439130000003</v>
      </c>
      <c r="BE109" s="74">
        <v>0.52153066410000004</v>
      </c>
      <c r="BF109" s="74">
        <v>0.5217281345</v>
      </c>
      <c r="BG109" s="74">
        <v>0.52192681419999998</v>
      </c>
      <c r="BH109" s="74">
        <v>0.52212671290000001</v>
      </c>
      <c r="BI109" s="74">
        <v>0.52232783819999995</v>
      </c>
      <c r="BJ109" s="74">
        <v>0.52253019590000005</v>
      </c>
      <c r="BK109" s="74">
        <v>0.52273378999999998</v>
      </c>
      <c r="BL109" s="74">
        <v>0.52293862280000003</v>
      </c>
      <c r="BM109" s="74">
        <v>0.52314469500000005</v>
      </c>
      <c r="BN109" s="74">
        <v>0.52335200589999997</v>
      </c>
      <c r="BO109" s="74">
        <v>0.52356055349999997</v>
      </c>
      <c r="BP109" s="74">
        <v>0.52377033449999999</v>
      </c>
      <c r="BQ109" s="74">
        <v>0.52398134439999999</v>
      </c>
      <c r="BR109" s="74">
        <v>0.52419357759999996</v>
      </c>
      <c r="BS109" s="74">
        <v>0.5244070274</v>
      </c>
      <c r="BT109" s="74">
        <v>0.52462168629999995</v>
      </c>
      <c r="BU109" s="74">
        <v>0.52483754569999996</v>
      </c>
      <c r="BV109" s="74">
        <v>0.52505459649999997</v>
      </c>
      <c r="BW109" s="74">
        <v>0.52527282829999999</v>
      </c>
      <c r="BX109" s="74">
        <v>0.52549223060000005</v>
      </c>
      <c r="BY109" s="74">
        <v>0.52571279179999997</v>
      </c>
      <c r="BZ109" s="74">
        <v>0.52593449989999996</v>
      </c>
      <c r="CA109" s="74">
        <v>0.52615734209999998</v>
      </c>
      <c r="CB109" s="74">
        <v>0.52638130549999995</v>
      </c>
      <c r="CC109" s="74">
        <v>0.52660637629999996</v>
      </c>
      <c r="CD109" s="74">
        <v>0.52683254040000005</v>
      </c>
      <c r="CE109" s="74">
        <v>0.52705978350000005</v>
      </c>
      <c r="CF109" s="74">
        <v>0.52728809060000004</v>
      </c>
      <c r="CG109" s="74">
        <v>0.52751744649999999</v>
      </c>
      <c r="CH109" s="74">
        <v>0.52774783589999996</v>
      </c>
      <c r="CI109" s="74">
        <v>0.52797924289999998</v>
      </c>
      <c r="CJ109" s="74">
        <v>0.52821165150000005</v>
      </c>
      <c r="CK109" s="74">
        <v>0.52844504560000005</v>
      </c>
      <c r="CL109" s="74">
        <v>0.52867940859999996</v>
      </c>
      <c r="CM109" s="74">
        <v>0.52891472399999995</v>
      </c>
      <c r="CN109" s="74">
        <v>0.52915097509999998</v>
      </c>
      <c r="CO109" s="74">
        <v>0.52938814489999997</v>
      </c>
      <c r="CP109" s="74">
        <v>0.52962621639999996</v>
      </c>
      <c r="CQ109" s="74">
        <v>0.5298651727</v>
      </c>
      <c r="CR109" s="74">
        <v>0.53010499639999997</v>
      </c>
      <c r="CS109" s="74">
        <v>0.53034567040000002</v>
      </c>
      <c r="CT109" s="74">
        <v>0.53058717740000005</v>
      </c>
      <c r="CU109" s="74">
        <v>0.53082949999999995</v>
      </c>
      <c r="CV109" s="74">
        <v>0.53107262099999997</v>
      </c>
      <c r="CW109" s="74">
        <v>0.53131652289999998</v>
      </c>
      <c r="CX109" s="74">
        <v>0.5315611885</v>
      </c>
      <c r="CY109" s="74">
        <v>0.53180660040000005</v>
      </c>
      <c r="CZ109" s="74">
        <v>0.53205274130000002</v>
      </c>
      <c r="DA109" s="74">
        <v>0.53229959390000003</v>
      </c>
      <c r="DB109" s="74">
        <v>0.53254714110000001</v>
      </c>
      <c r="DC109" s="74">
        <v>0.53279536549999995</v>
      </c>
      <c r="DD109" s="74">
        <v>0.53304425010000001</v>
      </c>
      <c r="DE109" s="74">
        <v>0.53329377789999999</v>
      </c>
      <c r="DF109" s="74">
        <v>0.53354393190000005</v>
      </c>
      <c r="DG109" s="74">
        <v>0.53379469509999999</v>
      </c>
      <c r="DH109" s="74">
        <v>0.5340460507</v>
      </c>
      <c r="DI109" s="74">
        <v>0.534297982</v>
      </c>
      <c r="DJ109" s="74">
        <v>0.53455047239999998</v>
      </c>
      <c r="DK109" s="74">
        <v>0.53480350539999999</v>
      </c>
      <c r="DL109" s="74">
        <v>0.5350570644</v>
      </c>
      <c r="DM109" s="74">
        <v>0.53531113330000002</v>
      </c>
      <c r="DN109" s="74">
        <v>0.53556569570000001</v>
      </c>
      <c r="DO109" s="74">
        <v>0.53582073559999999</v>
      </c>
      <c r="DP109" s="74">
        <v>0.53607623699999996</v>
      </c>
      <c r="DQ109" s="74">
        <v>0.53633218410000005</v>
      </c>
      <c r="DR109" s="74">
        <v>0.53658856109999997</v>
      </c>
      <c r="DS109" s="74">
        <v>0.53684535249999998</v>
      </c>
      <c r="DT109" s="74">
        <v>0.53710254270000002</v>
      </c>
      <c r="DU109" s="74">
        <v>0.53736011640000003</v>
      </c>
      <c r="DV109" s="74">
        <v>0.5376180585</v>
      </c>
      <c r="DW109" s="74">
        <v>0.53787635389999999</v>
      </c>
      <c r="DX109" s="74">
        <v>0.5381349876</v>
      </c>
      <c r="DY109" s="74">
        <v>0.53839394480000002</v>
      </c>
      <c r="DZ109" s="74">
        <v>0.53865321089999996</v>
      </c>
      <c r="EA109" s="74">
        <v>0.53891277140000005</v>
      </c>
      <c r="EB109" s="74">
        <v>0.53917261189999999</v>
      </c>
      <c r="EC109" s="74">
        <v>0.53943271820000005</v>
      </c>
      <c r="ED109" s="74">
        <v>0.53969307619999995</v>
      </c>
      <c r="EE109" s="74">
        <v>0.539953672</v>
      </c>
      <c r="EF109" s="74">
        <v>0.54021449180000003</v>
      </c>
      <c r="EG109" s="74">
        <v>0.54047552180000002</v>
      </c>
      <c r="EH109" s="74">
        <v>0.54073674869999999</v>
      </c>
      <c r="EI109" s="74">
        <v>0.54099815900000003</v>
      </c>
      <c r="EJ109" s="74">
        <v>0.54125973959999996</v>
      </c>
      <c r="EK109" s="74">
        <v>0.54152147740000001</v>
      </c>
      <c r="EL109" s="74">
        <v>0.5417833594</v>
      </c>
      <c r="EM109" s="74">
        <v>0.54204537289999999</v>
      </c>
      <c r="EN109" s="74">
        <v>0.54230750520000004</v>
      </c>
      <c r="EO109" s="74">
        <v>0.54256974390000001</v>
      </c>
      <c r="EP109" s="74">
        <v>0.54283207659999999</v>
      </c>
      <c r="EQ109" s="74">
        <v>0.54309449119999997</v>
      </c>
      <c r="ER109" s="74">
        <v>0.54335697549999995</v>
      </c>
      <c r="ES109" s="74">
        <v>0.54361951770000005</v>
      </c>
      <c r="ET109" s="74">
        <v>0.54388210589999997</v>
      </c>
      <c r="EU109" s="74">
        <v>0.54414472869999997</v>
      </c>
      <c r="EV109" s="74">
        <v>0.54440737439999998</v>
      </c>
      <c r="EW109" s="74">
        <v>0.54467003169999995</v>
      </c>
      <c r="EX109" s="74">
        <v>0.54493268959999996</v>
      </c>
      <c r="EY109" s="74">
        <v>0.54519533679999999</v>
      </c>
      <c r="EZ109" s="74">
        <v>0.5454579624</v>
      </c>
      <c r="FA109" s="74">
        <v>0.54572055580000001</v>
      </c>
      <c r="FB109" s="74">
        <v>0.54598310620000001</v>
      </c>
      <c r="FC109" s="74">
        <v>0.54624560310000003</v>
      </c>
      <c r="FD109" s="74">
        <v>0.54650803619999999</v>
      </c>
      <c r="FE109" s="74">
        <v>0.54677039530000004</v>
      </c>
      <c r="FF109" s="74">
        <v>0.54703267010000001</v>
      </c>
      <c r="FG109" s="74">
        <v>0.54729485089999996</v>
      </c>
      <c r="FH109" s="74">
        <v>0.54755692759999997</v>
      </c>
      <c r="FI109" s="74">
        <v>0.54781889070000001</v>
      </c>
      <c r="FJ109" s="74">
        <v>0.54808073059999995</v>
      </c>
      <c r="FK109" s="74">
        <v>0.54834243780000003</v>
      </c>
      <c r="FL109" s="74">
        <v>0.54860400300000001</v>
      </c>
      <c r="FM109" s="74">
        <v>0.54886541700000002</v>
      </c>
      <c r="FN109" s="74">
        <v>0.54912667069999999</v>
      </c>
      <c r="FO109" s="74">
        <v>0.54938775539999996</v>
      </c>
      <c r="FP109" s="74">
        <v>0.54964866199999995</v>
      </c>
      <c r="FQ109" s="74">
        <v>0.54990938209999995</v>
      </c>
    </row>
    <row r="110" spans="1:173" x14ac:dyDescent="0.25">
      <c r="A110" s="76">
        <v>108</v>
      </c>
      <c r="B110" s="74">
        <v>0.52490553340000001</v>
      </c>
      <c r="C110" s="74">
        <v>0.52527653600000002</v>
      </c>
      <c r="D110" s="74">
        <v>0.52563492769999998</v>
      </c>
      <c r="E110" s="74">
        <v>0.52598160350000001</v>
      </c>
      <c r="F110" s="74">
        <v>0.52631740309999997</v>
      </c>
      <c r="G110" s="74">
        <v>0.52664311409999998</v>
      </c>
      <c r="H110" s="74">
        <v>0.52695947539999999</v>
      </c>
      <c r="I110" s="74">
        <v>0.52726718029999997</v>
      </c>
      <c r="J110" s="74">
        <v>0.52756687879999997</v>
      </c>
      <c r="K110" s="74">
        <v>0.52785918070000004</v>
      </c>
      <c r="L110" s="74">
        <v>0.52814465759999996</v>
      </c>
      <c r="M110" s="74">
        <v>0.52842384549999999</v>
      </c>
      <c r="N110" s="74">
        <v>0.52869724709999999</v>
      </c>
      <c r="O110" s="74">
        <v>0.52896533329999995</v>
      </c>
      <c r="P110" s="74">
        <v>0.52922854539999997</v>
      </c>
      <c r="Q110" s="74">
        <v>0.52948729699999997</v>
      </c>
      <c r="R110" s="74">
        <v>0.52974197550000002</v>
      </c>
      <c r="S110" s="74">
        <v>0.52999294340000003</v>
      </c>
      <c r="T110" s="74">
        <v>0.53024054030000001</v>
      </c>
      <c r="U110" s="74">
        <v>0.53048508400000005</v>
      </c>
      <c r="V110" s="74">
        <v>0.53072687190000001</v>
      </c>
      <c r="W110" s="74">
        <v>0.5309661819</v>
      </c>
      <c r="X110" s="74">
        <v>0.53120327379999999</v>
      </c>
      <c r="Y110" s="74">
        <v>0.53143839069999999</v>
      </c>
      <c r="Z110" s="74">
        <v>0.53167175929999999</v>
      </c>
      <c r="AA110" s="74">
        <v>0.53190359139999999</v>
      </c>
      <c r="AB110" s="74">
        <v>0.5321340846</v>
      </c>
      <c r="AC110" s="74">
        <v>0.53236342290000005</v>
      </c>
      <c r="AD110" s="74">
        <v>0.53259177820000003</v>
      </c>
      <c r="AE110" s="74">
        <v>0.53281931029999996</v>
      </c>
      <c r="AF110" s="74">
        <v>0.53304616780000003</v>
      </c>
      <c r="AG110" s="74">
        <v>0.53327248920000003</v>
      </c>
      <c r="AH110" s="74">
        <v>0.53349840280000005</v>
      </c>
      <c r="AI110" s="74">
        <v>0.53372402779999994</v>
      </c>
      <c r="AJ110" s="74">
        <v>0.53394947469999998</v>
      </c>
      <c r="AK110" s="74">
        <v>0.53417484589999997</v>
      </c>
      <c r="AL110" s="74">
        <v>0.53440023599999997</v>
      </c>
      <c r="AM110" s="74">
        <v>0.5346257324</v>
      </c>
      <c r="AN110" s="74">
        <v>0.53485141560000005</v>
      </c>
      <c r="AO110" s="74">
        <v>0.53507735990000005</v>
      </c>
      <c r="AP110" s="74">
        <v>0.53530363339999998</v>
      </c>
      <c r="AQ110" s="74">
        <v>0.53553029860000001</v>
      </c>
      <c r="AR110" s="74">
        <v>0.53575741269999999</v>
      </c>
      <c r="AS110" s="74">
        <v>0.53598502790000002</v>
      </c>
      <c r="AT110" s="74">
        <v>0.53621319180000004</v>
      </c>
      <c r="AU110" s="74">
        <v>0.53644194739999995</v>
      </c>
      <c r="AV110" s="74">
        <v>0.53667133369999998</v>
      </c>
      <c r="AW110" s="74">
        <v>0.53690138580000002</v>
      </c>
      <c r="AX110" s="74">
        <v>0.53713213510000002</v>
      </c>
      <c r="AY110" s="74">
        <v>0.53736360959999996</v>
      </c>
      <c r="AZ110" s="74">
        <v>0.5375958341</v>
      </c>
      <c r="BA110" s="74">
        <v>0.53782883029999995</v>
      </c>
      <c r="BB110" s="74">
        <v>0.53806261730000005</v>
      </c>
      <c r="BC110" s="74">
        <v>0.53829721119999996</v>
      </c>
      <c r="BD110" s="74">
        <v>0.53853262589999995</v>
      </c>
      <c r="BE110" s="74">
        <v>0.53876887279999996</v>
      </c>
      <c r="BF110" s="74">
        <v>0.5390059613</v>
      </c>
      <c r="BG110" s="74">
        <v>0.5392438987</v>
      </c>
      <c r="BH110" s="74">
        <v>0.53948269010000005</v>
      </c>
      <c r="BI110" s="74">
        <v>0.53972233920000001</v>
      </c>
      <c r="BJ110" s="74">
        <v>0.53996284800000005</v>
      </c>
      <c r="BK110" s="74">
        <v>0.54020421669999996</v>
      </c>
      <c r="BL110" s="74">
        <v>0.54044644409999998</v>
      </c>
      <c r="BM110" s="74">
        <v>0.54068952790000002</v>
      </c>
      <c r="BN110" s="74">
        <v>0.5409334643</v>
      </c>
      <c r="BO110" s="74">
        <v>0.54117824830000005</v>
      </c>
      <c r="BP110" s="74">
        <v>0.54142387400000003</v>
      </c>
      <c r="BQ110" s="74">
        <v>0.5416703343</v>
      </c>
      <c r="BR110" s="74">
        <v>0.54191762119999998</v>
      </c>
      <c r="BS110" s="74">
        <v>0.54216572590000001</v>
      </c>
      <c r="BT110" s="74">
        <v>0.54241463860000005</v>
      </c>
      <c r="BU110" s="74">
        <v>0.54266434910000005</v>
      </c>
      <c r="BV110" s="74">
        <v>0.54291484609999996</v>
      </c>
      <c r="BW110" s="74">
        <v>0.54316611780000001</v>
      </c>
      <c r="BX110" s="74">
        <v>0.54341815199999999</v>
      </c>
      <c r="BY110" s="74">
        <v>0.54367093580000003</v>
      </c>
      <c r="BZ110" s="74">
        <v>0.54392445570000003</v>
      </c>
      <c r="CA110" s="74">
        <v>0.54417869789999995</v>
      </c>
      <c r="CB110" s="74">
        <v>0.54443364809999995</v>
      </c>
      <c r="CC110" s="74">
        <v>0.54468929180000003</v>
      </c>
      <c r="CD110" s="74">
        <v>0.54494561389999996</v>
      </c>
      <c r="CE110" s="74">
        <v>0.54520259910000002</v>
      </c>
      <c r="CF110" s="74">
        <v>0.54546023200000004</v>
      </c>
      <c r="CG110" s="74">
        <v>0.54571849660000005</v>
      </c>
      <c r="CH110" s="74">
        <v>0.54597737690000003</v>
      </c>
      <c r="CI110" s="74">
        <v>0.5462368567</v>
      </c>
      <c r="CJ110" s="74">
        <v>0.54649691970000003</v>
      </c>
      <c r="CK110" s="74">
        <v>0.54675754919999997</v>
      </c>
      <c r="CL110" s="74">
        <v>0.54701872870000001</v>
      </c>
      <c r="CM110" s="74">
        <v>0.54728044129999998</v>
      </c>
      <c r="CN110" s="74">
        <v>0.54754267010000002</v>
      </c>
      <c r="CO110" s="74">
        <v>0.54780539839999998</v>
      </c>
      <c r="CP110" s="74">
        <v>0.54806860899999998</v>
      </c>
      <c r="CQ110" s="74">
        <v>0.54833228499999997</v>
      </c>
      <c r="CR110" s="74">
        <v>0.54859640939999998</v>
      </c>
      <c r="CS110" s="74">
        <v>0.54886096510000004</v>
      </c>
      <c r="CT110" s="74">
        <v>0.54912593509999996</v>
      </c>
      <c r="CU110" s="74">
        <v>0.5493913024</v>
      </c>
      <c r="CV110" s="74">
        <v>0.54965704999999998</v>
      </c>
      <c r="CW110" s="74">
        <v>0.54992316100000005</v>
      </c>
      <c r="CX110" s="74">
        <v>0.55018961860000004</v>
      </c>
      <c r="CY110" s="74">
        <v>0.55045640579999999</v>
      </c>
      <c r="CZ110" s="74">
        <v>0.55072350599999997</v>
      </c>
      <c r="DA110" s="74">
        <v>0.55099090240000004</v>
      </c>
      <c r="DB110" s="74">
        <v>0.55125857850000004</v>
      </c>
      <c r="DC110" s="74">
        <v>0.55152651779999995</v>
      </c>
      <c r="DD110" s="74">
        <v>0.55179470389999996</v>
      </c>
      <c r="DE110" s="74">
        <v>0.55206312049999995</v>
      </c>
      <c r="DF110" s="74">
        <v>0.55233175140000002</v>
      </c>
      <c r="DG110" s="74">
        <v>0.55260058059999995</v>
      </c>
      <c r="DH110" s="74">
        <v>0.55286959209999997</v>
      </c>
      <c r="DI110" s="74">
        <v>0.55313877</v>
      </c>
      <c r="DJ110" s="74">
        <v>0.55340809879999997</v>
      </c>
      <c r="DK110" s="74">
        <v>0.55367756290000003</v>
      </c>
      <c r="DL110" s="74">
        <v>0.55394714680000001</v>
      </c>
      <c r="DM110" s="74">
        <v>0.55421683519999998</v>
      </c>
      <c r="DN110" s="74">
        <v>0.55448661310000003</v>
      </c>
      <c r="DO110" s="74">
        <v>0.55475646540000001</v>
      </c>
      <c r="DP110" s="74">
        <v>0.55502637730000004</v>
      </c>
      <c r="DQ110" s="74">
        <v>0.55529633410000001</v>
      </c>
      <c r="DR110" s="74">
        <v>0.55556632120000005</v>
      </c>
      <c r="DS110" s="74">
        <v>0.55583632439999997</v>
      </c>
      <c r="DT110" s="74">
        <v>0.55610632920000003</v>
      </c>
      <c r="DU110" s="74">
        <v>0.55637632179999996</v>
      </c>
      <c r="DV110" s="74">
        <v>0.55664628819999995</v>
      </c>
      <c r="DW110" s="74">
        <v>0.55691621449999995</v>
      </c>
      <c r="DX110" s="74">
        <v>0.55718608729999997</v>
      </c>
      <c r="DY110" s="74">
        <v>0.55745589309999999</v>
      </c>
      <c r="DZ110" s="74">
        <v>0.55772561850000002</v>
      </c>
      <c r="EA110" s="74">
        <v>0.55799525059999999</v>
      </c>
      <c r="EB110" s="74">
        <v>0.55826477640000005</v>
      </c>
      <c r="EC110" s="74">
        <v>0.55853418300000002</v>
      </c>
      <c r="ED110" s="74">
        <v>0.55880345789999997</v>
      </c>
      <c r="EE110" s="74">
        <v>0.55907258859999998</v>
      </c>
      <c r="EF110" s="74">
        <v>0.55934156290000003</v>
      </c>
      <c r="EG110" s="74">
        <v>0.55961036850000001</v>
      </c>
      <c r="EH110" s="74">
        <v>0.55987899350000003</v>
      </c>
      <c r="EI110" s="74">
        <v>0.56014742610000001</v>
      </c>
      <c r="EJ110" s="74">
        <v>0.5604156548</v>
      </c>
      <c r="EK110" s="74">
        <v>0.56068366790000002</v>
      </c>
      <c r="EL110" s="74">
        <v>0.56095145410000002</v>
      </c>
      <c r="EM110" s="74">
        <v>0.5612190024</v>
      </c>
      <c r="EN110" s="74">
        <v>0.56148630170000002</v>
      </c>
      <c r="EO110" s="74">
        <v>0.56175334119999998</v>
      </c>
      <c r="EP110" s="74">
        <v>0.56202011019999998</v>
      </c>
      <c r="EQ110" s="74">
        <v>0.56228659820000004</v>
      </c>
      <c r="ER110" s="74">
        <v>0.56255279479999998</v>
      </c>
      <c r="ES110" s="74">
        <v>0.56281868980000005</v>
      </c>
      <c r="ET110" s="74">
        <v>0.56308427309999998</v>
      </c>
      <c r="EU110" s="74">
        <v>0.56334953489999995</v>
      </c>
      <c r="EV110" s="74">
        <v>0.56361446550000005</v>
      </c>
      <c r="EW110" s="74">
        <v>0.56387905510000003</v>
      </c>
      <c r="EX110" s="74">
        <v>0.5641432945</v>
      </c>
      <c r="EY110" s="74">
        <v>0.56440717429999998</v>
      </c>
      <c r="EZ110" s="74">
        <v>0.56467068529999997</v>
      </c>
      <c r="FA110" s="74">
        <v>0.56493381860000003</v>
      </c>
      <c r="FB110" s="74">
        <v>0.56519656529999995</v>
      </c>
      <c r="FC110" s="74">
        <v>0.56545891680000004</v>
      </c>
      <c r="FD110" s="74">
        <v>0.56572086450000003</v>
      </c>
      <c r="FE110" s="74">
        <v>0.56598239989999999</v>
      </c>
      <c r="FF110" s="74">
        <v>0.56624351490000002</v>
      </c>
      <c r="FG110" s="74">
        <v>0.56650420130000001</v>
      </c>
      <c r="FH110" s="74">
        <v>0.56676445109999996</v>
      </c>
      <c r="FI110" s="74">
        <v>0.56702425649999999</v>
      </c>
      <c r="FJ110" s="74">
        <v>0.56728360980000003</v>
      </c>
      <c r="FK110" s="74">
        <v>0.56754250340000001</v>
      </c>
      <c r="FL110" s="74">
        <v>0.56780092989999997</v>
      </c>
      <c r="FM110" s="74">
        <v>0.56805888199999999</v>
      </c>
      <c r="FN110" s="74">
        <v>0.56831635250000001</v>
      </c>
      <c r="FO110" s="74">
        <v>0.56857333450000003</v>
      </c>
      <c r="FP110" s="74">
        <v>0.5688298209</v>
      </c>
      <c r="FQ110" s="74">
        <v>0.56908580509999995</v>
      </c>
    </row>
    <row r="111" spans="1:173" x14ac:dyDescent="0.25">
      <c r="A111" s="76">
        <v>109</v>
      </c>
      <c r="B111" s="74">
        <v>0.53824239870000001</v>
      </c>
      <c r="C111" s="74">
        <v>0.53863750109999997</v>
      </c>
      <c r="D111" s="74">
        <v>0.53902086329999999</v>
      </c>
      <c r="E111" s="74">
        <v>0.53939331400000001</v>
      </c>
      <c r="F111" s="74">
        <v>0.53975562960000001</v>
      </c>
      <c r="G111" s="74">
        <v>0.54010853780000001</v>
      </c>
      <c r="H111" s="74">
        <v>0.54045272020000001</v>
      </c>
      <c r="I111" s="74">
        <v>0.54078881550000002</v>
      </c>
      <c r="J111" s="74">
        <v>0.54111742190000001</v>
      </c>
      <c r="K111" s="74">
        <v>0.54143909990000005</v>
      </c>
      <c r="L111" s="74">
        <v>0.54175437420000006</v>
      </c>
      <c r="M111" s="74">
        <v>0.54206373610000003</v>
      </c>
      <c r="N111" s="74">
        <v>0.54236764569999996</v>
      </c>
      <c r="O111" s="74">
        <v>0.54266653359999995</v>
      </c>
      <c r="P111" s="74">
        <v>0.54296080270000002</v>
      </c>
      <c r="Q111" s="74">
        <v>0.54325082999999996</v>
      </c>
      <c r="R111" s="74">
        <v>0.54353696799999995</v>
      </c>
      <c r="S111" s="74">
        <v>0.54381954629999996</v>
      </c>
      <c r="T111" s="74">
        <v>0.54409887320000005</v>
      </c>
      <c r="U111" s="74">
        <v>0.54437523639999996</v>
      </c>
      <c r="V111" s="74">
        <v>0.54464890499999996</v>
      </c>
      <c r="W111" s="74">
        <v>0.54492012990000005</v>
      </c>
      <c r="X111" s="74">
        <v>0.54518914539999996</v>
      </c>
      <c r="Y111" s="74">
        <v>0.54545617010000003</v>
      </c>
      <c r="Z111" s="74">
        <v>0.54572140759999999</v>
      </c>
      <c r="AA111" s="74">
        <v>0.5459850477</v>
      </c>
      <c r="AB111" s="74">
        <v>0.54624726710000004</v>
      </c>
      <c r="AC111" s="74">
        <v>0.54650823010000005</v>
      </c>
      <c r="AD111" s="74">
        <v>0.54676808970000002</v>
      </c>
      <c r="AE111" s="74">
        <v>0.54702698780000003</v>
      </c>
      <c r="AF111" s="74">
        <v>0.5472850561</v>
      </c>
      <c r="AG111" s="74">
        <v>0.54754241690000005</v>
      </c>
      <c r="AH111" s="74">
        <v>0.5477991834</v>
      </c>
      <c r="AI111" s="74">
        <v>0.54805546029999996</v>
      </c>
      <c r="AJ111" s="74">
        <v>0.54831134420000005</v>
      </c>
      <c r="AK111" s="74">
        <v>0.54856692470000001</v>
      </c>
      <c r="AL111" s="74">
        <v>0.54882228389999999</v>
      </c>
      <c r="AM111" s="74">
        <v>0.54907749750000001</v>
      </c>
      <c r="AN111" s="74">
        <v>0.54933263499999996</v>
      </c>
      <c r="AO111" s="74">
        <v>0.54958776030000001</v>
      </c>
      <c r="AP111" s="74">
        <v>0.54984293139999996</v>
      </c>
      <c r="AQ111" s="74">
        <v>0.55009820149999999</v>
      </c>
      <c r="AR111" s="74">
        <v>0.55035361890000001</v>
      </c>
      <c r="AS111" s="74">
        <v>0.55060922759999997</v>
      </c>
      <c r="AT111" s="74">
        <v>0.55086506690000003</v>
      </c>
      <c r="AU111" s="74">
        <v>0.55112117270000005</v>
      </c>
      <c r="AV111" s="74">
        <v>0.55137757669999998</v>
      </c>
      <c r="AW111" s="74">
        <v>0.55163430739999997</v>
      </c>
      <c r="AX111" s="74">
        <v>0.55189138999999998</v>
      </c>
      <c r="AY111" s="74">
        <v>0.55214884649999996</v>
      </c>
      <c r="AZ111" s="74">
        <v>0.55240669620000005</v>
      </c>
      <c r="BA111" s="74">
        <v>0.55266495569999996</v>
      </c>
      <c r="BB111" s="74">
        <v>0.55292363889999996</v>
      </c>
      <c r="BC111" s="74">
        <v>0.55318275750000001</v>
      </c>
      <c r="BD111" s="74">
        <v>0.55344232120000003</v>
      </c>
      <c r="BE111" s="74">
        <v>0.55370233719999995</v>
      </c>
      <c r="BF111" s="74">
        <v>0.55396281130000002</v>
      </c>
      <c r="BG111" s="74">
        <v>0.55422374699999999</v>
      </c>
      <c r="BH111" s="74">
        <v>0.55448514650000003</v>
      </c>
      <c r="BI111" s="74">
        <v>0.55474701039999996</v>
      </c>
      <c r="BJ111" s="74">
        <v>0.55500933770000005</v>
      </c>
      <c r="BK111" s="74">
        <v>0.55527212619999999</v>
      </c>
      <c r="BL111" s="74">
        <v>0.55553537230000005</v>
      </c>
      <c r="BM111" s="74">
        <v>0.55579907139999996</v>
      </c>
      <c r="BN111" s="74">
        <v>0.55606321780000001</v>
      </c>
      <c r="BO111" s="74">
        <v>0.55632780469999998</v>
      </c>
      <c r="BP111" s="74">
        <v>0.55659282440000002</v>
      </c>
      <c r="BQ111" s="74">
        <v>0.55685826849999998</v>
      </c>
      <c r="BR111" s="74">
        <v>0.55712412759999996</v>
      </c>
      <c r="BS111" s="74">
        <v>0.55739039160000003</v>
      </c>
      <c r="BT111" s="74">
        <v>0.55765704989999998</v>
      </c>
      <c r="BU111" s="74">
        <v>0.55792409119999997</v>
      </c>
      <c r="BV111" s="74">
        <v>0.55819150350000002</v>
      </c>
      <c r="BW111" s="74">
        <v>0.55845927449999999</v>
      </c>
      <c r="BX111" s="74">
        <v>0.55872739130000004</v>
      </c>
      <c r="BY111" s="74">
        <v>0.55899584059999996</v>
      </c>
      <c r="BZ111" s="74">
        <v>0.55926460879999995</v>
      </c>
      <c r="CA111" s="74">
        <v>0.55953368179999996</v>
      </c>
      <c r="CB111" s="74">
        <v>0.55980304520000002</v>
      </c>
      <c r="CC111" s="74">
        <v>0.56007268460000004</v>
      </c>
      <c r="CD111" s="74">
        <v>0.560342585</v>
      </c>
      <c r="CE111" s="74">
        <v>0.56061273140000001</v>
      </c>
      <c r="CF111" s="74">
        <v>0.5608831085</v>
      </c>
      <c r="CG111" s="74">
        <v>0.56115370090000005</v>
      </c>
      <c r="CH111" s="74">
        <v>0.56142449299999997</v>
      </c>
      <c r="CI111" s="74">
        <v>0.56169546920000002</v>
      </c>
      <c r="CJ111" s="74">
        <v>0.5619666136</v>
      </c>
      <c r="CK111" s="74">
        <v>0.56223791050000005</v>
      </c>
      <c r="CL111" s="74">
        <v>0.56250934399999997</v>
      </c>
      <c r="CM111" s="74">
        <v>0.56278089809999998</v>
      </c>
      <c r="CN111" s="74">
        <v>0.5630525569</v>
      </c>
      <c r="CO111" s="74">
        <v>0.56332430440000003</v>
      </c>
      <c r="CP111" s="74">
        <v>0.56359612469999998</v>
      </c>
      <c r="CQ111" s="74">
        <v>0.56386800189999997</v>
      </c>
      <c r="CR111" s="74">
        <v>0.56413992010000003</v>
      </c>
      <c r="CS111" s="74">
        <v>0.56441186330000004</v>
      </c>
      <c r="CT111" s="74">
        <v>0.56468381599999995</v>
      </c>
      <c r="CU111" s="74">
        <v>0.5649557623</v>
      </c>
      <c r="CV111" s="74">
        <v>0.5652276866</v>
      </c>
      <c r="CW111" s="74">
        <v>0.56549957350000002</v>
      </c>
      <c r="CX111" s="74">
        <v>0.56577140739999998</v>
      </c>
      <c r="CY111" s="74">
        <v>0.56604317299999996</v>
      </c>
      <c r="CZ111" s="74">
        <v>0.56631485510000001</v>
      </c>
      <c r="DA111" s="74">
        <v>0.56658643860000002</v>
      </c>
      <c r="DB111" s="74">
        <v>0.56685790840000005</v>
      </c>
      <c r="DC111" s="74">
        <v>0.56712924990000002</v>
      </c>
      <c r="DD111" s="74">
        <v>0.56740044810000001</v>
      </c>
      <c r="DE111" s="74">
        <v>0.56767148860000005</v>
      </c>
      <c r="DF111" s="74">
        <v>0.56794235689999994</v>
      </c>
      <c r="DG111" s="74">
        <v>0.56821303869999995</v>
      </c>
      <c r="DH111" s="74">
        <v>0.56848351990000001</v>
      </c>
      <c r="DI111" s="74">
        <v>0.56875378649999997</v>
      </c>
      <c r="DJ111" s="74">
        <v>0.56902382470000001</v>
      </c>
      <c r="DK111" s="74">
        <v>0.56929362090000002</v>
      </c>
      <c r="DL111" s="74">
        <v>0.56956316149999997</v>
      </c>
      <c r="DM111" s="74">
        <v>0.56983243309999998</v>
      </c>
      <c r="DN111" s="74">
        <v>0.57010142279999998</v>
      </c>
      <c r="DO111" s="74">
        <v>0.57037011739999999</v>
      </c>
      <c r="DP111" s="74">
        <v>0.57063850410000005</v>
      </c>
      <c r="DQ111" s="74">
        <v>0.57090657030000003</v>
      </c>
      <c r="DR111" s="74">
        <v>0.57117430349999998</v>
      </c>
      <c r="DS111" s="74">
        <v>0.57144169150000002</v>
      </c>
      <c r="DT111" s="74">
        <v>0.571708722</v>
      </c>
      <c r="DU111" s="74">
        <v>0.57197538319999996</v>
      </c>
      <c r="DV111" s="74">
        <v>0.57224166330000004</v>
      </c>
      <c r="DW111" s="74">
        <v>0.57250755060000003</v>
      </c>
      <c r="DX111" s="74">
        <v>0.5727730338</v>
      </c>
      <c r="DY111" s="74">
        <v>0.57303810160000002</v>
      </c>
      <c r="DZ111" s="74">
        <v>0.57330274299999995</v>
      </c>
      <c r="EA111" s="74">
        <v>0.5735669471</v>
      </c>
      <c r="EB111" s="74">
        <v>0.57383070319999996</v>
      </c>
      <c r="EC111" s="74">
        <v>0.57409400070000005</v>
      </c>
      <c r="ED111" s="74">
        <v>0.57435682929999998</v>
      </c>
      <c r="EE111" s="74">
        <v>0.57461917880000002</v>
      </c>
      <c r="EF111" s="74">
        <v>0.57488103909999999</v>
      </c>
      <c r="EG111" s="74">
        <v>0.57514240059999999</v>
      </c>
      <c r="EH111" s="74">
        <v>0.57540325349999999</v>
      </c>
      <c r="EI111" s="74">
        <v>0.57566358829999997</v>
      </c>
      <c r="EJ111" s="74">
        <v>0.57592339569999995</v>
      </c>
      <c r="EK111" s="74">
        <v>0.57618266659999995</v>
      </c>
      <c r="EL111" s="74">
        <v>0.576441392</v>
      </c>
      <c r="EM111" s="74">
        <v>0.57669956320000004</v>
      </c>
      <c r="EN111" s="74">
        <v>0.57695717130000002</v>
      </c>
      <c r="EO111" s="74">
        <v>0.57721420810000001</v>
      </c>
      <c r="EP111" s="74">
        <v>0.57747066520000001</v>
      </c>
      <c r="EQ111" s="74">
        <v>0.57772653439999999</v>
      </c>
      <c r="ER111" s="74">
        <v>0.57798180789999998</v>
      </c>
      <c r="ES111" s="74">
        <v>0.57823647759999997</v>
      </c>
      <c r="ET111" s="74">
        <v>0.57849053610000001</v>
      </c>
      <c r="EU111" s="74">
        <v>0.57874397590000004</v>
      </c>
      <c r="EV111" s="74">
        <v>0.5789967895</v>
      </c>
      <c r="EW111" s="74">
        <v>0.57924896979999996</v>
      </c>
      <c r="EX111" s="74">
        <v>0.57950050980000001</v>
      </c>
      <c r="EY111" s="74">
        <v>0.57975140260000002</v>
      </c>
      <c r="EZ111" s="74">
        <v>0.58000164139999999</v>
      </c>
      <c r="FA111" s="74">
        <v>0.58025121989999995</v>
      </c>
      <c r="FB111" s="74">
        <v>0.58050013140000001</v>
      </c>
      <c r="FC111" s="74">
        <v>0.58074836969999999</v>
      </c>
      <c r="FD111" s="74">
        <v>0.58099592870000005</v>
      </c>
      <c r="FE111" s="74">
        <v>0.58124280250000004</v>
      </c>
      <c r="FF111" s="74">
        <v>0.58148898520000003</v>
      </c>
      <c r="FG111" s="74">
        <v>0.58173447099999998</v>
      </c>
      <c r="FH111" s="74">
        <v>0.58197925449999999</v>
      </c>
      <c r="FI111" s="74">
        <v>0.58222333020000006</v>
      </c>
      <c r="FJ111" s="74">
        <v>0.58246669289999997</v>
      </c>
      <c r="FK111" s="74">
        <v>0.58270933739999997</v>
      </c>
      <c r="FL111" s="74">
        <v>0.58295125859999997</v>
      </c>
      <c r="FM111" s="74">
        <v>0.58319245180000001</v>
      </c>
      <c r="FN111" s="74">
        <v>0.58343291220000004</v>
      </c>
      <c r="FO111" s="74">
        <v>0.5836726351</v>
      </c>
      <c r="FP111" s="74">
        <v>0.58391161609999997</v>
      </c>
      <c r="FQ111" s="74">
        <v>0.58414985080000004</v>
      </c>
    </row>
    <row r="112" spans="1:173" x14ac:dyDescent="0.25">
      <c r="A112" s="76">
        <v>110</v>
      </c>
      <c r="B112" s="74">
        <v>0.55016546720000004</v>
      </c>
      <c r="C112" s="74">
        <v>0.55057316109999999</v>
      </c>
      <c r="D112" s="74">
        <v>0.55096991200000001</v>
      </c>
      <c r="E112" s="74">
        <v>0.5513564836</v>
      </c>
      <c r="F112" s="74">
        <v>0.55173359050000004</v>
      </c>
      <c r="G112" s="74">
        <v>0.55210190159999994</v>
      </c>
      <c r="H112" s="74">
        <v>0.55246204269999999</v>
      </c>
      <c r="I112" s="74">
        <v>0.5528145995</v>
      </c>
      <c r="J112" s="74">
        <v>0.55316011990000002</v>
      </c>
      <c r="K112" s="74">
        <v>0.55349911650000005</v>
      </c>
      <c r="L112" s="74">
        <v>0.5538320686</v>
      </c>
      <c r="M112" s="74">
        <v>0.5541594245</v>
      </c>
      <c r="N112" s="74">
        <v>0.55448160329999996</v>
      </c>
      <c r="O112" s="74">
        <v>0.5547989968</v>
      </c>
      <c r="P112" s="74">
        <v>0.55511197109999999</v>
      </c>
      <c r="Q112" s="74">
        <v>0.55542086820000003</v>
      </c>
      <c r="R112" s="74">
        <v>0.5557260074</v>
      </c>
      <c r="S112" s="74">
        <v>0.55602768709999995</v>
      </c>
      <c r="T112" s="74">
        <v>0.55632618540000001</v>
      </c>
      <c r="U112" s="74">
        <v>0.55662176210000003</v>
      </c>
      <c r="V112" s="74">
        <v>0.55691465920000005</v>
      </c>
      <c r="W112" s="74">
        <v>0.55720510239999999</v>
      </c>
      <c r="X112" s="74">
        <v>0.55749330190000002</v>
      </c>
      <c r="Y112" s="74">
        <v>0.55777945340000001</v>
      </c>
      <c r="Z112" s="74">
        <v>0.55806373899999995</v>
      </c>
      <c r="AA112" s="74">
        <v>0.55834632799999995</v>
      </c>
      <c r="AB112" s="74">
        <v>0.55862737790000005</v>
      </c>
      <c r="AC112" s="74">
        <v>0.55890703460000002</v>
      </c>
      <c r="AD112" s="74">
        <v>0.55918543369999996</v>
      </c>
      <c r="AE112" s="74">
        <v>0.55946270090000005</v>
      </c>
      <c r="AF112" s="74">
        <v>0.55973895230000004</v>
      </c>
      <c r="AG112" s="74">
        <v>0.56001429560000004</v>
      </c>
      <c r="AH112" s="74">
        <v>0.56028883019999998</v>
      </c>
      <c r="AI112" s="74">
        <v>0.56056264769999997</v>
      </c>
      <c r="AJ112" s="74">
        <v>0.56083583260000003</v>
      </c>
      <c r="AK112" s="74">
        <v>0.56110846270000003</v>
      </c>
      <c r="AL112" s="74">
        <v>0.56138060919999999</v>
      </c>
      <c r="AM112" s="74">
        <v>0.5616523376</v>
      </c>
      <c r="AN112" s="74">
        <v>0.56192370780000001</v>
      </c>
      <c r="AO112" s="74">
        <v>0.56219477419999997</v>
      </c>
      <c r="AP112" s="74">
        <v>0.56246558670000002</v>
      </c>
      <c r="AQ112" s="74">
        <v>0.56273619019999999</v>
      </c>
      <c r="AR112" s="74">
        <v>0.56300662570000004</v>
      </c>
      <c r="AS112" s="74">
        <v>0.56327692979999999</v>
      </c>
      <c r="AT112" s="74">
        <v>0.56354713550000002</v>
      </c>
      <c r="AU112" s="74">
        <v>0.56381727230000001</v>
      </c>
      <c r="AV112" s="74">
        <v>0.56408736640000001</v>
      </c>
      <c r="AW112" s="74">
        <v>0.56435744080000005</v>
      </c>
      <c r="AX112" s="74">
        <v>0.56462751560000002</v>
      </c>
      <c r="AY112" s="74">
        <v>0.56489760830000002</v>
      </c>
      <c r="AZ112" s="74">
        <v>0.56516773399999998</v>
      </c>
      <c r="BA112" s="74">
        <v>0.56543790500000002</v>
      </c>
      <c r="BB112" s="74">
        <v>0.56570813200000003</v>
      </c>
      <c r="BC112" s="74">
        <v>0.56597842310000002</v>
      </c>
      <c r="BD112" s="74">
        <v>0.56624878479999996</v>
      </c>
      <c r="BE112" s="74">
        <v>0.56651922180000003</v>
      </c>
      <c r="BF112" s="74">
        <v>0.56678973700000002</v>
      </c>
      <c r="BG112" s="74">
        <v>0.56706033190000005</v>
      </c>
      <c r="BH112" s="74">
        <v>0.56733100660000002</v>
      </c>
      <c r="BI112" s="74">
        <v>0.56760175960000003</v>
      </c>
      <c r="BJ112" s="74">
        <v>0.56787258860000001</v>
      </c>
      <c r="BK112" s="74">
        <v>0.56814348979999996</v>
      </c>
      <c r="BL112" s="74">
        <v>0.56841445840000004</v>
      </c>
      <c r="BM112" s="74">
        <v>0.56868548880000003</v>
      </c>
      <c r="BN112" s="74">
        <v>0.56895657440000003</v>
      </c>
      <c r="BO112" s="74">
        <v>0.56922770769999997</v>
      </c>
      <c r="BP112" s="74">
        <v>0.56949888059999998</v>
      </c>
      <c r="BQ112" s="74">
        <v>0.56977008399999995</v>
      </c>
      <c r="BR112" s="74">
        <v>0.57004130860000002</v>
      </c>
      <c r="BS112" s="74">
        <v>0.57031254419999999</v>
      </c>
      <c r="BT112" s="74">
        <v>0.57058378009999999</v>
      </c>
      <c r="BU112" s="74">
        <v>0.5708550053</v>
      </c>
      <c r="BV112" s="74">
        <v>0.57112620800000002</v>
      </c>
      <c r="BW112" s="74">
        <v>0.5713973765</v>
      </c>
      <c r="BX112" s="74">
        <v>0.57166849829999999</v>
      </c>
      <c r="BY112" s="74">
        <v>0.57193956079999997</v>
      </c>
      <c r="BZ112" s="74">
        <v>0.57221055119999997</v>
      </c>
      <c r="CA112" s="74">
        <v>0.57248145620000002</v>
      </c>
      <c r="CB112" s="74">
        <v>0.5727522625</v>
      </c>
      <c r="CC112" s="74">
        <v>0.57302295640000001</v>
      </c>
      <c r="CD112" s="74">
        <v>0.57329352440000003</v>
      </c>
      <c r="CE112" s="74">
        <v>0.57356395260000004</v>
      </c>
      <c r="CF112" s="74">
        <v>0.57383422689999997</v>
      </c>
      <c r="CG112" s="74">
        <v>0.5741043334</v>
      </c>
      <c r="CH112" s="74">
        <v>0.57437425789999996</v>
      </c>
      <c r="CI112" s="74">
        <v>0.57464398630000002</v>
      </c>
      <c r="CJ112" s="74">
        <v>0.5749135044</v>
      </c>
      <c r="CK112" s="74">
        <v>0.57518279809999995</v>
      </c>
      <c r="CL112" s="74">
        <v>0.57545185300000001</v>
      </c>
      <c r="CM112" s="74">
        <v>0.57572065520000004</v>
      </c>
      <c r="CN112" s="74">
        <v>0.57598919029999995</v>
      </c>
      <c r="CO112" s="74">
        <v>0.57625744450000005</v>
      </c>
      <c r="CP112" s="74">
        <v>0.57652540370000005</v>
      </c>
      <c r="CQ112" s="74">
        <v>0.57679305380000001</v>
      </c>
      <c r="CR112" s="74">
        <v>0.57706038120000003</v>
      </c>
      <c r="CS112" s="74">
        <v>0.57732737199999995</v>
      </c>
      <c r="CT112" s="74">
        <v>0.57759401249999998</v>
      </c>
      <c r="CU112" s="74">
        <v>0.5778602893</v>
      </c>
      <c r="CV112" s="74">
        <v>0.5781261889</v>
      </c>
      <c r="CW112" s="74">
        <v>0.5783916979</v>
      </c>
      <c r="CX112" s="74">
        <v>0.57865680330000002</v>
      </c>
      <c r="CY112" s="74">
        <v>0.57892149189999997</v>
      </c>
      <c r="CZ112" s="74">
        <v>0.57918575090000002</v>
      </c>
      <c r="DA112" s="74">
        <v>0.57944956759999999</v>
      </c>
      <c r="DB112" s="74">
        <v>0.57971292939999997</v>
      </c>
      <c r="DC112" s="74">
        <v>0.57997582380000001</v>
      </c>
      <c r="DD112" s="74">
        <v>0.58023823860000001</v>
      </c>
      <c r="DE112" s="74">
        <v>0.58050016169999996</v>
      </c>
      <c r="DF112" s="74">
        <v>0.58076158109999998</v>
      </c>
      <c r="DG112" s="74">
        <v>0.58102248519999999</v>
      </c>
      <c r="DH112" s="74">
        <v>0.58128286220000003</v>
      </c>
      <c r="DI112" s="74">
        <v>0.58154270080000003</v>
      </c>
      <c r="DJ112" s="74">
        <v>0.58180198979999997</v>
      </c>
      <c r="DK112" s="74">
        <v>0.58206071800000003</v>
      </c>
      <c r="DL112" s="74">
        <v>0.5823188748</v>
      </c>
      <c r="DM112" s="74">
        <v>0.58257644919999996</v>
      </c>
      <c r="DN112" s="74">
        <v>0.58283343089999995</v>
      </c>
      <c r="DO112" s="74">
        <v>0.5830898095</v>
      </c>
      <c r="DP112" s="74">
        <v>0.58334557490000005</v>
      </c>
      <c r="DQ112" s="74">
        <v>0.58360071700000005</v>
      </c>
      <c r="DR112" s="74">
        <v>0.58385522629999997</v>
      </c>
      <c r="DS112" s="74">
        <v>0.58410909300000002</v>
      </c>
      <c r="DT112" s="74">
        <v>0.58436230779999998</v>
      </c>
      <c r="DU112" s="74">
        <v>0.58461486139999996</v>
      </c>
      <c r="DV112" s="74">
        <v>0.5848667448</v>
      </c>
      <c r="DW112" s="74">
        <v>0.58511794930000005</v>
      </c>
      <c r="DX112" s="74">
        <v>0.58536846600000003</v>
      </c>
      <c r="DY112" s="74">
        <v>0.58561828670000005</v>
      </c>
      <c r="DZ112" s="74">
        <v>0.58586740280000005</v>
      </c>
      <c r="EA112" s="74">
        <v>0.58611580649999995</v>
      </c>
      <c r="EB112" s="74">
        <v>0.58636348959999995</v>
      </c>
      <c r="EC112" s="74">
        <v>0.58661044449999999</v>
      </c>
      <c r="ED112" s="74">
        <v>0.58685666359999999</v>
      </c>
      <c r="EE112" s="74">
        <v>0.5871021394</v>
      </c>
      <c r="EF112" s="74">
        <v>0.58734686489999999</v>
      </c>
      <c r="EG112" s="74">
        <v>0.58759083290000003</v>
      </c>
      <c r="EH112" s="74">
        <v>0.5878340366</v>
      </c>
      <c r="EI112" s="74">
        <v>0.58807646920000001</v>
      </c>
      <c r="EJ112" s="74">
        <v>0.58831812429999997</v>
      </c>
      <c r="EK112" s="74">
        <v>0.58855899540000001</v>
      </c>
      <c r="EL112" s="74">
        <v>0.58879907649999996</v>
      </c>
      <c r="EM112" s="74">
        <v>0.5890383615</v>
      </c>
      <c r="EN112" s="74">
        <v>0.58927684449999995</v>
      </c>
      <c r="EO112" s="74">
        <v>0.58951451980000003</v>
      </c>
      <c r="EP112" s="74">
        <v>0.58975138199999999</v>
      </c>
      <c r="EQ112" s="74">
        <v>0.58998742559999995</v>
      </c>
      <c r="ER112" s="74">
        <v>0.59022264540000002</v>
      </c>
      <c r="ES112" s="74">
        <v>0.59045703650000003</v>
      </c>
      <c r="ET112" s="74">
        <v>0.5906905938</v>
      </c>
      <c r="EU112" s="74">
        <v>0.59092331259999997</v>
      </c>
      <c r="EV112" s="74">
        <v>0.59115518840000003</v>
      </c>
      <c r="EW112" s="74">
        <v>0.59138621670000002</v>
      </c>
      <c r="EX112" s="74">
        <v>0.59161639330000004</v>
      </c>
      <c r="EY112" s="74">
        <v>0.59184571389999996</v>
      </c>
      <c r="EZ112" s="74">
        <v>0.59207417449999999</v>
      </c>
      <c r="FA112" s="74">
        <v>0.59230177139999995</v>
      </c>
      <c r="FB112" s="74">
        <v>0.59252850079999997</v>
      </c>
      <c r="FC112" s="74">
        <v>0.59275435909999996</v>
      </c>
      <c r="FD112" s="74">
        <v>0.59297934289999998</v>
      </c>
      <c r="FE112" s="74">
        <v>0.59320344879999998</v>
      </c>
      <c r="FF112" s="74">
        <v>0.59342667380000003</v>
      </c>
      <c r="FG112" s="74">
        <v>0.59364901469999998</v>
      </c>
      <c r="FH112" s="74">
        <v>0.59387046870000004</v>
      </c>
      <c r="FI112" s="74">
        <v>0.59409103299999999</v>
      </c>
      <c r="FJ112" s="74">
        <v>0.59431070500000005</v>
      </c>
      <c r="FK112" s="74">
        <v>0.594529482</v>
      </c>
      <c r="FL112" s="74">
        <v>0.59474736179999999</v>
      </c>
      <c r="FM112" s="74">
        <v>0.59496434200000003</v>
      </c>
      <c r="FN112" s="74">
        <v>0.59518042049999997</v>
      </c>
      <c r="FO112" s="74">
        <v>0.59539559519999996</v>
      </c>
      <c r="FP112" s="74">
        <v>0.59560986419999995</v>
      </c>
      <c r="FQ112" s="74">
        <v>0.59582322570000001</v>
      </c>
    </row>
    <row r="113" spans="1:173" x14ac:dyDescent="0.25">
      <c r="A113" s="76">
        <v>111</v>
      </c>
      <c r="B113" s="74">
        <v>0.5607627315</v>
      </c>
      <c r="C113" s="74">
        <v>0.56117331290000005</v>
      </c>
      <c r="D113" s="74">
        <v>0.56157368330000001</v>
      </c>
      <c r="E113" s="74">
        <v>0.5619645432</v>
      </c>
      <c r="F113" s="74">
        <v>0.56234654790000005</v>
      </c>
      <c r="G113" s="74">
        <v>0.56272030939999995</v>
      </c>
      <c r="H113" s="74">
        <v>0.56308640030000001</v>
      </c>
      <c r="I113" s="74">
        <v>0.56344535529999995</v>
      </c>
      <c r="J113" s="74">
        <v>0.56379767420000004</v>
      </c>
      <c r="K113" s="74">
        <v>0.56414382399999996</v>
      </c>
      <c r="L113" s="74">
        <v>0.56448424080000004</v>
      </c>
      <c r="M113" s="74">
        <v>0.56481933210000002</v>
      </c>
      <c r="N113" s="74">
        <v>0.56514947829999995</v>
      </c>
      <c r="O113" s="74">
        <v>0.56547503450000003</v>
      </c>
      <c r="P113" s="74">
        <v>0.56579633200000001</v>
      </c>
      <c r="Q113" s="74">
        <v>0.56611367999999995</v>
      </c>
      <c r="R113" s="74">
        <v>0.56642736689999995</v>
      </c>
      <c r="S113" s="74">
        <v>0.56673766150000005</v>
      </c>
      <c r="T113" s="74">
        <v>0.56704481439999999</v>
      </c>
      <c r="U113" s="74">
        <v>0.56734905879999997</v>
      </c>
      <c r="V113" s="74">
        <v>0.56765061230000002</v>
      </c>
      <c r="W113" s="74">
        <v>0.56794967679999997</v>
      </c>
      <c r="X113" s="74">
        <v>0.56824644059999996</v>
      </c>
      <c r="Y113" s="74">
        <v>0.56854107840000001</v>
      </c>
      <c r="Z113" s="74">
        <v>0.56883375260000002</v>
      </c>
      <c r="AA113" s="74">
        <v>0.56912461410000004</v>
      </c>
      <c r="AB113" s="74">
        <v>0.56941380249999995</v>
      </c>
      <c r="AC113" s="74">
        <v>0.56970144759999997</v>
      </c>
      <c r="AD113" s="74">
        <v>0.56998766919999999</v>
      </c>
      <c r="AE113" s="74">
        <v>0.5702725783</v>
      </c>
      <c r="AF113" s="74">
        <v>0.57055627760000005</v>
      </c>
      <c r="AG113" s="74">
        <v>0.57083886159999997</v>
      </c>
      <c r="AH113" s="74">
        <v>0.57112041759999999</v>
      </c>
      <c r="AI113" s="74">
        <v>0.57140102579999996</v>
      </c>
      <c r="AJ113" s="74">
        <v>0.57168076010000002</v>
      </c>
      <c r="AK113" s="74">
        <v>0.57195968819999998</v>
      </c>
      <c r="AL113" s="74">
        <v>0.57223787209999999</v>
      </c>
      <c r="AM113" s="74">
        <v>0.57251536839999995</v>
      </c>
      <c r="AN113" s="74">
        <v>0.57279222880000003</v>
      </c>
      <c r="AO113" s="74">
        <v>0.57306850030000001</v>
      </c>
      <c r="AP113" s="74">
        <v>0.57334422559999998</v>
      </c>
      <c r="AQ113" s="74">
        <v>0.57361944310000001</v>
      </c>
      <c r="AR113" s="74">
        <v>0.57389418749999999</v>
      </c>
      <c r="AS113" s="74">
        <v>0.57416849000000003</v>
      </c>
      <c r="AT113" s="74">
        <v>0.57444237840000001</v>
      </c>
      <c r="AU113" s="74">
        <v>0.57471587719999995</v>
      </c>
      <c r="AV113" s="74">
        <v>0.5749890084</v>
      </c>
      <c r="AW113" s="74">
        <v>0.57526179079999995</v>
      </c>
      <c r="AX113" s="74">
        <v>0.57553424099999995</v>
      </c>
      <c r="AY113" s="74">
        <v>0.57580637320000005</v>
      </c>
      <c r="AZ113" s="74">
        <v>0.57607819920000003</v>
      </c>
      <c r="BA113" s="74">
        <v>0.57634972900000003</v>
      </c>
      <c r="BB113" s="74">
        <v>0.57662097050000005</v>
      </c>
      <c r="BC113" s="74">
        <v>0.57689193000000005</v>
      </c>
      <c r="BD113" s="74">
        <v>0.57716261199999996</v>
      </c>
      <c r="BE113" s="74">
        <v>0.57743301960000004</v>
      </c>
      <c r="BF113" s="74">
        <v>0.57770315429999997</v>
      </c>
      <c r="BG113" s="74">
        <v>0.5779730166</v>
      </c>
      <c r="BH113" s="74">
        <v>0.57824260549999995</v>
      </c>
      <c r="BI113" s="74">
        <v>0.57851191899999999</v>
      </c>
      <c r="BJ113" s="74">
        <v>0.57878095399999996</v>
      </c>
      <c r="BK113" s="74">
        <v>0.57904970659999999</v>
      </c>
      <c r="BL113" s="74">
        <v>0.57931817190000001</v>
      </c>
      <c r="BM113" s="74">
        <v>0.57958634419999999</v>
      </c>
      <c r="BN113" s="74">
        <v>0.57985421709999996</v>
      </c>
      <c r="BO113" s="74">
        <v>0.58012178349999999</v>
      </c>
      <c r="BP113" s="74">
        <v>0.5803890357</v>
      </c>
      <c r="BQ113" s="74">
        <v>0.58065596549999998</v>
      </c>
      <c r="BR113" s="74">
        <v>0.58092256409999998</v>
      </c>
      <c r="BS113" s="74">
        <v>0.58118882230000002</v>
      </c>
      <c r="BT113" s="74">
        <v>0.58145473039999995</v>
      </c>
      <c r="BU113" s="74">
        <v>0.58172027849999997</v>
      </c>
      <c r="BV113" s="74">
        <v>0.58198545629999998</v>
      </c>
      <c r="BW113" s="74">
        <v>0.5822502531</v>
      </c>
      <c r="BX113" s="74">
        <v>0.58251465810000003</v>
      </c>
      <c r="BY113" s="74">
        <v>0.58277866020000002</v>
      </c>
      <c r="BZ113" s="74">
        <v>0.58304224810000005</v>
      </c>
      <c r="CA113" s="74">
        <v>0.58330541049999995</v>
      </c>
      <c r="CB113" s="74">
        <v>0.58356813569999999</v>
      </c>
      <c r="CC113" s="74">
        <v>0.58383041199999997</v>
      </c>
      <c r="CD113" s="74">
        <v>0.58409222780000003</v>
      </c>
      <c r="CE113" s="74">
        <v>0.58435357119999998</v>
      </c>
      <c r="CF113" s="74">
        <v>0.58461443030000004</v>
      </c>
      <c r="CG113" s="74">
        <v>0.58487479320000002</v>
      </c>
      <c r="CH113" s="74">
        <v>0.58513464820000005</v>
      </c>
      <c r="CI113" s="74">
        <v>0.58539398320000002</v>
      </c>
      <c r="CJ113" s="74">
        <v>0.58565278649999997</v>
      </c>
      <c r="CK113" s="74">
        <v>0.58591104630000002</v>
      </c>
      <c r="CL113" s="74">
        <v>0.58616875079999997</v>
      </c>
      <c r="CM113" s="74">
        <v>0.58642588829999998</v>
      </c>
      <c r="CN113" s="74">
        <v>0.58668244719999996</v>
      </c>
      <c r="CO113" s="74">
        <v>0.58693841609999997</v>
      </c>
      <c r="CP113" s="74">
        <v>0.58719378349999996</v>
      </c>
      <c r="CQ113" s="74">
        <v>0.58744853809999997</v>
      </c>
      <c r="CR113" s="74">
        <v>0.58770266879999999</v>
      </c>
      <c r="CS113" s="74">
        <v>0.58795616449999999</v>
      </c>
      <c r="CT113" s="74">
        <v>0.58820901420000005</v>
      </c>
      <c r="CU113" s="74">
        <v>0.58846120719999995</v>
      </c>
      <c r="CV113" s="74">
        <v>0.58871273290000004</v>
      </c>
      <c r="CW113" s="74">
        <v>0.5889635808</v>
      </c>
      <c r="CX113" s="74">
        <v>0.58921374049999997</v>
      </c>
      <c r="CY113" s="74">
        <v>0.58946320190000001</v>
      </c>
      <c r="CZ113" s="74">
        <v>0.58971195489999995</v>
      </c>
      <c r="DA113" s="74">
        <v>0.58995998979999997</v>
      </c>
      <c r="DB113" s="74">
        <v>0.59020729679999995</v>
      </c>
      <c r="DC113" s="74">
        <v>0.59045386649999998</v>
      </c>
      <c r="DD113" s="74">
        <v>0.59069968949999996</v>
      </c>
      <c r="DE113" s="74">
        <v>0.59094475680000003</v>
      </c>
      <c r="DF113" s="74">
        <v>0.59118905929999999</v>
      </c>
      <c r="DG113" s="74">
        <v>0.5914325882</v>
      </c>
      <c r="DH113" s="74">
        <v>0.59167533500000002</v>
      </c>
      <c r="DI113" s="74">
        <v>0.59191729130000004</v>
      </c>
      <c r="DJ113" s="74">
        <v>0.59215844880000001</v>
      </c>
      <c r="DK113" s="74">
        <v>0.59239879949999996</v>
      </c>
      <c r="DL113" s="74">
        <v>0.5926383355</v>
      </c>
      <c r="DM113" s="74">
        <v>0.59287704919999995</v>
      </c>
      <c r="DN113" s="74">
        <v>0.59311493299999996</v>
      </c>
      <c r="DO113" s="74">
        <v>0.59335197979999998</v>
      </c>
      <c r="DP113" s="74">
        <v>0.59358818229999999</v>
      </c>
      <c r="DQ113" s="74">
        <v>0.59382353369999996</v>
      </c>
      <c r="DR113" s="74">
        <v>0.59405802720000001</v>
      </c>
      <c r="DS113" s="74">
        <v>0.59429165630000003</v>
      </c>
      <c r="DT113" s="74">
        <v>0.59452441450000004</v>
      </c>
      <c r="DU113" s="74">
        <v>0.5947562958</v>
      </c>
      <c r="DV113" s="74">
        <v>0.59498729400000006</v>
      </c>
      <c r="DW113" s="74">
        <v>0.59521740339999996</v>
      </c>
      <c r="DX113" s="74">
        <v>0.59544661830000001</v>
      </c>
      <c r="DY113" s="74">
        <v>0.59567493329999999</v>
      </c>
      <c r="DZ113" s="74">
        <v>0.595902343</v>
      </c>
      <c r="EA113" s="74">
        <v>0.59612884229999996</v>
      </c>
      <c r="EB113" s="74">
        <v>0.59635442640000003</v>
      </c>
      <c r="EC113" s="74">
        <v>0.5965790903</v>
      </c>
      <c r="ED113" s="74">
        <v>0.59680282959999997</v>
      </c>
      <c r="EE113" s="74">
        <v>0.59702563980000001</v>
      </c>
      <c r="EF113" s="74">
        <v>0.59724751659999997</v>
      </c>
      <c r="EG113" s="74">
        <v>0.59746845599999998</v>
      </c>
      <c r="EH113" s="74">
        <v>0.59768845390000003</v>
      </c>
      <c r="EI113" s="74">
        <v>0.59790750670000004</v>
      </c>
      <c r="EJ113" s="74">
        <v>0.59812561070000003</v>
      </c>
      <c r="EK113" s="74">
        <v>0.59834276249999996</v>
      </c>
      <c r="EL113" s="74">
        <v>0.59855895869999998</v>
      </c>
      <c r="EM113" s="74">
        <v>0.59877419620000005</v>
      </c>
      <c r="EN113" s="74">
        <v>0.59898847209999995</v>
      </c>
      <c r="EO113" s="74">
        <v>0.59920178349999997</v>
      </c>
      <c r="EP113" s="74">
        <v>0.59941412770000002</v>
      </c>
      <c r="EQ113" s="74">
        <v>0.59962550219999999</v>
      </c>
      <c r="ER113" s="74">
        <v>0.59983590450000002</v>
      </c>
      <c r="ES113" s="74">
        <v>0.60004533250000003</v>
      </c>
      <c r="ET113" s="74">
        <v>0.60025378389999995</v>
      </c>
      <c r="EU113" s="74">
        <v>0.60046125689999996</v>
      </c>
      <c r="EV113" s="74">
        <v>0.60066774950000001</v>
      </c>
      <c r="EW113" s="74">
        <v>0.60087326019999998</v>
      </c>
      <c r="EX113" s="74">
        <v>0.60107778720000005</v>
      </c>
      <c r="EY113" s="74">
        <v>0.6012813293</v>
      </c>
      <c r="EZ113" s="74">
        <v>0.60148388500000005</v>
      </c>
      <c r="FA113" s="74">
        <v>0.60168545309999999</v>
      </c>
      <c r="FB113" s="74">
        <v>0.60188603269999996</v>
      </c>
      <c r="FC113" s="74">
        <v>0.6020856228</v>
      </c>
      <c r="FD113" s="74">
        <v>0.60228422250000002</v>
      </c>
      <c r="FE113" s="74">
        <v>0.60248183119999998</v>
      </c>
      <c r="FF113" s="74">
        <v>0.60267844820000005</v>
      </c>
      <c r="FG113" s="74">
        <v>0.60287407319999997</v>
      </c>
      <c r="FH113" s="74">
        <v>0.60306870580000005</v>
      </c>
      <c r="FI113" s="74">
        <v>0.60326234560000003</v>
      </c>
      <c r="FJ113" s="74">
        <v>0.60345499270000003</v>
      </c>
      <c r="FK113" s="74">
        <v>0.60364664690000003</v>
      </c>
      <c r="FL113" s="74">
        <v>0.60383730840000005</v>
      </c>
      <c r="FM113" s="74">
        <v>0.60402697729999999</v>
      </c>
      <c r="FN113" s="74">
        <v>0.60421565389999998</v>
      </c>
      <c r="FO113" s="74">
        <v>0.60440333859999995</v>
      </c>
      <c r="FP113" s="74">
        <v>0.60459003190000005</v>
      </c>
      <c r="FQ113" s="74">
        <v>0.60477573429999998</v>
      </c>
    </row>
    <row r="114" spans="1:173" x14ac:dyDescent="0.25">
      <c r="A114" s="76">
        <v>112</v>
      </c>
      <c r="B114" s="74">
        <v>0.57013349619999998</v>
      </c>
      <c r="C114" s="74">
        <v>0.57053906129999998</v>
      </c>
      <c r="D114" s="74">
        <v>0.57093509080000004</v>
      </c>
      <c r="E114" s="74">
        <v>0.5713222255</v>
      </c>
      <c r="F114" s="74">
        <v>0.57170106359999995</v>
      </c>
      <c r="G114" s="74">
        <v>0.57207216380000003</v>
      </c>
      <c r="H114" s="74">
        <v>0.57243604770000001</v>
      </c>
      <c r="I114" s="74">
        <v>0.57279320199999995</v>
      </c>
      <c r="J114" s="74">
        <v>0.57314408130000005</v>
      </c>
      <c r="K114" s="74">
        <v>0.57348910959999999</v>
      </c>
      <c r="L114" s="74">
        <v>0.57382868249999996</v>
      </c>
      <c r="M114" s="74">
        <v>0.5741631693</v>
      </c>
      <c r="N114" s="74">
        <v>0.57449291420000004</v>
      </c>
      <c r="O114" s="74">
        <v>0.57481823809999999</v>
      </c>
      <c r="P114" s="74">
        <v>0.57513944019999996</v>
      </c>
      <c r="Q114" s="74">
        <v>0.57545679940000005</v>
      </c>
      <c r="R114" s="74">
        <v>0.57577057519999997</v>
      </c>
      <c r="S114" s="74">
        <v>0.57608100959999997</v>
      </c>
      <c r="T114" s="74">
        <v>0.57638832760000003</v>
      </c>
      <c r="U114" s="74">
        <v>0.57669273850000002</v>
      </c>
      <c r="V114" s="74">
        <v>0.57699443699999997</v>
      </c>
      <c r="W114" s="74">
        <v>0.57729360419999998</v>
      </c>
      <c r="X114" s="74">
        <v>0.57759040809999995</v>
      </c>
      <c r="Y114" s="74">
        <v>0.57788500470000004</v>
      </c>
      <c r="Z114" s="74">
        <v>0.57817753869999999</v>
      </c>
      <c r="AA114" s="74">
        <v>0.57846814420000003</v>
      </c>
      <c r="AB114" s="74">
        <v>0.57875694560000002</v>
      </c>
      <c r="AC114" s="74">
        <v>0.5790440577</v>
      </c>
      <c r="AD114" s="74">
        <v>0.57932958700000003</v>
      </c>
      <c r="AE114" s="74">
        <v>0.57961363160000001</v>
      </c>
      <c r="AF114" s="74">
        <v>0.57989628199999999</v>
      </c>
      <c r="AG114" s="74">
        <v>0.58017762169999998</v>
      </c>
      <c r="AH114" s="74">
        <v>0.58045772760000003</v>
      </c>
      <c r="AI114" s="74">
        <v>0.58073667019999997</v>
      </c>
      <c r="AJ114" s="74">
        <v>0.58101451420000005</v>
      </c>
      <c r="AK114" s="74">
        <v>0.58129131909999998</v>
      </c>
      <c r="AL114" s="74">
        <v>0.5815671389</v>
      </c>
      <c r="AM114" s="74">
        <v>0.58184202330000001</v>
      </c>
      <c r="AN114" s="74">
        <v>0.58211601710000005</v>
      </c>
      <c r="AO114" s="74">
        <v>0.58238916129999996</v>
      </c>
      <c r="AP114" s="74">
        <v>0.58266149290000002</v>
      </c>
      <c r="AQ114" s="74">
        <v>0.58293304509999999</v>
      </c>
      <c r="AR114" s="74">
        <v>0.58320384810000003</v>
      </c>
      <c r="AS114" s="74">
        <v>0.58347392860000002</v>
      </c>
      <c r="AT114" s="74">
        <v>0.58374331059999995</v>
      </c>
      <c r="AU114" s="74">
        <v>0.58401201520000001</v>
      </c>
      <c r="AV114" s="74">
        <v>0.58428006109999997</v>
      </c>
      <c r="AW114" s="74">
        <v>0.58454746449999995</v>
      </c>
      <c r="AX114" s="74">
        <v>0.58481423939999999</v>
      </c>
      <c r="AY114" s="74">
        <v>0.58508039789999999</v>
      </c>
      <c r="AZ114" s="74">
        <v>0.58534595010000001</v>
      </c>
      <c r="BA114" s="74">
        <v>0.58561090429999996</v>
      </c>
      <c r="BB114" s="74">
        <v>0.58587526710000004</v>
      </c>
      <c r="BC114" s="74">
        <v>0.58613904390000005</v>
      </c>
      <c r="BD114" s="74">
        <v>0.58640223830000004</v>
      </c>
      <c r="BE114" s="74">
        <v>0.58666485280000003</v>
      </c>
      <c r="BF114" s="74">
        <v>0.58692688879999999</v>
      </c>
      <c r="BG114" s="74">
        <v>0.58718834639999995</v>
      </c>
      <c r="BH114" s="74">
        <v>0.58744922479999995</v>
      </c>
      <c r="BI114" s="74">
        <v>0.58770952229999995</v>
      </c>
      <c r="BJ114" s="74">
        <v>0.58796923609999996</v>
      </c>
      <c r="BK114" s="74">
        <v>0.58822836290000002</v>
      </c>
      <c r="BL114" s="74">
        <v>0.58848689870000004</v>
      </c>
      <c r="BM114" s="74">
        <v>0.58874483860000004</v>
      </c>
      <c r="BN114" s="74">
        <v>0.58900217720000003</v>
      </c>
      <c r="BO114" s="74">
        <v>0.58925890869999997</v>
      </c>
      <c r="BP114" s="74">
        <v>0.5895150267</v>
      </c>
      <c r="BQ114" s="74">
        <v>0.5897705244</v>
      </c>
      <c r="BR114" s="74">
        <v>0.59002539460000003</v>
      </c>
      <c r="BS114" s="74">
        <v>0.59027962970000003</v>
      </c>
      <c r="BT114" s="74">
        <v>0.59053322180000001</v>
      </c>
      <c r="BU114" s="74">
        <v>0.59078616289999997</v>
      </c>
      <c r="BV114" s="74">
        <v>0.59103844459999999</v>
      </c>
      <c r="BW114" s="74">
        <v>0.59129005830000003</v>
      </c>
      <c r="BX114" s="74">
        <v>0.59154099520000003</v>
      </c>
      <c r="BY114" s="74">
        <v>0.59179124660000004</v>
      </c>
      <c r="BZ114" s="74">
        <v>0.59204080339999998</v>
      </c>
      <c r="CA114" s="74">
        <v>0.59228965649999998</v>
      </c>
      <c r="CB114" s="74">
        <v>0.59253779679999996</v>
      </c>
      <c r="CC114" s="74">
        <v>0.59278521510000004</v>
      </c>
      <c r="CD114" s="74">
        <v>0.59303190210000001</v>
      </c>
      <c r="CE114" s="74">
        <v>0.5932778487</v>
      </c>
      <c r="CF114" s="74">
        <v>0.59352304560000002</v>
      </c>
      <c r="CG114" s="74">
        <v>0.59376748359999998</v>
      </c>
      <c r="CH114" s="74">
        <v>0.5940111535</v>
      </c>
      <c r="CI114" s="74">
        <v>0.59425404630000001</v>
      </c>
      <c r="CJ114" s="74">
        <v>0.59449615290000002</v>
      </c>
      <c r="CK114" s="74">
        <v>0.59473746439999997</v>
      </c>
      <c r="CL114" s="74">
        <v>0.59497797190000001</v>
      </c>
      <c r="CM114" s="74">
        <v>0.59521766649999996</v>
      </c>
      <c r="CN114" s="74">
        <v>0.59545653980000002</v>
      </c>
      <c r="CO114" s="74">
        <v>0.595694583</v>
      </c>
      <c r="CP114" s="74">
        <v>0.5959317878</v>
      </c>
      <c r="CQ114" s="74">
        <v>0.59616814600000001</v>
      </c>
      <c r="CR114" s="74">
        <v>0.5964036493</v>
      </c>
      <c r="CS114" s="74">
        <v>0.59663828969999999</v>
      </c>
      <c r="CT114" s="74">
        <v>0.59687205939999999</v>
      </c>
      <c r="CU114" s="74">
        <v>0.59710495070000003</v>
      </c>
      <c r="CV114" s="74">
        <v>0.59733695600000003</v>
      </c>
      <c r="CW114" s="74">
        <v>0.59756806799999995</v>
      </c>
      <c r="CX114" s="74">
        <v>0.59779827939999997</v>
      </c>
      <c r="CY114" s="74">
        <v>0.59802758310000004</v>
      </c>
      <c r="CZ114" s="74">
        <v>0.59825597230000005</v>
      </c>
      <c r="DA114" s="74">
        <v>0.5984834403</v>
      </c>
      <c r="DB114" s="74">
        <v>0.59870998060000002</v>
      </c>
      <c r="DC114" s="74">
        <v>0.59893558670000002</v>
      </c>
      <c r="DD114" s="74">
        <v>0.59916025240000004</v>
      </c>
      <c r="DE114" s="74">
        <v>0.59938397190000003</v>
      </c>
      <c r="DF114" s="74">
        <v>0.59960673919999996</v>
      </c>
      <c r="DG114" s="74">
        <v>0.59982854880000003</v>
      </c>
      <c r="DH114" s="74">
        <v>0.60004939509999999</v>
      </c>
      <c r="DI114" s="74">
        <v>0.60026927279999998</v>
      </c>
      <c r="DJ114" s="74">
        <v>0.6004881769</v>
      </c>
      <c r="DK114" s="74">
        <v>0.6007061024</v>
      </c>
      <c r="DL114" s="74">
        <v>0.60092304460000001</v>
      </c>
      <c r="DM114" s="74">
        <v>0.6011389989</v>
      </c>
      <c r="DN114" s="74">
        <v>0.60135396100000005</v>
      </c>
      <c r="DO114" s="74">
        <v>0.60156792650000002</v>
      </c>
      <c r="DP114" s="74">
        <v>0.60178089150000003</v>
      </c>
      <c r="DQ114" s="74">
        <v>0.60199285209999998</v>
      </c>
      <c r="DR114" s="74">
        <v>0.60220380470000001</v>
      </c>
      <c r="DS114" s="74">
        <v>0.60241374560000005</v>
      </c>
      <c r="DT114" s="74">
        <v>0.60262267160000005</v>
      </c>
      <c r="DU114" s="74">
        <v>0.60283057939999996</v>
      </c>
      <c r="DV114" s="74">
        <v>0.60303746619999998</v>
      </c>
      <c r="DW114" s="74">
        <v>0.60324332889999999</v>
      </c>
      <c r="DX114" s="74">
        <v>0.60344816509999999</v>
      </c>
      <c r="DY114" s="74">
        <v>0.60365197199999998</v>
      </c>
      <c r="DZ114" s="74">
        <v>0.60385474750000001</v>
      </c>
      <c r="EA114" s="74">
        <v>0.60405648919999999</v>
      </c>
      <c r="EB114" s="74">
        <v>0.60425719519999999</v>
      </c>
      <c r="EC114" s="74">
        <v>0.60445686350000005</v>
      </c>
      <c r="ED114" s="74">
        <v>0.60465549249999995</v>
      </c>
      <c r="EE114" s="74">
        <v>0.60485308059999998</v>
      </c>
      <c r="EF114" s="74">
        <v>0.60504962630000003</v>
      </c>
      <c r="EG114" s="74">
        <v>0.6052451284</v>
      </c>
      <c r="EH114" s="74">
        <v>0.6054395857</v>
      </c>
      <c r="EI114" s="74">
        <v>0.60563299719999997</v>
      </c>
      <c r="EJ114" s="74">
        <v>0.60582536200000003</v>
      </c>
      <c r="EK114" s="74">
        <v>0.60601667960000005</v>
      </c>
      <c r="EL114" s="74">
        <v>0.60620694919999996</v>
      </c>
      <c r="EM114" s="74">
        <v>0.60639617050000005</v>
      </c>
      <c r="EN114" s="74">
        <v>0.60658434309999998</v>
      </c>
      <c r="EO114" s="74">
        <v>0.60677146680000005</v>
      </c>
      <c r="EP114" s="74">
        <v>0.60695754170000005</v>
      </c>
      <c r="EQ114" s="74">
        <v>0.60714256769999997</v>
      </c>
      <c r="ER114" s="74">
        <v>0.60732654500000005</v>
      </c>
      <c r="ES114" s="74">
        <v>0.60750947399999999</v>
      </c>
      <c r="ET114" s="74">
        <v>0.60769135519999995</v>
      </c>
      <c r="EU114" s="74">
        <v>0.60787218899999995</v>
      </c>
      <c r="EV114" s="74">
        <v>0.60805197609999995</v>
      </c>
      <c r="EW114" s="74">
        <v>0.6082307173</v>
      </c>
      <c r="EX114" s="74">
        <v>0.60840841349999997</v>
      </c>
      <c r="EY114" s="74">
        <v>0.60858506580000005</v>
      </c>
      <c r="EZ114" s="74">
        <v>0.60876067509999998</v>
      </c>
      <c r="FA114" s="74">
        <v>0.60893524269999999</v>
      </c>
      <c r="FB114" s="74">
        <v>0.60910876989999996</v>
      </c>
      <c r="FC114" s="74">
        <v>0.60928125820000001</v>
      </c>
      <c r="FD114" s="74">
        <v>0.60945270890000003</v>
      </c>
      <c r="FE114" s="74">
        <v>0.60962312380000006</v>
      </c>
      <c r="FF114" s="74">
        <v>0.6097925045</v>
      </c>
      <c r="FG114" s="74">
        <v>0.60996085290000002</v>
      </c>
      <c r="FH114" s="74">
        <v>0.61012817070000003</v>
      </c>
      <c r="FI114" s="74">
        <v>0.61029445999999998</v>
      </c>
      <c r="FJ114" s="74">
        <v>0.61045972280000005</v>
      </c>
      <c r="FK114" s="74">
        <v>0.61062396119999995</v>
      </c>
      <c r="FL114" s="74">
        <v>0.6107871775</v>
      </c>
      <c r="FM114" s="74">
        <v>0.61094937400000005</v>
      </c>
      <c r="FN114" s="74">
        <v>0.61111055290000005</v>
      </c>
      <c r="FO114" s="74">
        <v>0.61127071690000001</v>
      </c>
      <c r="FP114" s="74">
        <v>0.61142986830000001</v>
      </c>
      <c r="FQ114" s="74">
        <v>0.61158800989999995</v>
      </c>
    </row>
    <row r="115" spans="1:173" x14ac:dyDescent="0.25">
      <c r="A115" s="76">
        <v>113</v>
      </c>
      <c r="B115" s="74">
        <v>0.57838265649999998</v>
      </c>
      <c r="C115" s="74">
        <v>0.57877699999999999</v>
      </c>
      <c r="D115" s="74">
        <v>0.57916243590000005</v>
      </c>
      <c r="E115" s="74">
        <v>0.5795395485</v>
      </c>
      <c r="F115" s="74">
        <v>0.57990888240000005</v>
      </c>
      <c r="G115" s="74">
        <v>0.58027094599999995</v>
      </c>
      <c r="H115" s="74">
        <v>0.58062621329999997</v>
      </c>
      <c r="I115" s="74">
        <v>0.58097512620000002</v>
      </c>
      <c r="J115" s="74">
        <v>0.58131809700000003</v>
      </c>
      <c r="K115" s="74">
        <v>0.58165550980000003</v>
      </c>
      <c r="L115" s="74">
        <v>0.58198772269999999</v>
      </c>
      <c r="M115" s="74">
        <v>0.5823150695</v>
      </c>
      <c r="N115" s="74">
        <v>0.58263786100000003</v>
      </c>
      <c r="O115" s="74">
        <v>0.58295638689999996</v>
      </c>
      <c r="P115" s="74">
        <v>0.58327091669999998</v>
      </c>
      <c r="Q115" s="74">
        <v>0.58358170149999999</v>
      </c>
      <c r="R115" s="74">
        <v>0.58388897480000002</v>
      </c>
      <c r="S115" s="74">
        <v>0.58419295390000003</v>
      </c>
      <c r="T115" s="74">
        <v>0.58449384069999999</v>
      </c>
      <c r="U115" s="74">
        <v>0.58479182299999999</v>
      </c>
      <c r="V115" s="74">
        <v>0.58508707510000002</v>
      </c>
      <c r="W115" s="74">
        <v>0.58537975900000006</v>
      </c>
      <c r="X115" s="74">
        <v>0.58567002489999997</v>
      </c>
      <c r="Y115" s="74">
        <v>0.58595801199999997</v>
      </c>
      <c r="Z115" s="74">
        <v>0.58624384939999996</v>
      </c>
      <c r="AA115" s="74">
        <v>0.58652765669999996</v>
      </c>
      <c r="AB115" s="74">
        <v>0.5868095445</v>
      </c>
      <c r="AC115" s="74">
        <v>0.58708961500000001</v>
      </c>
      <c r="AD115" s="74">
        <v>0.58736796270000002</v>
      </c>
      <c r="AE115" s="74">
        <v>0.58764467470000004</v>
      </c>
      <c r="AF115" s="74">
        <v>0.58791983140000004</v>
      </c>
      <c r="AG115" s="74">
        <v>0.58819350680000004</v>
      </c>
      <c r="AH115" s="74">
        <v>0.58846576880000001</v>
      </c>
      <c r="AI115" s="74">
        <v>0.58873668000000001</v>
      </c>
      <c r="AJ115" s="74">
        <v>0.58900629760000001</v>
      </c>
      <c r="AK115" s="74">
        <v>0.58927467389999999</v>
      </c>
      <c r="AL115" s="74">
        <v>0.58954185699999995</v>
      </c>
      <c r="AM115" s="74">
        <v>0.58980789050000004</v>
      </c>
      <c r="AN115" s="74">
        <v>0.59007281410000001</v>
      </c>
      <c r="AO115" s="74">
        <v>0.59033666389999995</v>
      </c>
      <c r="AP115" s="74">
        <v>0.59059947260000001</v>
      </c>
      <c r="AQ115" s="74">
        <v>0.59086126969999997</v>
      </c>
      <c r="AR115" s="74">
        <v>0.59112208160000002</v>
      </c>
      <c r="AS115" s="74">
        <v>0.59138193220000002</v>
      </c>
      <c r="AT115" s="74">
        <v>0.59164084260000005</v>
      </c>
      <c r="AU115" s="74">
        <v>0.59189883160000001</v>
      </c>
      <c r="AV115" s="74">
        <v>0.59215591580000004</v>
      </c>
      <c r="AW115" s="74">
        <v>0.59241210980000003</v>
      </c>
      <c r="AX115" s="74">
        <v>0.59266742610000001</v>
      </c>
      <c r="AY115" s="74">
        <v>0.59292187569999999</v>
      </c>
      <c r="AZ115" s="74">
        <v>0.59317546779999997</v>
      </c>
      <c r="BA115" s="74">
        <v>0.59342821020000003</v>
      </c>
      <c r="BB115" s="74">
        <v>0.59368010900000001</v>
      </c>
      <c r="BC115" s="74">
        <v>0.59393116940000001</v>
      </c>
      <c r="BD115" s="74">
        <v>0.59418139530000003</v>
      </c>
      <c r="BE115" s="74">
        <v>0.59443078930000004</v>
      </c>
      <c r="BF115" s="74">
        <v>0.59467935329999999</v>
      </c>
      <c r="BG115" s="74">
        <v>0.59492708800000005</v>
      </c>
      <c r="BH115" s="74">
        <v>0.59517399339999999</v>
      </c>
      <c r="BI115" s="74">
        <v>0.59542006879999998</v>
      </c>
      <c r="BJ115" s="74">
        <v>0.5956653127</v>
      </c>
      <c r="BK115" s="74">
        <v>0.59590972289999999</v>
      </c>
      <c r="BL115" s="74">
        <v>0.59615329679999995</v>
      </c>
      <c r="BM115" s="74">
        <v>0.59639603109999995</v>
      </c>
      <c r="BN115" s="74">
        <v>0.5966379221</v>
      </c>
      <c r="BO115" s="74">
        <v>0.59687896569999999</v>
      </c>
      <c r="BP115" s="74">
        <v>0.59711915739999999</v>
      </c>
      <c r="BQ115" s="74">
        <v>0.59735849240000005</v>
      </c>
      <c r="BR115" s="74">
        <v>0.59759696549999997</v>
      </c>
      <c r="BS115" s="74">
        <v>0.59783457129999995</v>
      </c>
      <c r="BT115" s="74">
        <v>0.5980713043</v>
      </c>
      <c r="BU115" s="74">
        <v>0.59830715860000006</v>
      </c>
      <c r="BV115" s="74">
        <v>0.59854212829999998</v>
      </c>
      <c r="BW115" s="74">
        <v>0.59877620730000003</v>
      </c>
      <c r="BX115" s="74">
        <v>0.59900938930000003</v>
      </c>
      <c r="BY115" s="74">
        <v>0.59924166810000001</v>
      </c>
      <c r="BZ115" s="74">
        <v>0.59947303740000002</v>
      </c>
      <c r="CA115" s="74">
        <v>0.59970349069999995</v>
      </c>
      <c r="CB115" s="74">
        <v>0.59993302169999996</v>
      </c>
      <c r="CC115" s="74">
        <v>0.60016162390000005</v>
      </c>
      <c r="CD115" s="74">
        <v>0.60038929090000004</v>
      </c>
      <c r="CE115" s="74">
        <v>0.60061601639999995</v>
      </c>
      <c r="CF115" s="74">
        <v>0.60084179400000004</v>
      </c>
      <c r="CG115" s="74">
        <v>0.60106661750000001</v>
      </c>
      <c r="CH115" s="74">
        <v>0.60129048070000002</v>
      </c>
      <c r="CI115" s="74">
        <v>0.60151337739999999</v>
      </c>
      <c r="CJ115" s="74">
        <v>0.60173530159999999</v>
      </c>
      <c r="CK115" s="74">
        <v>0.60195624739999998</v>
      </c>
      <c r="CL115" s="74">
        <v>0.60217620890000001</v>
      </c>
      <c r="CM115" s="74">
        <v>0.60239518049999996</v>
      </c>
      <c r="CN115" s="74">
        <v>0.60261315650000002</v>
      </c>
      <c r="CO115" s="74">
        <v>0.60283013149999998</v>
      </c>
      <c r="CP115" s="74">
        <v>0.60304610020000005</v>
      </c>
      <c r="CQ115" s="74">
        <v>0.60326105730000001</v>
      </c>
      <c r="CR115" s="74">
        <v>0.60347499780000002</v>
      </c>
      <c r="CS115" s="74">
        <v>0.6036879168</v>
      </c>
      <c r="CT115" s="74">
        <v>0.6038998096</v>
      </c>
      <c r="CU115" s="74">
        <v>0.60411067159999998</v>
      </c>
      <c r="CV115" s="74">
        <v>0.60432049830000001</v>
      </c>
      <c r="CW115" s="74">
        <v>0.60452928539999995</v>
      </c>
      <c r="CX115" s="74">
        <v>0.60473702890000003</v>
      </c>
      <c r="CY115" s="74">
        <v>0.60494372480000003</v>
      </c>
      <c r="CZ115" s="74">
        <v>0.60514936919999995</v>
      </c>
      <c r="DA115" s="74">
        <v>0.60535395869999997</v>
      </c>
      <c r="DB115" s="74">
        <v>0.6055574896</v>
      </c>
      <c r="DC115" s="74">
        <v>0.6057599588</v>
      </c>
      <c r="DD115" s="74">
        <v>0.60596136310000004</v>
      </c>
      <c r="DE115" s="74">
        <v>0.60616169959999999</v>
      </c>
      <c r="DF115" s="74">
        <v>0.60636096539999995</v>
      </c>
      <c r="DG115" s="74">
        <v>0.60655915790000003</v>
      </c>
      <c r="DH115" s="74">
        <v>0.60675627480000005</v>
      </c>
      <c r="DI115" s="74">
        <v>0.60695231360000002</v>
      </c>
      <c r="DJ115" s="74">
        <v>0.60714727229999998</v>
      </c>
      <c r="DK115" s="74">
        <v>0.60734114890000002</v>
      </c>
      <c r="DL115" s="74">
        <v>0.60753394169999997</v>
      </c>
      <c r="DM115" s="74">
        <v>0.60772564890000003</v>
      </c>
      <c r="DN115" s="74">
        <v>0.60791626909999996</v>
      </c>
      <c r="DO115" s="74">
        <v>0.60810580089999999</v>
      </c>
      <c r="DP115" s="74">
        <v>0.60829424330000004</v>
      </c>
      <c r="DQ115" s="74">
        <v>0.6084815952</v>
      </c>
      <c r="DR115" s="74">
        <v>0.60866785580000005</v>
      </c>
      <c r="DS115" s="74">
        <v>0.60885302429999999</v>
      </c>
      <c r="DT115" s="74">
        <v>0.60903710020000001</v>
      </c>
      <c r="DU115" s="74">
        <v>0.60922008309999998</v>
      </c>
      <c r="DV115" s="74">
        <v>0.60940197279999997</v>
      </c>
      <c r="DW115" s="74">
        <v>0.60958276909999998</v>
      </c>
      <c r="DX115" s="74">
        <v>0.609762472</v>
      </c>
      <c r="DY115" s="74">
        <v>0.60994108170000005</v>
      </c>
      <c r="DZ115" s="74">
        <v>0.61011859859999995</v>
      </c>
      <c r="EA115" s="74">
        <v>0.61029502309999994</v>
      </c>
      <c r="EB115" s="74">
        <v>0.61047035569999997</v>
      </c>
      <c r="EC115" s="74">
        <v>0.61064459709999996</v>
      </c>
      <c r="ED115" s="74">
        <v>0.61081774820000001</v>
      </c>
      <c r="EE115" s="74">
        <v>0.61098980999999997</v>
      </c>
      <c r="EF115" s="74">
        <v>0.61116078350000003</v>
      </c>
      <c r="EG115" s="74">
        <v>0.61133066989999996</v>
      </c>
      <c r="EH115" s="74">
        <v>0.61149947059999998</v>
      </c>
      <c r="EI115" s="74">
        <v>0.611667187</v>
      </c>
      <c r="EJ115" s="74">
        <v>0.61183382060000002</v>
      </c>
      <c r="EK115" s="74">
        <v>0.61199937319999997</v>
      </c>
      <c r="EL115" s="74">
        <v>0.61216384660000001</v>
      </c>
      <c r="EM115" s="74">
        <v>0.61232724250000004</v>
      </c>
      <c r="EN115" s="74">
        <v>0.61248956300000001</v>
      </c>
      <c r="EO115" s="74">
        <v>0.61265081030000001</v>
      </c>
      <c r="EP115" s="74">
        <v>0.61281098649999999</v>
      </c>
      <c r="EQ115" s="74">
        <v>0.61297009390000001</v>
      </c>
      <c r="ER115" s="74">
        <v>0.61312813489999995</v>
      </c>
      <c r="ES115" s="74">
        <v>0.61328511200000002</v>
      </c>
      <c r="ET115" s="74">
        <v>0.61344102779999998</v>
      </c>
      <c r="EU115" s="74">
        <v>0.61359588509999996</v>
      </c>
      <c r="EV115" s="74">
        <v>0.61374968640000005</v>
      </c>
      <c r="EW115" s="74">
        <v>0.61390243470000005</v>
      </c>
      <c r="EX115" s="74">
        <v>0.614054133</v>
      </c>
      <c r="EY115" s="74">
        <v>0.61420478420000002</v>
      </c>
      <c r="EZ115" s="74">
        <v>0.61435439150000004</v>
      </c>
      <c r="FA115" s="74">
        <v>0.61450295799999999</v>
      </c>
      <c r="FB115" s="74">
        <v>0.61465048700000002</v>
      </c>
      <c r="FC115" s="74">
        <v>0.61479698179999998</v>
      </c>
      <c r="FD115" s="74">
        <v>0.61494244580000001</v>
      </c>
      <c r="FE115" s="74">
        <v>0.61508688239999998</v>
      </c>
      <c r="FF115" s="74">
        <v>0.61523029529999995</v>
      </c>
      <c r="FG115" s="74">
        <v>0.61537268789999999</v>
      </c>
      <c r="FH115" s="74">
        <v>0.61551406409999998</v>
      </c>
      <c r="FI115" s="74">
        <v>0.61565442739999998</v>
      </c>
      <c r="FJ115" s="74">
        <v>0.61579378169999999</v>
      </c>
      <c r="FK115" s="74">
        <v>0.61593213079999998</v>
      </c>
      <c r="FL115" s="74">
        <v>0.61606947860000005</v>
      </c>
      <c r="FM115" s="74">
        <v>0.6162058292</v>
      </c>
      <c r="FN115" s="74">
        <v>0.61634118640000002</v>
      </c>
      <c r="FO115" s="74">
        <v>0.61647555430000001</v>
      </c>
      <c r="FP115" s="74">
        <v>0.61660893719999998</v>
      </c>
      <c r="FQ115" s="74">
        <v>0.61674133900000006</v>
      </c>
    </row>
    <row r="116" spans="1:173" x14ac:dyDescent="0.25">
      <c r="A116" s="76">
        <v>114</v>
      </c>
      <c r="B116" s="74">
        <v>0.58561615929999999</v>
      </c>
      <c r="C116" s="74">
        <v>0.58599461220000004</v>
      </c>
      <c r="D116" s="74">
        <v>0.58636474559999996</v>
      </c>
      <c r="E116" s="74">
        <v>0.58672709069999995</v>
      </c>
      <c r="F116" s="74">
        <v>0.58708214260000002</v>
      </c>
      <c r="G116" s="74">
        <v>0.58743036250000003</v>
      </c>
      <c r="H116" s="74">
        <v>0.58777218040000001</v>
      </c>
      <c r="I116" s="74">
        <v>0.58810799670000002</v>
      </c>
      <c r="J116" s="74">
        <v>0.58843818449999996</v>
      </c>
      <c r="K116" s="74">
        <v>0.58876309130000004</v>
      </c>
      <c r="L116" s="74">
        <v>0.58908304060000005</v>
      </c>
      <c r="M116" s="74">
        <v>0.58939833370000005</v>
      </c>
      <c r="N116" s="74">
        <v>0.58970925100000005</v>
      </c>
      <c r="O116" s="74">
        <v>0.59001605349999997</v>
      </c>
      <c r="P116" s="74">
        <v>0.59031898390000004</v>
      </c>
      <c r="Q116" s="74">
        <v>0.59061826809999995</v>
      </c>
      <c r="R116" s="74">
        <v>0.59091411589999998</v>
      </c>
      <c r="S116" s="74">
        <v>0.59120672259999996</v>
      </c>
      <c r="T116" s="74">
        <v>0.59149626929999999</v>
      </c>
      <c r="U116" s="74">
        <v>0.59178292450000003</v>
      </c>
      <c r="V116" s="74">
        <v>0.59206684430000001</v>
      </c>
      <c r="W116" s="74">
        <v>0.59234817390000005</v>
      </c>
      <c r="X116" s="74">
        <v>0.59262704749999995</v>
      </c>
      <c r="Y116" s="74">
        <v>0.59290358980000002</v>
      </c>
      <c r="Z116" s="74">
        <v>0.59317791610000004</v>
      </c>
      <c r="AA116" s="74">
        <v>0.59345013339999997</v>
      </c>
      <c r="AB116" s="74">
        <v>0.59372034019999997</v>
      </c>
      <c r="AC116" s="74">
        <v>0.59398862799999996</v>
      </c>
      <c r="AD116" s="74">
        <v>0.59425508110000003</v>
      </c>
      <c r="AE116" s="74">
        <v>0.59451977710000004</v>
      </c>
      <c r="AF116" s="74">
        <v>0.59478278770000004</v>
      </c>
      <c r="AG116" s="74">
        <v>0.59504417899999995</v>
      </c>
      <c r="AH116" s="74">
        <v>0.59530401170000002</v>
      </c>
      <c r="AI116" s="74">
        <v>0.59556234139999997</v>
      </c>
      <c r="AJ116" s="74">
        <v>0.59581921940000004</v>
      </c>
      <c r="AK116" s="74">
        <v>0.5960746925</v>
      </c>
      <c r="AL116" s="74">
        <v>0.59632880359999996</v>
      </c>
      <c r="AM116" s="74">
        <v>0.59658159170000002</v>
      </c>
      <c r="AN116" s="74">
        <v>0.59683309259999995</v>
      </c>
      <c r="AO116" s="74">
        <v>0.59708333859999996</v>
      </c>
      <c r="AP116" s="74">
        <v>0.59733235920000005</v>
      </c>
      <c r="AQ116" s="74">
        <v>0.5975801811</v>
      </c>
      <c r="AR116" s="74">
        <v>0.5978268283</v>
      </c>
      <c r="AS116" s="74">
        <v>0.59807232239999997</v>
      </c>
      <c r="AT116" s="74">
        <v>0.59831668289999995</v>
      </c>
      <c r="AU116" s="74">
        <v>0.59855992710000006</v>
      </c>
      <c r="AV116" s="74">
        <v>0.59880207050000001</v>
      </c>
      <c r="AW116" s="74">
        <v>0.59904312660000003</v>
      </c>
      <c r="AX116" s="74">
        <v>0.59928310760000003</v>
      </c>
      <c r="AY116" s="74">
        <v>0.59952202389999998</v>
      </c>
      <c r="AZ116" s="74">
        <v>0.59975988459999996</v>
      </c>
      <c r="BA116" s="74">
        <v>0.59999669749999995</v>
      </c>
      <c r="BB116" s="74">
        <v>0.60023246929999996</v>
      </c>
      <c r="BC116" s="74">
        <v>0.60046720549999999</v>
      </c>
      <c r="BD116" s="74">
        <v>0.60070091059999997</v>
      </c>
      <c r="BE116" s="74">
        <v>0.60093358819999998</v>
      </c>
      <c r="BF116" s="74">
        <v>0.60116524110000003</v>
      </c>
      <c r="BG116" s="74">
        <v>0.60139587139999995</v>
      </c>
      <c r="BH116" s="74">
        <v>0.60162548019999995</v>
      </c>
      <c r="BI116" s="74">
        <v>0.60185406829999999</v>
      </c>
      <c r="BJ116" s="74">
        <v>0.60208163589999997</v>
      </c>
      <c r="BK116" s="74">
        <v>0.60230818230000005</v>
      </c>
      <c r="BL116" s="74">
        <v>0.60253370689999997</v>
      </c>
      <c r="BM116" s="74">
        <v>0.60275820820000003</v>
      </c>
      <c r="BN116" s="74">
        <v>0.60298168460000001</v>
      </c>
      <c r="BO116" s="74">
        <v>0.60320413409999996</v>
      </c>
      <c r="BP116" s="74">
        <v>0.6034255543</v>
      </c>
      <c r="BQ116" s="74">
        <v>0.60364594270000005</v>
      </c>
      <c r="BR116" s="74">
        <v>0.60386529659999999</v>
      </c>
      <c r="BS116" s="74">
        <v>0.6040836128</v>
      </c>
      <c r="BT116" s="74">
        <v>0.60430088839999996</v>
      </c>
      <c r="BU116" s="74">
        <v>0.60451712010000003</v>
      </c>
      <c r="BV116" s="74">
        <v>0.60473230440000003</v>
      </c>
      <c r="BW116" s="74">
        <v>0.60494643800000003</v>
      </c>
      <c r="BX116" s="74">
        <v>0.60515951720000005</v>
      </c>
      <c r="BY116" s="74">
        <v>0.60537153850000003</v>
      </c>
      <c r="BZ116" s="74">
        <v>0.6055824984</v>
      </c>
      <c r="CA116" s="74">
        <v>0.60579239330000001</v>
      </c>
      <c r="CB116" s="74">
        <v>0.60600121949999997</v>
      </c>
      <c r="CC116" s="74">
        <v>0.60620897350000003</v>
      </c>
      <c r="CD116" s="74">
        <v>0.60641565180000001</v>
      </c>
      <c r="CE116" s="74">
        <v>0.60662125089999996</v>
      </c>
      <c r="CF116" s="74">
        <v>0.60682576740000005</v>
      </c>
      <c r="CG116" s="74">
        <v>0.60702919789999998</v>
      </c>
      <c r="CH116" s="74">
        <v>0.60723153929999996</v>
      </c>
      <c r="CI116" s="74">
        <v>0.60743278830000003</v>
      </c>
      <c r="CJ116" s="74">
        <v>0.60763294180000005</v>
      </c>
      <c r="CK116" s="74">
        <v>0.6078319969</v>
      </c>
      <c r="CL116" s="74">
        <v>0.6080299508</v>
      </c>
      <c r="CM116" s="74">
        <v>0.60822680060000001</v>
      </c>
      <c r="CN116" s="74">
        <v>0.60842254389999995</v>
      </c>
      <c r="CO116" s="74">
        <v>0.60861717800000004</v>
      </c>
      <c r="CP116" s="74">
        <v>0.60881070069999998</v>
      </c>
      <c r="CQ116" s="74">
        <v>0.60900310960000004</v>
      </c>
      <c r="CR116" s="74">
        <v>0.60919440280000003</v>
      </c>
      <c r="CS116" s="74">
        <v>0.60938457830000003</v>
      </c>
      <c r="CT116" s="74">
        <v>0.60957363419999999</v>
      </c>
      <c r="CU116" s="74">
        <v>0.609761569</v>
      </c>
      <c r="CV116" s="74">
        <v>0.60994838100000004</v>
      </c>
      <c r="CW116" s="74">
        <v>0.610134069</v>
      </c>
      <c r="CX116" s="74">
        <v>0.61031863159999999</v>
      </c>
      <c r="CY116" s="74">
        <v>0.61050206789999995</v>
      </c>
      <c r="CZ116" s="74">
        <v>0.61068437689999999</v>
      </c>
      <c r="DA116" s="74">
        <v>0.61086555779999996</v>
      </c>
      <c r="DB116" s="74">
        <v>0.61104561010000003</v>
      </c>
      <c r="DC116" s="74">
        <v>0.61122453310000002</v>
      </c>
      <c r="DD116" s="74">
        <v>0.61140232670000005</v>
      </c>
      <c r="DE116" s="74">
        <v>0.61157899059999998</v>
      </c>
      <c r="DF116" s="74">
        <v>0.61175452480000003</v>
      </c>
      <c r="DG116" s="74">
        <v>0.61192892929999998</v>
      </c>
      <c r="DH116" s="74">
        <v>0.61210220459999998</v>
      </c>
      <c r="DI116" s="74">
        <v>0.61227435080000003</v>
      </c>
      <c r="DJ116" s="74">
        <v>0.61244536869999999</v>
      </c>
      <c r="DK116" s="74">
        <v>0.61261525890000001</v>
      </c>
      <c r="DL116" s="74">
        <v>0.61278402210000005</v>
      </c>
      <c r="DM116" s="74">
        <v>0.61295165929999995</v>
      </c>
      <c r="DN116" s="74">
        <v>0.61311817170000005</v>
      </c>
      <c r="DO116" s="74">
        <v>0.61328356049999999</v>
      </c>
      <c r="DP116" s="74">
        <v>0.613447827</v>
      </c>
      <c r="DQ116" s="74">
        <v>0.61361097259999997</v>
      </c>
      <c r="DR116" s="74">
        <v>0.61377299910000005</v>
      </c>
      <c r="DS116" s="74">
        <v>0.61393390810000004</v>
      </c>
      <c r="DT116" s="74">
        <v>0.61409370159999999</v>
      </c>
      <c r="DU116" s="74">
        <v>0.61425238140000005</v>
      </c>
      <c r="DV116" s="74">
        <v>0.61440994969999996</v>
      </c>
      <c r="DW116" s="74">
        <v>0.61456640870000001</v>
      </c>
      <c r="DX116" s="74">
        <v>0.61472176069999995</v>
      </c>
      <c r="DY116" s="74">
        <v>0.6148760083</v>
      </c>
      <c r="DZ116" s="74">
        <v>0.61502915380000001</v>
      </c>
      <c r="EA116" s="74">
        <v>0.61518120009999999</v>
      </c>
      <c r="EB116" s="74">
        <v>0.61533214979999995</v>
      </c>
      <c r="EC116" s="74">
        <v>0.61548200580000001</v>
      </c>
      <c r="ED116" s="74">
        <v>0.61563077109999997</v>
      </c>
      <c r="EE116" s="74">
        <v>0.61577844879999999</v>
      </c>
      <c r="EF116" s="74">
        <v>0.61592504199999998</v>
      </c>
      <c r="EG116" s="74">
        <v>0.61607055399999999</v>
      </c>
      <c r="EH116" s="74">
        <v>0.61621498809999997</v>
      </c>
      <c r="EI116" s="74">
        <v>0.61635834779999998</v>
      </c>
      <c r="EJ116" s="74">
        <v>0.61650063659999998</v>
      </c>
      <c r="EK116" s="74">
        <v>0.61664185810000005</v>
      </c>
      <c r="EL116" s="74">
        <v>0.61678201600000004</v>
      </c>
      <c r="EM116" s="74">
        <v>0.61692111400000005</v>
      </c>
      <c r="EN116" s="74">
        <v>0.61705915609999995</v>
      </c>
      <c r="EO116" s="74">
        <v>0.61719614609999995</v>
      </c>
      <c r="EP116" s="74">
        <v>0.61733208799999995</v>
      </c>
      <c r="EQ116" s="74">
        <v>0.61746698590000004</v>
      </c>
      <c r="ER116" s="74">
        <v>0.61760084400000004</v>
      </c>
      <c r="ES116" s="74">
        <v>0.61773366649999994</v>
      </c>
      <c r="ET116" s="74">
        <v>0.61786545749999999</v>
      </c>
      <c r="EU116" s="74">
        <v>0.6179962215</v>
      </c>
      <c r="EV116" s="74">
        <v>0.61812596289999999</v>
      </c>
      <c r="EW116" s="74">
        <v>0.61825468610000001</v>
      </c>
      <c r="EX116" s="74">
        <v>0.61838239549999996</v>
      </c>
      <c r="EY116" s="74">
        <v>0.61850909590000003</v>
      </c>
      <c r="EZ116" s="74">
        <v>0.61863479180000003</v>
      </c>
      <c r="FA116" s="74">
        <v>0.61875948780000001</v>
      </c>
      <c r="FB116" s="74">
        <v>0.61888318870000003</v>
      </c>
      <c r="FC116" s="74">
        <v>0.61900589930000005</v>
      </c>
      <c r="FD116" s="74">
        <v>0.61912762430000001</v>
      </c>
      <c r="FE116" s="74">
        <v>0.61924836859999999</v>
      </c>
      <c r="FF116" s="74">
        <v>0.61936813719999995</v>
      </c>
      <c r="FG116" s="74">
        <v>0.61948693489999995</v>
      </c>
      <c r="FH116" s="74">
        <v>0.61960476669999998</v>
      </c>
      <c r="FI116" s="74">
        <v>0.61972163759999999</v>
      </c>
      <c r="FJ116" s="74">
        <v>0.61983755269999996</v>
      </c>
      <c r="FK116" s="74">
        <v>0.61995251709999999</v>
      </c>
      <c r="FL116" s="74">
        <v>0.62006653590000005</v>
      </c>
      <c r="FM116" s="74">
        <v>0.6201796141</v>
      </c>
      <c r="FN116" s="74">
        <v>0.62029175700000005</v>
      </c>
      <c r="FO116" s="74">
        <v>0.62040296979999998</v>
      </c>
      <c r="FP116" s="74">
        <v>0.62051325769999999</v>
      </c>
      <c r="FQ116" s="74">
        <v>0.62062262599999996</v>
      </c>
    </row>
    <row r="117" spans="1:173" x14ac:dyDescent="0.25">
      <c r="A117" s="76">
        <v>115</v>
      </c>
      <c r="B117" s="74">
        <v>0.5919375939</v>
      </c>
      <c r="C117" s="74">
        <v>0.5922968287</v>
      </c>
      <c r="D117" s="74">
        <v>0.59264829799999996</v>
      </c>
      <c r="E117" s="74">
        <v>0.59299248410000005</v>
      </c>
      <c r="F117" s="74">
        <v>0.59332983579999998</v>
      </c>
      <c r="G117" s="74">
        <v>0.59366077129999995</v>
      </c>
      <c r="H117" s="74">
        <v>0.59398567980000005</v>
      </c>
      <c r="I117" s="74">
        <v>0.59430492349999997</v>
      </c>
      <c r="J117" s="74">
        <v>0.59461883969999996</v>
      </c>
      <c r="K117" s="74">
        <v>0.59492774209999999</v>
      </c>
      <c r="L117" s="74">
        <v>0.59523192300000005</v>
      </c>
      <c r="M117" s="74">
        <v>0.59553165389999996</v>
      </c>
      <c r="N117" s="74">
        <v>0.59582718769999998</v>
      </c>
      <c r="O117" s="74">
        <v>0.59611875930000002</v>
      </c>
      <c r="P117" s="74">
        <v>0.59640658739999997</v>
      </c>
      <c r="Q117" s="74">
        <v>0.59669087489999995</v>
      </c>
      <c r="R117" s="74">
        <v>0.59697181070000005</v>
      </c>
      <c r="S117" s="74">
        <v>0.59724957010000002</v>
      </c>
      <c r="T117" s="74">
        <v>0.59752431589999999</v>
      </c>
      <c r="U117" s="74">
        <v>0.59779619920000004</v>
      </c>
      <c r="V117" s="74">
        <v>0.59806536020000001</v>
      </c>
      <c r="W117" s="74">
        <v>0.59833192909999999</v>
      </c>
      <c r="X117" s="74">
        <v>0.59859602629999997</v>
      </c>
      <c r="Y117" s="74">
        <v>0.59885776369999999</v>
      </c>
      <c r="Z117" s="74">
        <v>0.59911724450000003</v>
      </c>
      <c r="AA117" s="74">
        <v>0.59937456469999995</v>
      </c>
      <c r="AB117" s="74">
        <v>0.59962981280000005</v>
      </c>
      <c r="AC117" s="74">
        <v>0.59988307060000001</v>
      </c>
      <c r="AD117" s="74">
        <v>0.60013441379999999</v>
      </c>
      <c r="AE117" s="74">
        <v>0.60038391219999998</v>
      </c>
      <c r="AF117" s="74">
        <v>0.6006316303</v>
      </c>
      <c r="AG117" s="74">
        <v>0.60087762730000005</v>
      </c>
      <c r="AH117" s="74">
        <v>0.6011219579</v>
      </c>
      <c r="AI117" s="74">
        <v>0.60136467230000001</v>
      </c>
      <c r="AJ117" s="74">
        <v>0.60160581680000003</v>
      </c>
      <c r="AK117" s="74">
        <v>0.60184543369999999</v>
      </c>
      <c r="AL117" s="74">
        <v>0.60208356190000001</v>
      </c>
      <c r="AM117" s="74">
        <v>0.60232023700000004</v>
      </c>
      <c r="AN117" s="74">
        <v>0.60255549149999998</v>
      </c>
      <c r="AO117" s="74">
        <v>0.60278935519999999</v>
      </c>
      <c r="AP117" s="74">
        <v>0.60302185500000005</v>
      </c>
      <c r="AQ117" s="74">
        <v>0.60325301570000001</v>
      </c>
      <c r="AR117" s="74">
        <v>0.60348285970000004</v>
      </c>
      <c r="AS117" s="74">
        <v>0.60371140710000004</v>
      </c>
      <c r="AT117" s="74">
        <v>0.60393867649999999</v>
      </c>
      <c r="AU117" s="74">
        <v>0.60416468430000003</v>
      </c>
      <c r="AV117" s="74">
        <v>0.60438944549999996</v>
      </c>
      <c r="AW117" s="74">
        <v>0.60461297339999998</v>
      </c>
      <c r="AX117" s="74">
        <v>0.60483527999999998</v>
      </c>
      <c r="AY117" s="74">
        <v>0.60505637599999995</v>
      </c>
      <c r="AZ117" s="74">
        <v>0.60527627090000002</v>
      </c>
      <c r="BA117" s="74">
        <v>0.60549497299999999</v>
      </c>
      <c r="BB117" s="74">
        <v>0.60571248970000002</v>
      </c>
      <c r="BC117" s="74">
        <v>0.60592882739999998</v>
      </c>
      <c r="BD117" s="74">
        <v>0.6061439918</v>
      </c>
      <c r="BE117" s="74">
        <v>0.60635798760000004</v>
      </c>
      <c r="BF117" s="74">
        <v>0.60657081899999998</v>
      </c>
      <c r="BG117" s="74">
        <v>0.60678248940000001</v>
      </c>
      <c r="BH117" s="74">
        <v>0.60699300180000004</v>
      </c>
      <c r="BI117" s="74">
        <v>0.60720235860000005</v>
      </c>
      <c r="BJ117" s="74">
        <v>0.60741056159999995</v>
      </c>
      <c r="BK117" s="74">
        <v>0.6076176123</v>
      </c>
      <c r="BL117" s="74">
        <v>0.60782351189999995</v>
      </c>
      <c r="BM117" s="74">
        <v>0.60802826109999997</v>
      </c>
      <c r="BN117" s="74">
        <v>0.60823186039999999</v>
      </c>
      <c r="BO117" s="74">
        <v>0.60843430990000003</v>
      </c>
      <c r="BP117" s="74">
        <v>0.60863560979999998</v>
      </c>
      <c r="BQ117" s="74">
        <v>0.60883575970000003</v>
      </c>
      <c r="BR117" s="74">
        <v>0.60903475920000005</v>
      </c>
      <c r="BS117" s="74">
        <v>0.6092326079</v>
      </c>
      <c r="BT117" s="74">
        <v>0.60942930520000005</v>
      </c>
      <c r="BU117" s="74">
        <v>0.60962485020000001</v>
      </c>
      <c r="BV117" s="74">
        <v>0.60981924219999994</v>
      </c>
      <c r="BW117" s="74">
        <v>0.61001248029999999</v>
      </c>
      <c r="BX117" s="74">
        <v>0.61020456359999997</v>
      </c>
      <c r="BY117" s="74">
        <v>0.61039549120000003</v>
      </c>
      <c r="BZ117" s="74">
        <v>0.61058526229999999</v>
      </c>
      <c r="CA117" s="74">
        <v>0.61077387589999999</v>
      </c>
      <c r="CB117" s="74">
        <v>0.61096133109999995</v>
      </c>
      <c r="CC117" s="74">
        <v>0.61114762710000003</v>
      </c>
      <c r="CD117" s="74">
        <v>0.61133276309999995</v>
      </c>
      <c r="CE117" s="74">
        <v>0.61151673839999998</v>
      </c>
      <c r="CF117" s="74">
        <v>0.61169955229999995</v>
      </c>
      <c r="CG117" s="74">
        <v>0.61188120430000004</v>
      </c>
      <c r="CH117" s="74">
        <v>0.61206169369999996</v>
      </c>
      <c r="CI117" s="74">
        <v>0.61224102030000005</v>
      </c>
      <c r="CJ117" s="74">
        <v>0.61241918360000003</v>
      </c>
      <c r="CK117" s="74">
        <v>0.6125961835</v>
      </c>
      <c r="CL117" s="74">
        <v>0.61277201979999996</v>
      </c>
      <c r="CM117" s="74">
        <v>0.6129466925</v>
      </c>
      <c r="CN117" s="74">
        <v>0.61312020170000003</v>
      </c>
      <c r="CO117" s="74">
        <v>0.61329254769999997</v>
      </c>
      <c r="CP117" s="74">
        <v>0.61346373060000003</v>
      </c>
      <c r="CQ117" s="74">
        <v>0.61363375109999996</v>
      </c>
      <c r="CR117" s="74">
        <v>0.6138026097</v>
      </c>
      <c r="CS117" s="74">
        <v>0.61397030699999999</v>
      </c>
      <c r="CT117" s="74">
        <v>0.61413684390000001</v>
      </c>
      <c r="CU117" s="74">
        <v>0.61430222140000001</v>
      </c>
      <c r="CV117" s="74">
        <v>0.61446644049999999</v>
      </c>
      <c r="CW117" s="74">
        <v>0.61462950240000003</v>
      </c>
      <c r="CX117" s="74">
        <v>0.61479140840000002</v>
      </c>
      <c r="CY117" s="74">
        <v>0.61495216009999998</v>
      </c>
      <c r="CZ117" s="74">
        <v>0.61511175890000003</v>
      </c>
      <c r="DA117" s="74">
        <v>0.61527020659999998</v>
      </c>
      <c r="DB117" s="74">
        <v>0.61542750499999999</v>
      </c>
      <c r="DC117" s="74">
        <v>0.61558365609999999</v>
      </c>
      <c r="DD117" s="74">
        <v>0.61573866200000005</v>
      </c>
      <c r="DE117" s="74">
        <v>0.61589252480000001</v>
      </c>
      <c r="DF117" s="74">
        <v>0.61604524679999995</v>
      </c>
      <c r="DG117" s="74">
        <v>0.61619683059999997</v>
      </c>
      <c r="DH117" s="74">
        <v>0.61634727860000005</v>
      </c>
      <c r="DI117" s="74">
        <v>0.61649659349999997</v>
      </c>
      <c r="DJ117" s="74">
        <v>0.61664477819999997</v>
      </c>
      <c r="DK117" s="74">
        <v>0.61679183540000004</v>
      </c>
      <c r="DL117" s="74">
        <v>0.61693776830000002</v>
      </c>
      <c r="DM117" s="74">
        <v>0.61708257990000004</v>
      </c>
      <c r="DN117" s="74">
        <v>0.61722627350000003</v>
      </c>
      <c r="DO117" s="74">
        <v>0.61736885239999995</v>
      </c>
      <c r="DP117" s="74">
        <v>0.61751031999999995</v>
      </c>
      <c r="DQ117" s="74">
        <v>0.6176506799</v>
      </c>
      <c r="DR117" s="74">
        <v>0.61778993559999995</v>
      </c>
      <c r="DS117" s="74">
        <v>0.6179280909</v>
      </c>
      <c r="DT117" s="74">
        <v>0.61806514970000004</v>
      </c>
      <c r="DU117" s="74">
        <v>0.61820111580000003</v>
      </c>
      <c r="DV117" s="74">
        <v>0.61833599319999999</v>
      </c>
      <c r="DW117" s="74">
        <v>0.61846978600000002</v>
      </c>
      <c r="DX117" s="74">
        <v>0.61860249840000003</v>
      </c>
      <c r="DY117" s="74">
        <v>0.61873413470000005</v>
      </c>
      <c r="DZ117" s="74">
        <v>0.61886469909999997</v>
      </c>
      <c r="EA117" s="74">
        <v>0.61899419609999995</v>
      </c>
      <c r="EB117" s="74">
        <v>0.61912263020000002</v>
      </c>
      <c r="EC117" s="74">
        <v>0.61925000590000001</v>
      </c>
      <c r="ED117" s="74">
        <v>0.61937632789999997</v>
      </c>
      <c r="EE117" s="74">
        <v>0.61950160080000005</v>
      </c>
      <c r="EF117" s="74">
        <v>0.6196258295</v>
      </c>
      <c r="EG117" s="74">
        <v>0.61974901869999999</v>
      </c>
      <c r="EH117" s="74">
        <v>0.61987117339999998</v>
      </c>
      <c r="EI117" s="74">
        <v>0.61999229850000004</v>
      </c>
      <c r="EJ117" s="74">
        <v>0.62011239900000004</v>
      </c>
      <c r="EK117" s="74">
        <v>0.62023147999999995</v>
      </c>
      <c r="EL117" s="74">
        <v>0.62034954659999997</v>
      </c>
      <c r="EM117" s="74">
        <v>0.62046660399999998</v>
      </c>
      <c r="EN117" s="74">
        <v>0.62058265749999997</v>
      </c>
      <c r="EO117" s="74">
        <v>0.62069771220000003</v>
      </c>
      <c r="EP117" s="74">
        <v>0.62081177350000005</v>
      </c>
      <c r="EQ117" s="74">
        <v>0.62092484680000004</v>
      </c>
      <c r="ER117" s="74">
        <v>0.62103693739999999</v>
      </c>
      <c r="ES117" s="74">
        <v>0.62114805090000003</v>
      </c>
      <c r="ET117" s="74">
        <v>0.62125819260000004</v>
      </c>
      <c r="EU117" s="74">
        <v>0.62136736820000005</v>
      </c>
      <c r="EV117" s="74">
        <v>0.62147558309999995</v>
      </c>
      <c r="EW117" s="74">
        <v>0.621582843</v>
      </c>
      <c r="EX117" s="74">
        <v>0.62168915339999997</v>
      </c>
      <c r="EY117" s="74">
        <v>0.62179452010000003</v>
      </c>
      <c r="EZ117" s="74">
        <v>0.62189894859999995</v>
      </c>
      <c r="FA117" s="74">
        <v>0.62200244469999999</v>
      </c>
      <c r="FB117" s="74">
        <v>0.62210501409999996</v>
      </c>
      <c r="FC117" s="74">
        <v>0.62220666250000001</v>
      </c>
      <c r="FD117" s="74">
        <v>0.62230739580000005</v>
      </c>
      <c r="FE117" s="74">
        <v>0.62240721960000001</v>
      </c>
      <c r="FF117" s="74">
        <v>0.62250613980000002</v>
      </c>
      <c r="FG117" s="74">
        <v>0.62260416230000004</v>
      </c>
      <c r="FH117" s="74">
        <v>0.62270129269999996</v>
      </c>
      <c r="FI117" s="74">
        <v>0.62279753709999996</v>
      </c>
      <c r="FJ117" s="74">
        <v>0.62289290119999996</v>
      </c>
      <c r="FK117" s="74">
        <v>0.62298739089999999</v>
      </c>
      <c r="FL117" s="74">
        <v>0.6230810121</v>
      </c>
      <c r="FM117" s="74">
        <v>0.62317377070000002</v>
      </c>
      <c r="FN117" s="74">
        <v>0.62326567249999998</v>
      </c>
      <c r="FO117" s="74">
        <v>0.62335672350000004</v>
      </c>
      <c r="FP117" s="74">
        <v>0.62344692950000002</v>
      </c>
      <c r="FQ117" s="74">
        <v>0.62353629649999998</v>
      </c>
    </row>
    <row r="118" spans="1:173" x14ac:dyDescent="0.25">
      <c r="A118" s="76">
        <v>116</v>
      </c>
      <c r="B118" s="74">
        <v>0.5974457836</v>
      </c>
      <c r="C118" s="74">
        <v>0.59778360890000004</v>
      </c>
      <c r="D118" s="74">
        <v>0.59811419349999995</v>
      </c>
      <c r="E118" s="74">
        <v>0.59843797440000002</v>
      </c>
      <c r="F118" s="74">
        <v>0.59875535810000002</v>
      </c>
      <c r="G118" s="74">
        <v>0.59906672289999996</v>
      </c>
      <c r="H118" s="74">
        <v>0.59937242079999997</v>
      </c>
      <c r="I118" s="74">
        <v>0.59967277910000005</v>
      </c>
      <c r="J118" s="74">
        <v>0.59996810239999998</v>
      </c>
      <c r="K118" s="74">
        <v>0.6002586741</v>
      </c>
      <c r="L118" s="74">
        <v>0.60054475750000003</v>
      </c>
      <c r="M118" s="74">
        <v>0.6008265975</v>
      </c>
      <c r="N118" s="74">
        <v>0.60110442200000003</v>
      </c>
      <c r="O118" s="74">
        <v>0.60137844269999996</v>
      </c>
      <c r="P118" s="74">
        <v>0.60164885619999997</v>
      </c>
      <c r="Q118" s="74">
        <v>0.60191584539999998</v>
      </c>
      <c r="R118" s="74">
        <v>0.60217958000000005</v>
      </c>
      <c r="S118" s="74">
        <v>0.60244021780000001</v>
      </c>
      <c r="T118" s="74">
        <v>0.60269790519999999</v>
      </c>
      <c r="U118" s="74">
        <v>0.60295277800000002</v>
      </c>
      <c r="V118" s="74">
        <v>0.60320496239999999</v>
      </c>
      <c r="W118" s="74">
        <v>0.60345457530000002</v>
      </c>
      <c r="X118" s="74">
        <v>0.60370172509999998</v>
      </c>
      <c r="Y118" s="74">
        <v>0.60394651229999996</v>
      </c>
      <c r="Z118" s="74">
        <v>0.60418903000000002</v>
      </c>
      <c r="AA118" s="74">
        <v>0.60442936439999995</v>
      </c>
      <c r="AB118" s="74">
        <v>0.60466759540000004</v>
      </c>
      <c r="AC118" s="74">
        <v>0.60490379679999995</v>
      </c>
      <c r="AD118" s="74">
        <v>0.6051380368</v>
      </c>
      <c r="AE118" s="74">
        <v>0.60537037849999997</v>
      </c>
      <c r="AF118" s="74">
        <v>0.60560088030000003</v>
      </c>
      <c r="AG118" s="74">
        <v>0.60582959589999996</v>
      </c>
      <c r="AH118" s="74">
        <v>0.60605657499999999</v>
      </c>
      <c r="AI118" s="74">
        <v>0.6062818633</v>
      </c>
      <c r="AJ118" s="74">
        <v>0.60650550299999995</v>
      </c>
      <c r="AK118" s="74">
        <v>0.60672753290000003</v>
      </c>
      <c r="AL118" s="74">
        <v>0.6069479888</v>
      </c>
      <c r="AM118" s="74">
        <v>0.60716690350000002</v>
      </c>
      <c r="AN118" s="74">
        <v>0.60738430710000002</v>
      </c>
      <c r="AO118" s="74">
        <v>0.60760022739999997</v>
      </c>
      <c r="AP118" s="74">
        <v>0.60781468969999997</v>
      </c>
      <c r="AQ118" s="74">
        <v>0.60802771720000004</v>
      </c>
      <c r="AR118" s="74">
        <v>0.60823933139999997</v>
      </c>
      <c r="AS118" s="74">
        <v>0.60844955160000003</v>
      </c>
      <c r="AT118" s="74">
        <v>0.60865839570000002</v>
      </c>
      <c r="AU118" s="74">
        <v>0.60886587989999996</v>
      </c>
      <c r="AV118" s="74">
        <v>0.60907201899999996</v>
      </c>
      <c r="AW118" s="74">
        <v>0.60927682660000004</v>
      </c>
      <c r="AX118" s="74">
        <v>0.60948031489999999</v>
      </c>
      <c r="AY118" s="74">
        <v>0.60968249500000005</v>
      </c>
      <c r="AZ118" s="74">
        <v>0.60988337709999996</v>
      </c>
      <c r="BA118" s="74">
        <v>0.61008297050000004</v>
      </c>
      <c r="BB118" s="74">
        <v>0.61028128349999999</v>
      </c>
      <c r="BC118" s="74">
        <v>0.61047832359999998</v>
      </c>
      <c r="BD118" s="74">
        <v>0.61067409760000002</v>
      </c>
      <c r="BE118" s="74">
        <v>0.61086861189999997</v>
      </c>
      <c r="BF118" s="74">
        <v>0.61106187199999995</v>
      </c>
      <c r="BG118" s="74">
        <v>0.61125388290000005</v>
      </c>
      <c r="BH118" s="74">
        <v>0.61144464919999997</v>
      </c>
      <c r="BI118" s="74">
        <v>0.61163417509999995</v>
      </c>
      <c r="BJ118" s="74">
        <v>0.61182246439999999</v>
      </c>
      <c r="BK118" s="74">
        <v>0.61200952040000001</v>
      </c>
      <c r="BL118" s="74">
        <v>0.61219534630000005</v>
      </c>
      <c r="BM118" s="74">
        <v>0.61237994490000003</v>
      </c>
      <c r="BN118" s="74">
        <v>0.61256331880000003</v>
      </c>
      <c r="BO118" s="74">
        <v>0.61274547030000004</v>
      </c>
      <c r="BP118" s="74">
        <v>0.6129264016</v>
      </c>
      <c r="BQ118" s="74">
        <v>0.61310611479999999</v>
      </c>
      <c r="BR118" s="74">
        <v>0.61328461180000005</v>
      </c>
      <c r="BS118" s="74">
        <v>0.61346189429999998</v>
      </c>
      <c r="BT118" s="74">
        <v>0.61363796420000005</v>
      </c>
      <c r="BU118" s="74">
        <v>0.61381282290000005</v>
      </c>
      <c r="BV118" s="74">
        <v>0.61398647220000002</v>
      </c>
      <c r="BW118" s="74">
        <v>0.61415891359999997</v>
      </c>
      <c r="BX118" s="74">
        <v>0.61433014860000001</v>
      </c>
      <c r="BY118" s="74">
        <v>0.61450017879999996</v>
      </c>
      <c r="BZ118" s="74">
        <v>0.61466900560000004</v>
      </c>
      <c r="CA118" s="74">
        <v>0.61483663070000005</v>
      </c>
      <c r="CB118" s="74">
        <v>0.61500305570000002</v>
      </c>
      <c r="CC118" s="74">
        <v>0.61516828209999996</v>
      </c>
      <c r="CD118" s="74">
        <v>0.61533231160000001</v>
      </c>
      <c r="CE118" s="74">
        <v>0.61549514599999999</v>
      </c>
      <c r="CF118" s="74">
        <v>0.61565678700000004</v>
      </c>
      <c r="CG118" s="74">
        <v>0.61581723659999998</v>
      </c>
      <c r="CH118" s="74">
        <v>0.61597649649999997</v>
      </c>
      <c r="CI118" s="74">
        <v>0.61613456889999996</v>
      </c>
      <c r="CJ118" s="74">
        <v>0.6162914558</v>
      </c>
      <c r="CK118" s="74">
        <v>0.61644715940000006</v>
      </c>
      <c r="CL118" s="74">
        <v>0.61660168199999998</v>
      </c>
      <c r="CM118" s="74">
        <v>0.61675502579999997</v>
      </c>
      <c r="CN118" s="74">
        <v>0.6169071934</v>
      </c>
      <c r="CO118" s="74">
        <v>0.61705818739999996</v>
      </c>
      <c r="CP118" s="74">
        <v>0.61720801020000005</v>
      </c>
      <c r="CQ118" s="74">
        <v>0.61735666479999995</v>
      </c>
      <c r="CR118" s="74">
        <v>0.61750415390000002</v>
      </c>
      <c r="CS118" s="74">
        <v>0.61765048050000004</v>
      </c>
      <c r="CT118" s="74">
        <v>0.61779564760000005</v>
      </c>
      <c r="CU118" s="74">
        <v>0.61793965839999998</v>
      </c>
      <c r="CV118" s="74">
        <v>0.61808251609999998</v>
      </c>
      <c r="CW118" s="74">
        <v>0.6182242241</v>
      </c>
      <c r="CX118" s="74">
        <v>0.61836478579999998</v>
      </c>
      <c r="CY118" s="74">
        <v>0.61850420490000002</v>
      </c>
      <c r="CZ118" s="74">
        <v>0.61864248479999995</v>
      </c>
      <c r="DA118" s="74">
        <v>0.61877962949999998</v>
      </c>
      <c r="DB118" s="74">
        <v>0.61891564269999999</v>
      </c>
      <c r="DC118" s="74">
        <v>0.61905052839999997</v>
      </c>
      <c r="DD118" s="74">
        <v>0.61918429070000003</v>
      </c>
      <c r="DE118" s="74">
        <v>0.61931693359999995</v>
      </c>
      <c r="DF118" s="74">
        <v>0.61944846139999998</v>
      </c>
      <c r="DG118" s="74">
        <v>0.61957887840000003</v>
      </c>
      <c r="DH118" s="74">
        <v>0.61970818900000002</v>
      </c>
      <c r="DI118" s="74">
        <v>0.61983639769999999</v>
      </c>
      <c r="DJ118" s="74">
        <v>0.61996350909999998</v>
      </c>
      <c r="DK118" s="74">
        <v>0.62008952780000004</v>
      </c>
      <c r="DL118" s="74">
        <v>0.62021445850000001</v>
      </c>
      <c r="DM118" s="74">
        <v>0.62033830619999997</v>
      </c>
      <c r="DN118" s="74">
        <v>0.62046107559999997</v>
      </c>
      <c r="DO118" s="74">
        <v>0.62058277169999998</v>
      </c>
      <c r="DP118" s="74">
        <v>0.62070339959999998</v>
      </c>
      <c r="DQ118" s="74">
        <v>0.62082296439999995</v>
      </c>
      <c r="DR118" s="74">
        <v>0.62094147129999999</v>
      </c>
      <c r="DS118" s="74">
        <v>0.62105892539999996</v>
      </c>
      <c r="DT118" s="74">
        <v>0.62117533219999999</v>
      </c>
      <c r="DU118" s="74">
        <v>0.62129069699999995</v>
      </c>
      <c r="DV118" s="74">
        <v>0.62140502519999996</v>
      </c>
      <c r="DW118" s="74">
        <v>0.62151832230000004</v>
      </c>
      <c r="DX118" s="74">
        <v>0.62163059379999996</v>
      </c>
      <c r="DY118" s="74">
        <v>0.62174184529999998</v>
      </c>
      <c r="DZ118" s="74">
        <v>0.62185208260000002</v>
      </c>
      <c r="EA118" s="74">
        <v>0.62196131119999998</v>
      </c>
      <c r="EB118" s="74">
        <v>0.6220695369</v>
      </c>
      <c r="EC118" s="74">
        <v>0.62217676560000001</v>
      </c>
      <c r="ED118" s="74">
        <v>0.62228300299999995</v>
      </c>
      <c r="EE118" s="74">
        <v>0.62238825499999995</v>
      </c>
      <c r="EF118" s="74">
        <v>0.62249252759999996</v>
      </c>
      <c r="EG118" s="74">
        <v>0.62259582660000001</v>
      </c>
      <c r="EH118" s="74">
        <v>0.62269815809999995</v>
      </c>
      <c r="EI118" s="74">
        <v>0.62279952800000005</v>
      </c>
      <c r="EJ118" s="74">
        <v>0.62289994240000002</v>
      </c>
      <c r="EK118" s="74">
        <v>0.62299940750000005</v>
      </c>
      <c r="EL118" s="74">
        <v>0.62309792919999996</v>
      </c>
      <c r="EM118" s="74">
        <v>0.62319551380000004</v>
      </c>
      <c r="EN118" s="74">
        <v>0.62329216730000003</v>
      </c>
      <c r="EO118" s="74">
        <v>0.623387896</v>
      </c>
      <c r="EP118" s="74">
        <v>0.62348270610000001</v>
      </c>
      <c r="EQ118" s="74">
        <v>0.62357660370000001</v>
      </c>
      <c r="ER118" s="74">
        <v>0.62366959499999997</v>
      </c>
      <c r="ES118" s="74">
        <v>0.62376168639999996</v>
      </c>
      <c r="ET118" s="74">
        <v>0.62385288419999996</v>
      </c>
      <c r="EU118" s="74">
        <v>0.62394319440000001</v>
      </c>
      <c r="EV118" s="74">
        <v>0.62403262349999999</v>
      </c>
      <c r="EW118" s="74">
        <v>0.62412117779999998</v>
      </c>
      <c r="EX118" s="74">
        <v>0.62420886340000004</v>
      </c>
      <c r="EY118" s="74">
        <v>0.62429568680000003</v>
      </c>
      <c r="EZ118" s="74">
        <v>0.62438165430000003</v>
      </c>
      <c r="FA118" s="74">
        <v>0.62446677210000001</v>
      </c>
      <c r="FB118" s="74">
        <v>0.62455104650000004</v>
      </c>
      <c r="FC118" s="74">
        <v>0.62463448399999999</v>
      </c>
      <c r="FD118" s="74">
        <v>0.62471709070000003</v>
      </c>
      <c r="FE118" s="74">
        <v>0.62479887300000003</v>
      </c>
      <c r="FF118" s="74">
        <v>0.62487983729999996</v>
      </c>
      <c r="FG118" s="74">
        <v>0.6249599897</v>
      </c>
      <c r="FH118" s="74">
        <v>0.6250393367</v>
      </c>
      <c r="FI118" s="74">
        <v>0.62511788450000005</v>
      </c>
      <c r="FJ118" s="74">
        <v>0.62519563929999999</v>
      </c>
      <c r="FK118" s="74">
        <v>0.62527260750000002</v>
      </c>
      <c r="FL118" s="74">
        <v>0.62534879529999998</v>
      </c>
      <c r="FM118" s="74">
        <v>0.62542420899999995</v>
      </c>
      <c r="FN118" s="74">
        <v>0.6254988548</v>
      </c>
      <c r="FO118" s="74">
        <v>0.62557273889999998</v>
      </c>
      <c r="FP118" s="74">
        <v>0.62564586749999995</v>
      </c>
      <c r="FQ118" s="74">
        <v>0.6257182469</v>
      </c>
    </row>
    <row r="119" spans="1:173" x14ac:dyDescent="0.25">
      <c r="A119" s="76">
        <v>117</v>
      </c>
      <c r="B119" s="74">
        <v>0.60223321439999999</v>
      </c>
      <c r="C119" s="74">
        <v>0.60254837559999996</v>
      </c>
      <c r="D119" s="74">
        <v>0.60285679449999996</v>
      </c>
      <c r="E119" s="74">
        <v>0.60315886679999997</v>
      </c>
      <c r="F119" s="74">
        <v>0.6034549602</v>
      </c>
      <c r="G119" s="74">
        <v>0.60374541670000004</v>
      </c>
      <c r="H119" s="74">
        <v>0.60403055419999996</v>
      </c>
      <c r="I119" s="74">
        <v>0.60431066840000003</v>
      </c>
      <c r="J119" s="74">
        <v>0.60458603420000001</v>
      </c>
      <c r="K119" s="74">
        <v>0.60485690719999996</v>
      </c>
      <c r="L119" s="74">
        <v>0.60512352489999999</v>
      </c>
      <c r="M119" s="74">
        <v>0.60538610820000005</v>
      </c>
      <c r="N119" s="74">
        <v>0.60564486230000003</v>
      </c>
      <c r="O119" s="74">
        <v>0.60589997790000005</v>
      </c>
      <c r="P119" s="74">
        <v>0.60615163230000002</v>
      </c>
      <c r="Q119" s="74">
        <v>0.60639999010000001</v>
      </c>
      <c r="R119" s="74">
        <v>0.60664520420000001</v>
      </c>
      <c r="S119" s="74">
        <v>0.60688741670000002</v>
      </c>
      <c r="T119" s="74">
        <v>0.60712675940000005</v>
      </c>
      <c r="U119" s="74">
        <v>0.60736335480000003</v>
      </c>
      <c r="V119" s="74">
        <v>0.60759731640000003</v>
      </c>
      <c r="W119" s="74">
        <v>0.60782874980000001</v>
      </c>
      <c r="X119" s="74">
        <v>0.60805775269999995</v>
      </c>
      <c r="Y119" s="74">
        <v>0.60828441570000003</v>
      </c>
      <c r="Z119" s="74">
        <v>0.60850882319999999</v>
      </c>
      <c r="AA119" s="74">
        <v>0.60873105289999996</v>
      </c>
      <c r="AB119" s="74">
        <v>0.60895117720000003</v>
      </c>
      <c r="AC119" s="74">
        <v>0.60916926299999996</v>
      </c>
      <c r="AD119" s="74">
        <v>0.60938537230000001</v>
      </c>
      <c r="AE119" s="74">
        <v>0.60959956240000002</v>
      </c>
      <c r="AF119" s="74">
        <v>0.60981188659999996</v>
      </c>
      <c r="AG119" s="74">
        <v>0.61002239400000002</v>
      </c>
      <c r="AH119" s="74">
        <v>0.61023113009999996</v>
      </c>
      <c r="AI119" s="74">
        <v>0.61043813690000004</v>
      </c>
      <c r="AJ119" s="74">
        <v>0.61064345340000004</v>
      </c>
      <c r="AK119" s="74">
        <v>0.61084711550000004</v>
      </c>
      <c r="AL119" s="74">
        <v>0.61104915640000002</v>
      </c>
      <c r="AM119" s="74">
        <v>0.61124960669999995</v>
      </c>
      <c r="AN119" s="74">
        <v>0.61144849489999997</v>
      </c>
      <c r="AO119" s="74">
        <v>0.61164584710000003</v>
      </c>
      <c r="AP119" s="74">
        <v>0.61184168750000001</v>
      </c>
      <c r="AQ119" s="74">
        <v>0.61203603839999998</v>
      </c>
      <c r="AR119" s="74">
        <v>0.61222892039999999</v>
      </c>
      <c r="AS119" s="74">
        <v>0.61242035250000004</v>
      </c>
      <c r="AT119" s="74">
        <v>0.61261035230000005</v>
      </c>
      <c r="AU119" s="74">
        <v>0.61279893590000001</v>
      </c>
      <c r="AV119" s="74">
        <v>0.61298611839999995</v>
      </c>
      <c r="AW119" s="74">
        <v>0.61317191360000001</v>
      </c>
      <c r="AX119" s="74">
        <v>0.61335633430000003</v>
      </c>
      <c r="AY119" s="74">
        <v>0.61353939219999998</v>
      </c>
      <c r="AZ119" s="74">
        <v>0.6137210984</v>
      </c>
      <c r="BA119" s="74">
        <v>0.61390146310000004</v>
      </c>
      <c r="BB119" s="74">
        <v>0.61408049549999999</v>
      </c>
      <c r="BC119" s="74">
        <v>0.61425820440000001</v>
      </c>
      <c r="BD119" s="74">
        <v>0.61443459810000001</v>
      </c>
      <c r="BE119" s="74">
        <v>0.61460968390000004</v>
      </c>
      <c r="BF119" s="74">
        <v>0.61478346910000004</v>
      </c>
      <c r="BG119" s="74">
        <v>0.61495596019999998</v>
      </c>
      <c r="BH119" s="74">
        <v>0.61512716349999996</v>
      </c>
      <c r="BI119" s="74">
        <v>0.6152970847</v>
      </c>
      <c r="BJ119" s="74">
        <v>0.6154657295</v>
      </c>
      <c r="BK119" s="74">
        <v>0.61563310289999995</v>
      </c>
      <c r="BL119" s="74">
        <v>0.61579921000000004</v>
      </c>
      <c r="BM119" s="74">
        <v>0.6159640556</v>
      </c>
      <c r="BN119" s="74">
        <v>0.61612764399999997</v>
      </c>
      <c r="BO119" s="74">
        <v>0.6162899798</v>
      </c>
      <c r="BP119" s="74">
        <v>0.61645106699999996</v>
      </c>
      <c r="BQ119" s="74">
        <v>0.6166109098</v>
      </c>
      <c r="BR119" s="74">
        <v>0.61676951219999998</v>
      </c>
      <c r="BS119" s="74">
        <v>0.61692687800000001</v>
      </c>
      <c r="BT119" s="74">
        <v>0.61708301099999996</v>
      </c>
      <c r="BU119" s="74">
        <v>0.61723791500000003</v>
      </c>
      <c r="BV119" s="74">
        <v>0.61739159369999996</v>
      </c>
      <c r="BW119" s="74">
        <v>0.61754405079999997</v>
      </c>
      <c r="BX119" s="74">
        <v>0.6176952899</v>
      </c>
      <c r="BY119" s="74">
        <v>0.61784531470000004</v>
      </c>
      <c r="BZ119" s="74">
        <v>0.61799412899999995</v>
      </c>
      <c r="CA119" s="74">
        <v>0.61814173630000002</v>
      </c>
      <c r="CB119" s="74">
        <v>0.61828814040000002</v>
      </c>
      <c r="CC119" s="74">
        <v>0.61843334510000003</v>
      </c>
      <c r="CD119" s="74">
        <v>0.61857735400000002</v>
      </c>
      <c r="CE119" s="74">
        <v>0.61872017109999999</v>
      </c>
      <c r="CF119" s="74">
        <v>0.61886180020000003</v>
      </c>
      <c r="CG119" s="74">
        <v>0.61900224520000002</v>
      </c>
      <c r="CH119" s="74">
        <v>0.61914151019999997</v>
      </c>
      <c r="CI119" s="74">
        <v>0.61927959909999997</v>
      </c>
      <c r="CJ119" s="74">
        <v>0.61941651600000003</v>
      </c>
      <c r="CK119" s="74">
        <v>0.61955226519999995</v>
      </c>
      <c r="CL119" s="74">
        <v>0.61968685079999997</v>
      </c>
      <c r="CM119" s="74">
        <v>0.6198202773</v>
      </c>
      <c r="CN119" s="74">
        <v>0.61995254889999996</v>
      </c>
      <c r="CO119" s="74">
        <v>0.62008367019999999</v>
      </c>
      <c r="CP119" s="74">
        <v>0.62021364570000004</v>
      </c>
      <c r="CQ119" s="74">
        <v>0.62034248000000003</v>
      </c>
      <c r="CR119" s="74">
        <v>0.62047017770000001</v>
      </c>
      <c r="CS119" s="74">
        <v>0.62059674369999995</v>
      </c>
      <c r="CT119" s="74">
        <v>0.62072218280000002</v>
      </c>
      <c r="CU119" s="74">
        <v>0.62084649989999996</v>
      </c>
      <c r="CV119" s="74">
        <v>0.62096969989999995</v>
      </c>
      <c r="CW119" s="74">
        <v>0.62109178809999999</v>
      </c>
      <c r="CX119" s="74">
        <v>0.62121276940000003</v>
      </c>
      <c r="CY119" s="74">
        <v>0.62133264909999997</v>
      </c>
      <c r="CZ119" s="74">
        <v>0.62145143250000001</v>
      </c>
      <c r="DA119" s="74">
        <v>0.62156912490000005</v>
      </c>
      <c r="DB119" s="74">
        <v>0.62168573179999997</v>
      </c>
      <c r="DC119" s="74">
        <v>0.62180125860000002</v>
      </c>
      <c r="DD119" s="74">
        <v>0.62191571089999997</v>
      </c>
      <c r="DE119" s="74">
        <v>0.62202909429999997</v>
      </c>
      <c r="DF119" s="74">
        <v>0.62214141440000004</v>
      </c>
      <c r="DG119" s="74">
        <v>0.62225267709999998</v>
      </c>
      <c r="DH119" s="74">
        <v>0.62236288819999996</v>
      </c>
      <c r="DI119" s="74">
        <v>0.62247205329999999</v>
      </c>
      <c r="DJ119" s="74">
        <v>0.62258017860000003</v>
      </c>
      <c r="DK119" s="74">
        <v>0.62268726990000001</v>
      </c>
      <c r="DL119" s="74">
        <v>0.62279333329999997</v>
      </c>
      <c r="DM119" s="74">
        <v>0.62289837469999998</v>
      </c>
      <c r="DN119" s="74">
        <v>0.62300240039999999</v>
      </c>
      <c r="DO119" s="74">
        <v>0.62310541659999996</v>
      </c>
      <c r="DP119" s="74">
        <v>0.62320742929999995</v>
      </c>
      <c r="DQ119" s="74">
        <v>0.62330844480000003</v>
      </c>
      <c r="DR119" s="74">
        <v>0.62340846940000005</v>
      </c>
      <c r="DS119" s="74">
        <v>0.6235075095</v>
      </c>
      <c r="DT119" s="74">
        <v>0.62360557139999995</v>
      </c>
      <c r="DU119" s="74">
        <v>0.62370266149999998</v>
      </c>
      <c r="DV119" s="74">
        <v>0.62379878619999996</v>
      </c>
      <c r="DW119" s="74">
        <v>0.62389395189999997</v>
      </c>
      <c r="DX119" s="74">
        <v>0.6239881652</v>
      </c>
      <c r="DY119" s="74">
        <v>0.62408143250000003</v>
      </c>
      <c r="DZ119" s="74">
        <v>0.62417376040000005</v>
      </c>
      <c r="EA119" s="74">
        <v>0.62426515540000005</v>
      </c>
      <c r="EB119" s="74">
        <v>0.62435562420000001</v>
      </c>
      <c r="EC119" s="74">
        <v>0.62444517320000004</v>
      </c>
      <c r="ED119" s="74">
        <v>0.6245338091</v>
      </c>
      <c r="EE119" s="74">
        <v>0.62462153860000003</v>
      </c>
      <c r="EF119" s="74">
        <v>0.62470836829999998</v>
      </c>
      <c r="EG119" s="74">
        <v>0.62479430469999997</v>
      </c>
      <c r="EH119" s="74">
        <v>0.6248793547</v>
      </c>
      <c r="EI119" s="74">
        <v>0.62496352479999995</v>
      </c>
      <c r="EJ119" s="74">
        <v>0.62504682180000004</v>
      </c>
      <c r="EK119" s="74">
        <v>0.62512925220000004</v>
      </c>
      <c r="EL119" s="74">
        <v>0.62521082289999996</v>
      </c>
      <c r="EM119" s="74">
        <v>0.62529154040000001</v>
      </c>
      <c r="EN119" s="74">
        <v>0.62537141159999998</v>
      </c>
      <c r="EO119" s="74">
        <v>0.62545044299999997</v>
      </c>
      <c r="EP119" s="74">
        <v>0.62552864129999997</v>
      </c>
      <c r="EQ119" s="74">
        <v>0.62560601329999999</v>
      </c>
      <c r="ER119" s="74">
        <v>0.62568256560000002</v>
      </c>
      <c r="ES119" s="74">
        <v>0.62575830489999995</v>
      </c>
      <c r="ET119" s="74">
        <v>0.62583323790000001</v>
      </c>
      <c r="EU119" s="74">
        <v>0.62590737119999995</v>
      </c>
      <c r="EV119" s="74">
        <v>0.6259807114</v>
      </c>
      <c r="EW119" s="74">
        <v>0.62605326520000004</v>
      </c>
      <c r="EX119" s="74">
        <v>0.62612503919999996</v>
      </c>
      <c r="EY119" s="74">
        <v>0.62619604009999996</v>
      </c>
      <c r="EZ119" s="74">
        <v>0.62626627440000004</v>
      </c>
      <c r="FA119" s="74">
        <v>0.62633574869999997</v>
      </c>
      <c r="FB119" s="74">
        <v>0.62640446949999995</v>
      </c>
      <c r="FC119" s="74">
        <v>0.62647244349999998</v>
      </c>
      <c r="FD119" s="74">
        <v>0.62653967700000002</v>
      </c>
      <c r="FE119" s="74">
        <v>0.62660617679999997</v>
      </c>
      <c r="FF119" s="74">
        <v>0.62667194910000001</v>
      </c>
      <c r="FG119" s="74">
        <v>0.62673700050000003</v>
      </c>
      <c r="FH119" s="74">
        <v>0.6268013375</v>
      </c>
      <c r="FI119" s="74">
        <v>0.6268649664</v>
      </c>
      <c r="FJ119" s="74">
        <v>0.62692789370000002</v>
      </c>
      <c r="FK119" s="74">
        <v>0.6269901256</v>
      </c>
      <c r="FL119" s="74">
        <v>0.62705166869999995</v>
      </c>
      <c r="FM119" s="74">
        <v>0.62711252910000004</v>
      </c>
      <c r="FN119" s="74">
        <v>0.6271727131</v>
      </c>
      <c r="FO119" s="74">
        <v>0.62723222710000004</v>
      </c>
      <c r="FP119" s="74">
        <v>0.6272910773</v>
      </c>
      <c r="FQ119" s="74">
        <v>0.62734926980000005</v>
      </c>
    </row>
    <row r="120" spans="1:173" x14ac:dyDescent="0.25">
      <c r="A120" s="76">
        <v>118</v>
      </c>
      <c r="B120" s="74">
        <v>0.60638513179999998</v>
      </c>
      <c r="C120" s="74">
        <v>0.60667712559999998</v>
      </c>
      <c r="D120" s="74">
        <v>0.60696285159999996</v>
      </c>
      <c r="E120" s="74">
        <v>0.6072426675</v>
      </c>
      <c r="F120" s="74">
        <v>0.60751690570000005</v>
      </c>
      <c r="G120" s="74">
        <v>0.60778587510000004</v>
      </c>
      <c r="H120" s="74">
        <v>0.60804986279999995</v>
      </c>
      <c r="I120" s="74">
        <v>0.6083091357</v>
      </c>
      <c r="J120" s="74">
        <v>0.60856394189999996</v>
      </c>
      <c r="K120" s="74">
        <v>0.60881451180000001</v>
      </c>
      <c r="L120" s="74">
        <v>0.60906105980000003</v>
      </c>
      <c r="M120" s="74">
        <v>0.60930378490000003</v>
      </c>
      <c r="N120" s="74">
        <v>0.60954287220000003</v>
      </c>
      <c r="O120" s="74">
        <v>0.60977849360000003</v>
      </c>
      <c r="P120" s="74">
        <v>0.61001080900000004</v>
      </c>
      <c r="Q120" s="74">
        <v>0.61023996660000002</v>
      </c>
      <c r="R120" s="74">
        <v>0.61046610450000005</v>
      </c>
      <c r="S120" s="74">
        <v>0.61068935079999997</v>
      </c>
      <c r="T120" s="74">
        <v>0.61090982439999997</v>
      </c>
      <c r="U120" s="74">
        <v>0.61112763589999997</v>
      </c>
      <c r="V120" s="74">
        <v>0.61134288790000002</v>
      </c>
      <c r="W120" s="74">
        <v>0.61155567570000002</v>
      </c>
      <c r="X120" s="74">
        <v>0.61176608789999998</v>
      </c>
      <c r="Y120" s="74">
        <v>0.61197420650000001</v>
      </c>
      <c r="Z120" s="74">
        <v>0.612180108</v>
      </c>
      <c r="AA120" s="74">
        <v>0.61238386300000003</v>
      </c>
      <c r="AB120" s="74">
        <v>0.61258553729999998</v>
      </c>
      <c r="AC120" s="74">
        <v>0.61278519200000003</v>
      </c>
      <c r="AD120" s="74">
        <v>0.61298288349999996</v>
      </c>
      <c r="AE120" s="74">
        <v>0.61317866450000003</v>
      </c>
      <c r="AF120" s="74">
        <v>0.61337258380000004</v>
      </c>
      <c r="AG120" s="74">
        <v>0.61356468649999996</v>
      </c>
      <c r="AH120" s="74">
        <v>0.61375501460000004</v>
      </c>
      <c r="AI120" s="74">
        <v>0.61394360719999996</v>
      </c>
      <c r="AJ120" s="74">
        <v>0.61413050039999995</v>
      </c>
      <c r="AK120" s="74">
        <v>0.6143157279</v>
      </c>
      <c r="AL120" s="74">
        <v>0.61449932070000002</v>
      </c>
      <c r="AM120" s="74">
        <v>0.61468130789999997</v>
      </c>
      <c r="AN120" s="74">
        <v>0.61486171639999998</v>
      </c>
      <c r="AO120" s="74">
        <v>0.6150405712</v>
      </c>
      <c r="AP120" s="74">
        <v>0.61521789549999994</v>
      </c>
      <c r="AQ120" s="74">
        <v>0.61539371099999995</v>
      </c>
      <c r="AR120" s="74">
        <v>0.61556803780000002</v>
      </c>
      <c r="AS120" s="74">
        <v>0.61574089470000004</v>
      </c>
      <c r="AT120" s="74">
        <v>0.6159122991</v>
      </c>
      <c r="AU120" s="74">
        <v>0.61608226749999995</v>
      </c>
      <c r="AV120" s="74">
        <v>0.6162508149</v>
      </c>
      <c r="AW120" s="74">
        <v>0.61641795580000003</v>
      </c>
      <c r="AX120" s="74">
        <v>0.61658370340000002</v>
      </c>
      <c r="AY120" s="74">
        <v>0.6167480702</v>
      </c>
      <c r="AZ120" s="74">
        <v>0.61691106799999995</v>
      </c>
      <c r="BA120" s="74">
        <v>0.61707270790000002</v>
      </c>
      <c r="BB120" s="74">
        <v>0.61723300029999995</v>
      </c>
      <c r="BC120" s="74">
        <v>0.61739195499999999</v>
      </c>
      <c r="BD120" s="74">
        <v>0.61754958140000005</v>
      </c>
      <c r="BE120" s="74">
        <v>0.61770588829999995</v>
      </c>
      <c r="BF120" s="74">
        <v>0.61786088409999995</v>
      </c>
      <c r="BG120" s="74">
        <v>0.61801457680000005</v>
      </c>
      <c r="BH120" s="74">
        <v>0.6181669742</v>
      </c>
      <c r="BI120" s="74">
        <v>0.61831808349999995</v>
      </c>
      <c r="BJ120" s="74">
        <v>0.61846791189999994</v>
      </c>
      <c r="BK120" s="74">
        <v>0.61861646609999998</v>
      </c>
      <c r="BL120" s="74">
        <v>0.61876375289999996</v>
      </c>
      <c r="BM120" s="74">
        <v>0.61890977840000005</v>
      </c>
      <c r="BN120" s="74">
        <v>0.61905454910000002</v>
      </c>
      <c r="BO120" s="74">
        <v>0.61919807090000001</v>
      </c>
      <c r="BP120" s="74">
        <v>0.61934034989999998</v>
      </c>
      <c r="BQ120" s="74">
        <v>0.61948139179999995</v>
      </c>
      <c r="BR120" s="74">
        <v>0.61962120239999996</v>
      </c>
      <c r="BS120" s="74">
        <v>0.61975978730000003</v>
      </c>
      <c r="BT120" s="74">
        <v>0.61989715209999996</v>
      </c>
      <c r="BU120" s="74">
        <v>0.62003330249999999</v>
      </c>
      <c r="BV120" s="74">
        <v>0.62016824380000002</v>
      </c>
      <c r="BW120" s="74">
        <v>0.62030198150000004</v>
      </c>
      <c r="BX120" s="74">
        <v>0.62043452109999997</v>
      </c>
      <c r="BY120" s="74">
        <v>0.62056586810000003</v>
      </c>
      <c r="BZ120" s="74">
        <v>0.6206960279</v>
      </c>
      <c r="CA120" s="74">
        <v>0.6208250059</v>
      </c>
      <c r="CB120" s="74">
        <v>0.62095280760000005</v>
      </c>
      <c r="CC120" s="74">
        <v>0.62107943840000002</v>
      </c>
      <c r="CD120" s="74">
        <v>0.62120490390000005</v>
      </c>
      <c r="CE120" s="74">
        <v>0.62132920960000004</v>
      </c>
      <c r="CF120" s="74">
        <v>0.62145236110000002</v>
      </c>
      <c r="CG120" s="74">
        <v>0.62157436389999998</v>
      </c>
      <c r="CH120" s="74">
        <v>0.62169522369999997</v>
      </c>
      <c r="CI120" s="74">
        <v>0.6218149462</v>
      </c>
      <c r="CJ120" s="74">
        <v>0.62193353699999998</v>
      </c>
      <c r="CK120" s="74">
        <v>0.62205100199999996</v>
      </c>
      <c r="CL120" s="74">
        <v>0.62216734689999997</v>
      </c>
      <c r="CM120" s="74">
        <v>0.62228257769999995</v>
      </c>
      <c r="CN120" s="74">
        <v>0.62239670010000003</v>
      </c>
      <c r="CO120" s="74">
        <v>0.62250972019999995</v>
      </c>
      <c r="CP120" s="74">
        <v>0.62262164399999997</v>
      </c>
      <c r="CQ120" s="74">
        <v>0.62273247750000005</v>
      </c>
      <c r="CR120" s="74">
        <v>0.62284222690000002</v>
      </c>
      <c r="CS120" s="74">
        <v>0.62295089820000005</v>
      </c>
      <c r="CT120" s="74">
        <v>0.6230584978</v>
      </c>
      <c r="CU120" s="74">
        <v>0.62316503170000004</v>
      </c>
      <c r="CV120" s="74">
        <v>0.62327050640000004</v>
      </c>
      <c r="CW120" s="74">
        <v>0.62337492819999996</v>
      </c>
      <c r="CX120" s="74">
        <v>0.6234783035</v>
      </c>
      <c r="CY120" s="74">
        <v>0.62358063870000002</v>
      </c>
      <c r="CZ120" s="74">
        <v>0.62368194030000002</v>
      </c>
      <c r="DA120" s="74">
        <v>0.62378221479999996</v>
      </c>
      <c r="DB120" s="74">
        <v>0.62388146879999995</v>
      </c>
      <c r="DC120" s="74">
        <v>0.62397970879999998</v>
      </c>
      <c r="DD120" s="74">
        <v>0.62407694160000005</v>
      </c>
      <c r="DE120" s="74">
        <v>0.62417317370000003</v>
      </c>
      <c r="DF120" s="74">
        <v>0.62426841190000004</v>
      </c>
      <c r="DG120" s="74">
        <v>0.62436266299999998</v>
      </c>
      <c r="DH120" s="74">
        <v>0.62445593369999997</v>
      </c>
      <c r="DI120" s="74">
        <v>0.62454823079999999</v>
      </c>
      <c r="DJ120" s="74">
        <v>0.62463956109999996</v>
      </c>
      <c r="DK120" s="74">
        <v>0.62472993160000001</v>
      </c>
      <c r="DL120" s="74">
        <v>0.62481934900000002</v>
      </c>
      <c r="DM120" s="74">
        <v>0.62490782030000003</v>
      </c>
      <c r="DN120" s="74">
        <v>0.62499535240000004</v>
      </c>
      <c r="DO120" s="74">
        <v>0.62508195229999997</v>
      </c>
      <c r="DP120" s="74">
        <v>0.62516762690000005</v>
      </c>
      <c r="DQ120" s="74">
        <v>0.62525238319999998</v>
      </c>
      <c r="DR120" s="74">
        <v>0.6253362281</v>
      </c>
      <c r="DS120" s="74">
        <v>0.62541916880000004</v>
      </c>
      <c r="DT120" s="74">
        <v>0.62550121209999998</v>
      </c>
      <c r="DU120" s="74">
        <v>0.62558236519999999</v>
      </c>
      <c r="DV120" s="74">
        <v>0.62566263499999997</v>
      </c>
      <c r="DW120" s="74">
        <v>0.62574202860000006</v>
      </c>
      <c r="DX120" s="74">
        <v>0.62582055299999995</v>
      </c>
      <c r="DY120" s="74">
        <v>0.6258982153</v>
      </c>
      <c r="DZ120" s="74">
        <v>0.62597502260000004</v>
      </c>
      <c r="EA120" s="74">
        <v>0.62605098169999995</v>
      </c>
      <c r="EB120" s="74">
        <v>0.62612609990000001</v>
      </c>
      <c r="EC120" s="74">
        <v>0.62620038410000001</v>
      </c>
      <c r="ED120" s="74">
        <v>0.62627384129999997</v>
      </c>
      <c r="EE120" s="74">
        <v>0.62634647870000004</v>
      </c>
      <c r="EF120" s="74">
        <v>0.62641830310000002</v>
      </c>
      <c r="EG120" s="74">
        <v>0.62648932170000005</v>
      </c>
      <c r="EH120" s="74">
        <v>0.62655954130000002</v>
      </c>
      <c r="EI120" s="74">
        <v>0.62662896899999998</v>
      </c>
      <c r="EJ120" s="74">
        <v>0.62669761180000005</v>
      </c>
      <c r="EK120" s="74">
        <v>0.62676547660000004</v>
      </c>
      <c r="EL120" s="74">
        <v>0.62683257029999995</v>
      </c>
      <c r="EM120" s="74">
        <v>0.62689890000000004</v>
      </c>
      <c r="EN120" s="74">
        <v>0.62696447239999997</v>
      </c>
      <c r="EO120" s="74">
        <v>0.62702929439999999</v>
      </c>
      <c r="EP120" s="74">
        <v>0.62709337300000001</v>
      </c>
      <c r="EQ120" s="74">
        <v>0.62715671500000003</v>
      </c>
      <c r="ER120" s="74">
        <v>0.62721932709999995</v>
      </c>
      <c r="ES120" s="74">
        <v>0.62728121619999999</v>
      </c>
      <c r="ET120" s="74">
        <v>0.62734238909999995</v>
      </c>
      <c r="EU120" s="74">
        <v>0.62740285250000005</v>
      </c>
      <c r="EV120" s="74">
        <v>0.62746261309999996</v>
      </c>
      <c r="EW120" s="74">
        <v>0.6275216777</v>
      </c>
      <c r="EX120" s="74">
        <v>0.62758005279999995</v>
      </c>
      <c r="EY120" s="74">
        <v>0.62763774510000003</v>
      </c>
      <c r="EZ120" s="74">
        <v>0.62769476130000001</v>
      </c>
      <c r="FA120" s="74">
        <v>0.62775110779999999</v>
      </c>
      <c r="FB120" s="74">
        <v>0.62780679130000006</v>
      </c>
      <c r="FC120" s="74">
        <v>0.62786181829999999</v>
      </c>
      <c r="FD120" s="74">
        <v>0.62791619519999997</v>
      </c>
      <c r="FE120" s="74">
        <v>0.62796992839999999</v>
      </c>
      <c r="FF120" s="74">
        <v>0.62802302450000003</v>
      </c>
      <c r="FG120" s="74">
        <v>0.62807548970000004</v>
      </c>
      <c r="FH120" s="74">
        <v>0.62812733050000003</v>
      </c>
      <c r="FI120" s="74">
        <v>0.62817855300000003</v>
      </c>
      <c r="FJ120" s="74">
        <v>0.62822916360000003</v>
      </c>
      <c r="FK120" s="74">
        <v>0.62827916859999999</v>
      </c>
      <c r="FL120" s="74">
        <v>0.62832857399999997</v>
      </c>
      <c r="FM120" s="74">
        <v>0.62837738620000005</v>
      </c>
      <c r="FN120" s="74">
        <v>0.62842561109999995</v>
      </c>
      <c r="FO120" s="74">
        <v>0.62847325489999994</v>
      </c>
      <c r="FP120" s="74">
        <v>0.62852032359999999</v>
      </c>
      <c r="FQ120" s="74">
        <v>0.62856682320000001</v>
      </c>
    </row>
    <row r="121" spans="1:173" x14ac:dyDescent="0.25">
      <c r="A121" s="76">
        <v>119</v>
      </c>
      <c r="B121" s="74">
        <v>0.60997914610000004</v>
      </c>
      <c r="C121" s="74">
        <v>0.61024805609999999</v>
      </c>
      <c r="D121" s="74">
        <v>0.61051115</v>
      </c>
      <c r="E121" s="74">
        <v>0.61076875090000005</v>
      </c>
      <c r="F121" s="74">
        <v>0.61102115909999999</v>
      </c>
      <c r="G121" s="74">
        <v>0.61126865340000003</v>
      </c>
      <c r="H121" s="74">
        <v>0.61151149309999997</v>
      </c>
      <c r="I121" s="74">
        <v>0.61174991899999998</v>
      </c>
      <c r="J121" s="74">
        <v>0.61198415480000001</v>
      </c>
      <c r="K121" s="74">
        <v>0.61221440859999998</v>
      </c>
      <c r="L121" s="74">
        <v>0.61244087359999999</v>
      </c>
      <c r="M121" s="74">
        <v>0.61266372950000003</v>
      </c>
      <c r="N121" s="74">
        <v>0.61288314300000002</v>
      </c>
      <c r="O121" s="74">
        <v>0.61309926950000004</v>
      </c>
      <c r="P121" s="74">
        <v>0.61331225290000002</v>
      </c>
      <c r="Q121" s="74">
        <v>0.61352222739999995</v>
      </c>
      <c r="R121" s="74">
        <v>0.61372931740000003</v>
      </c>
      <c r="S121" s="74">
        <v>0.61393363869999995</v>
      </c>
      <c r="T121" s="74">
        <v>0.61413529889999996</v>
      </c>
      <c r="U121" s="74">
        <v>0.614334398</v>
      </c>
      <c r="V121" s="74">
        <v>0.6145310289</v>
      </c>
      <c r="W121" s="74">
        <v>0.61472527799999999</v>
      </c>
      <c r="X121" s="74">
        <v>0.61491722559999995</v>
      </c>
      <c r="Y121" s="74">
        <v>0.61510694639999997</v>
      </c>
      <c r="Z121" s="74">
        <v>0.61529450990000001</v>
      </c>
      <c r="AA121" s="74">
        <v>0.61547998049999997</v>
      </c>
      <c r="AB121" s="74">
        <v>0.61566341840000005</v>
      </c>
      <c r="AC121" s="74">
        <v>0.61584487929999998</v>
      </c>
      <c r="AD121" s="74">
        <v>0.61602441529999996</v>
      </c>
      <c r="AE121" s="74">
        <v>0.61620207459999998</v>
      </c>
      <c r="AF121" s="74">
        <v>0.61637790219999999</v>
      </c>
      <c r="AG121" s="74">
        <v>0.61655194010000003</v>
      </c>
      <c r="AH121" s="74">
        <v>0.61672422719999997</v>
      </c>
      <c r="AI121" s="74">
        <v>0.61689479999999997</v>
      </c>
      <c r="AJ121" s="74">
        <v>0.61706369220000001</v>
      </c>
      <c r="AK121" s="74">
        <v>0.61723093559999997</v>
      </c>
      <c r="AL121" s="74">
        <v>0.61739655959999995</v>
      </c>
      <c r="AM121" s="74">
        <v>0.61756059169999999</v>
      </c>
      <c r="AN121" s="74">
        <v>0.61772305760000001</v>
      </c>
      <c r="AO121" s="74">
        <v>0.61788398150000001</v>
      </c>
      <c r="AP121" s="74">
        <v>0.61804338589999996</v>
      </c>
      <c r="AQ121" s="74">
        <v>0.61820129180000005</v>
      </c>
      <c r="AR121" s="74">
        <v>0.61835771910000004</v>
      </c>
      <c r="AS121" s="74">
        <v>0.61851268640000001</v>
      </c>
      <c r="AT121" s="74">
        <v>0.61866621099999997</v>
      </c>
      <c r="AU121" s="74">
        <v>0.61881830959999995</v>
      </c>
      <c r="AV121" s="74">
        <v>0.61896899760000001</v>
      </c>
      <c r="AW121" s="74">
        <v>0.61911828970000005</v>
      </c>
      <c r="AX121" s="74">
        <v>0.61926619969999996</v>
      </c>
      <c r="AY121" s="74">
        <v>0.61941274079999997</v>
      </c>
      <c r="AZ121" s="74">
        <v>0.61955792539999999</v>
      </c>
      <c r="BA121" s="74">
        <v>0.6197017655</v>
      </c>
      <c r="BB121" s="74">
        <v>0.61984427230000005</v>
      </c>
      <c r="BC121" s="74">
        <v>0.61998545670000005</v>
      </c>
      <c r="BD121" s="74">
        <v>0.62012532899999995</v>
      </c>
      <c r="BE121" s="74">
        <v>0.62026389920000002</v>
      </c>
      <c r="BF121" s="74">
        <v>0.62040117679999995</v>
      </c>
      <c r="BG121" s="74">
        <v>0.62053717109999995</v>
      </c>
      <c r="BH121" s="74">
        <v>0.62067189089999997</v>
      </c>
      <c r="BI121" s="74">
        <v>0.62080534499999995</v>
      </c>
      <c r="BJ121" s="74">
        <v>0.62093754160000003</v>
      </c>
      <c r="BK121" s="74">
        <v>0.62106848889999999</v>
      </c>
      <c r="BL121" s="74">
        <v>0.62119819499999995</v>
      </c>
      <c r="BM121" s="74">
        <v>0.62132666759999999</v>
      </c>
      <c r="BN121" s="74">
        <v>0.62145391439999997</v>
      </c>
      <c r="BO121" s="74">
        <v>0.62157994270000005</v>
      </c>
      <c r="BP121" s="74">
        <v>0.62170476009999998</v>
      </c>
      <c r="BQ121" s="74">
        <v>0.62182837369999999</v>
      </c>
      <c r="BR121" s="74">
        <v>0.62195079080000004</v>
      </c>
      <c r="BS121" s="74">
        <v>0.62207201840000004</v>
      </c>
      <c r="BT121" s="74">
        <v>0.62219206360000001</v>
      </c>
      <c r="BU121" s="74">
        <v>0.62231093329999998</v>
      </c>
      <c r="BV121" s="74">
        <v>0.62242863459999997</v>
      </c>
      <c r="BW121" s="74">
        <v>0.6225451742</v>
      </c>
      <c r="BX121" s="74">
        <v>0.62266055909999996</v>
      </c>
      <c r="BY121" s="74">
        <v>0.62277479609999997</v>
      </c>
      <c r="BZ121" s="74">
        <v>0.62288789209999995</v>
      </c>
      <c r="CA121" s="74">
        <v>0.62299985390000001</v>
      </c>
      <c r="CB121" s="74">
        <v>0.62311068830000005</v>
      </c>
      <c r="CC121" s="74">
        <v>0.62322040209999996</v>
      </c>
      <c r="CD121" s="74">
        <v>0.62332900219999998</v>
      </c>
      <c r="CE121" s="74">
        <v>0.62343649540000001</v>
      </c>
      <c r="CF121" s="74">
        <v>0.62354288849999995</v>
      </c>
      <c r="CG121" s="74">
        <v>0.62364818860000004</v>
      </c>
      <c r="CH121" s="74">
        <v>0.62375240239999996</v>
      </c>
      <c r="CI121" s="74">
        <v>0.62385553680000005</v>
      </c>
      <c r="CJ121" s="74">
        <v>0.62395759880000001</v>
      </c>
      <c r="CK121" s="74">
        <v>0.62405859529999996</v>
      </c>
      <c r="CL121" s="74">
        <v>0.62415853330000004</v>
      </c>
      <c r="CM121" s="74">
        <v>0.62425741990000005</v>
      </c>
      <c r="CN121" s="74">
        <v>0.62435526200000002</v>
      </c>
      <c r="CO121" s="74">
        <v>0.62445206659999997</v>
      </c>
      <c r="CP121" s="74">
        <v>0.62454784100000005</v>
      </c>
      <c r="CQ121" s="74">
        <v>0.62464259200000005</v>
      </c>
      <c r="CR121" s="74">
        <v>0.62473632700000004</v>
      </c>
      <c r="CS121" s="74">
        <v>0.62482905290000001</v>
      </c>
      <c r="CT121" s="74">
        <v>0.62492077710000005</v>
      </c>
      <c r="CU121" s="74">
        <v>0.62501150670000005</v>
      </c>
      <c r="CV121" s="74">
        <v>0.62510124879999995</v>
      </c>
      <c r="CW121" s="74">
        <v>0.62519001080000003</v>
      </c>
      <c r="CX121" s="74">
        <v>0.62527779979999998</v>
      </c>
      <c r="CY121" s="74">
        <v>0.62536462329999998</v>
      </c>
      <c r="CZ121" s="74">
        <v>0.62545048830000005</v>
      </c>
      <c r="DA121" s="74">
        <v>0.62553540230000004</v>
      </c>
      <c r="DB121" s="74">
        <v>0.6256193726</v>
      </c>
      <c r="DC121" s="74">
        <v>0.62570240649999997</v>
      </c>
      <c r="DD121" s="74">
        <v>0.62578451140000002</v>
      </c>
      <c r="DE121" s="74">
        <v>0.62586569449999996</v>
      </c>
      <c r="DF121" s="74">
        <v>0.62594596339999997</v>
      </c>
      <c r="DG121" s="74">
        <v>0.62602532529999999</v>
      </c>
      <c r="DH121" s="74">
        <v>0.62610378759999996</v>
      </c>
      <c r="DI121" s="74">
        <v>0.62618135770000005</v>
      </c>
      <c r="DJ121" s="74">
        <v>0.62625804309999999</v>
      </c>
      <c r="DK121" s="74">
        <v>0.62633385100000005</v>
      </c>
      <c r="DL121" s="74">
        <v>0.62640878889999996</v>
      </c>
      <c r="DM121" s="74">
        <v>0.62648286419999999</v>
      </c>
      <c r="DN121" s="74">
        <v>0.62655608419999997</v>
      </c>
      <c r="DO121" s="74">
        <v>0.62662845639999998</v>
      </c>
      <c r="DP121" s="74">
        <v>0.62669998819999995</v>
      </c>
      <c r="DQ121" s="74">
        <v>0.62677068680000003</v>
      </c>
      <c r="DR121" s="74">
        <v>0.62684055969999997</v>
      </c>
      <c r="DS121" s="74">
        <v>0.62690961410000001</v>
      </c>
      <c r="DT121" s="74">
        <v>0.62697785760000002</v>
      </c>
      <c r="DU121" s="74">
        <v>0.62704529730000003</v>
      </c>
      <c r="DV121" s="74">
        <v>0.62711194059999997</v>
      </c>
      <c r="DW121" s="74">
        <v>0.62717779480000002</v>
      </c>
      <c r="DX121" s="74">
        <v>0.6272428672</v>
      </c>
      <c r="DY121" s="74">
        <v>0.62730716500000006</v>
      </c>
      <c r="DZ121" s="74">
        <v>0.62737069550000002</v>
      </c>
      <c r="EA121" s="74">
        <v>0.62743346600000005</v>
      </c>
      <c r="EB121" s="74">
        <v>0.62749548349999995</v>
      </c>
      <c r="EC121" s="74">
        <v>0.6275567554</v>
      </c>
      <c r="ED121" s="74">
        <v>0.62761728880000001</v>
      </c>
      <c r="EE121" s="74">
        <v>0.6276770907</v>
      </c>
      <c r="EF121" s="74">
        <v>0.62773616830000001</v>
      </c>
      <c r="EG121" s="74">
        <v>0.62779452879999997</v>
      </c>
      <c r="EH121" s="74">
        <v>0.62785217910000002</v>
      </c>
      <c r="EI121" s="74">
        <v>0.62790912619999995</v>
      </c>
      <c r="EJ121" s="74">
        <v>0.62796537720000001</v>
      </c>
      <c r="EK121" s="74">
        <v>0.62802093910000001</v>
      </c>
      <c r="EL121" s="74">
        <v>0.62807581869999995</v>
      </c>
      <c r="EM121" s="74">
        <v>0.62813002289999997</v>
      </c>
      <c r="EN121" s="74">
        <v>0.62818355869999998</v>
      </c>
      <c r="EO121" s="74">
        <v>0.62823643279999997</v>
      </c>
      <c r="EP121" s="74">
        <v>0.62828865209999996</v>
      </c>
      <c r="EQ121" s="74">
        <v>0.62834022329999994</v>
      </c>
      <c r="ER121" s="74">
        <v>0.62839115310000004</v>
      </c>
      <c r="ES121" s="74">
        <v>0.62844144830000004</v>
      </c>
      <c r="ET121" s="74">
        <v>0.62849111540000002</v>
      </c>
      <c r="EU121" s="74">
        <v>0.62854016109999999</v>
      </c>
      <c r="EV121" s="74">
        <v>0.62858859199999995</v>
      </c>
      <c r="EW121" s="74">
        <v>0.62863641459999997</v>
      </c>
      <c r="EX121" s="74">
        <v>0.62868363530000004</v>
      </c>
      <c r="EY121" s="74">
        <v>0.62873026070000004</v>
      </c>
      <c r="EZ121" s="74">
        <v>0.62877629719999995</v>
      </c>
      <c r="FA121" s="74">
        <v>0.62882175100000004</v>
      </c>
      <c r="FB121" s="74">
        <v>0.62886662859999998</v>
      </c>
      <c r="FC121" s="74">
        <v>0.62891093620000005</v>
      </c>
      <c r="FD121" s="74">
        <v>0.6289546801</v>
      </c>
      <c r="FE121" s="74">
        <v>0.62899786639999999</v>
      </c>
      <c r="FF121" s="74">
        <v>0.6290405013</v>
      </c>
      <c r="FG121" s="74">
        <v>0.62908259099999997</v>
      </c>
      <c r="FH121" s="74">
        <v>0.62912414139999995</v>
      </c>
      <c r="FI121" s="74">
        <v>0.6291651587</v>
      </c>
      <c r="FJ121" s="74">
        <v>0.62920564869999995</v>
      </c>
      <c r="FK121" s="74">
        <v>0.62924561739999996</v>
      </c>
      <c r="FL121" s="74">
        <v>0.62928507079999996</v>
      </c>
      <c r="FM121" s="74">
        <v>0.62932401449999997</v>
      </c>
      <c r="FN121" s="74">
        <v>0.62936245449999995</v>
      </c>
      <c r="FO121" s="74">
        <v>0.62940039650000001</v>
      </c>
      <c r="FP121" s="74">
        <v>0.62943784609999998</v>
      </c>
      <c r="FQ121" s="74">
        <v>0.62947480909999998</v>
      </c>
    </row>
    <row r="122" spans="1:173" x14ac:dyDescent="0.25">
      <c r="A122" s="76">
        <v>120</v>
      </c>
      <c r="B122" s="74">
        <v>0.61308521100000002</v>
      </c>
      <c r="C122" s="74">
        <v>0.6133315654</v>
      </c>
      <c r="D122" s="74">
        <v>0.61357253310000004</v>
      </c>
      <c r="E122" s="74">
        <v>0.61380840599999997</v>
      </c>
      <c r="F122" s="74">
        <v>0.61403945520000003</v>
      </c>
      <c r="G122" s="74">
        <v>0.61426593249999994</v>
      </c>
      <c r="H122" s="74">
        <v>0.61448807179999998</v>
      </c>
      <c r="I122" s="74">
        <v>0.61470609030000001</v>
      </c>
      <c r="J122" s="74">
        <v>0.61492018999999998</v>
      </c>
      <c r="K122" s="74">
        <v>0.61513055849999998</v>
      </c>
      <c r="L122" s="74">
        <v>0.61533737030000002</v>
      </c>
      <c r="M122" s="74">
        <v>0.61554078739999996</v>
      </c>
      <c r="N122" s="74">
        <v>0.61574096040000004</v>
      </c>
      <c r="O122" s="74">
        <v>0.61593802949999998</v>
      </c>
      <c r="P122" s="74">
        <v>0.61613212490000002</v>
      </c>
      <c r="Q122" s="74">
        <v>0.61632336769999996</v>
      </c>
      <c r="R122" s="74">
        <v>0.6165118705</v>
      </c>
      <c r="S122" s="74">
        <v>0.61669773800000005</v>
      </c>
      <c r="T122" s="74">
        <v>0.61688106760000005</v>
      </c>
      <c r="U122" s="74">
        <v>0.61706195009999998</v>
      </c>
      <c r="V122" s="74">
        <v>0.61724046970000002</v>
      </c>
      <c r="W122" s="74">
        <v>0.61741670500000001</v>
      </c>
      <c r="X122" s="74">
        <v>0.61759072910000001</v>
      </c>
      <c r="Y122" s="74">
        <v>0.61776260989999998</v>
      </c>
      <c r="Z122" s="74">
        <v>0.61793241099999996</v>
      </c>
      <c r="AA122" s="74">
        <v>0.61810019140000005</v>
      </c>
      <c r="AB122" s="74">
        <v>0.61826600610000004</v>
      </c>
      <c r="AC122" s="74">
        <v>0.61842990639999995</v>
      </c>
      <c r="AD122" s="74">
        <v>0.61859194019999997</v>
      </c>
      <c r="AE122" s="74">
        <v>0.61875215210000001</v>
      </c>
      <c r="AF122" s="74">
        <v>0.61891058399999999</v>
      </c>
      <c r="AG122" s="74">
        <v>0.6190672747</v>
      </c>
      <c r="AH122" s="74">
        <v>0.61922226059999996</v>
      </c>
      <c r="AI122" s="74">
        <v>0.61937557590000003</v>
      </c>
      <c r="AJ122" s="74">
        <v>0.61952725249999996</v>
      </c>
      <c r="AK122" s="74">
        <v>0.61967732009999998</v>
      </c>
      <c r="AL122" s="74">
        <v>0.61982580679999999</v>
      </c>
      <c r="AM122" s="74">
        <v>0.61997273900000005</v>
      </c>
      <c r="AN122" s="74">
        <v>0.62011814129999998</v>
      </c>
      <c r="AO122" s="74">
        <v>0.62026203700000004</v>
      </c>
      <c r="AP122" s="74">
        <v>0.62040444800000005</v>
      </c>
      <c r="AQ122" s="74">
        <v>0.62054539480000004</v>
      </c>
      <c r="AR122" s="74">
        <v>0.62068489709999997</v>
      </c>
      <c r="AS122" s="74">
        <v>0.62082297310000001</v>
      </c>
      <c r="AT122" s="74">
        <v>0.62095964049999997</v>
      </c>
      <c r="AU122" s="74">
        <v>0.62109491559999996</v>
      </c>
      <c r="AV122" s="74">
        <v>0.6212288144</v>
      </c>
      <c r="AW122" s="74">
        <v>0.62136135169999995</v>
      </c>
      <c r="AX122" s="74">
        <v>0.62149254180000002</v>
      </c>
      <c r="AY122" s="74">
        <v>0.62162239829999999</v>
      </c>
      <c r="AZ122" s="74">
        <v>0.62175093439999995</v>
      </c>
      <c r="BA122" s="74">
        <v>0.62187816259999995</v>
      </c>
      <c r="BB122" s="74">
        <v>0.62200409479999996</v>
      </c>
      <c r="BC122" s="74">
        <v>0.62212874279999997</v>
      </c>
      <c r="BD122" s="74">
        <v>0.62225211759999999</v>
      </c>
      <c r="BE122" s="74">
        <v>0.62237423010000004</v>
      </c>
      <c r="BF122" s="74">
        <v>0.62249509079999998</v>
      </c>
      <c r="BG122" s="74">
        <v>0.6226147098</v>
      </c>
      <c r="BH122" s="74">
        <v>0.62273309710000002</v>
      </c>
      <c r="BI122" s="74">
        <v>0.62285026229999996</v>
      </c>
      <c r="BJ122" s="74">
        <v>0.62296621480000003</v>
      </c>
      <c r="BK122" s="74">
        <v>0.62308096390000001</v>
      </c>
      <c r="BL122" s="74">
        <v>0.62319451859999997</v>
      </c>
      <c r="BM122" s="74">
        <v>0.62330688779999999</v>
      </c>
      <c r="BN122" s="74">
        <v>0.6234180802</v>
      </c>
      <c r="BO122" s="74">
        <v>0.62352810439999995</v>
      </c>
      <c r="BP122" s="74">
        <v>0.62363696879999997</v>
      </c>
      <c r="BQ122" s="74">
        <v>0.62374468189999999</v>
      </c>
      <c r="BR122" s="74">
        <v>0.62385125200000002</v>
      </c>
      <c r="BS122" s="74">
        <v>0.62395668719999997</v>
      </c>
      <c r="BT122" s="74">
        <v>0.62406099569999995</v>
      </c>
      <c r="BU122" s="74">
        <v>0.62416418559999998</v>
      </c>
      <c r="BV122" s="74">
        <v>0.62426626480000003</v>
      </c>
      <c r="BW122" s="74">
        <v>0.62436724139999999</v>
      </c>
      <c r="BX122" s="74">
        <v>0.62446712329999998</v>
      </c>
      <c r="BY122" s="74">
        <v>0.62456591839999998</v>
      </c>
      <c r="BZ122" s="74">
        <v>0.62466363459999996</v>
      </c>
      <c r="CA122" s="74">
        <v>0.62476027970000003</v>
      </c>
      <c r="CB122" s="74">
        <v>0.62485586150000005</v>
      </c>
      <c r="CC122" s="74">
        <v>0.62495038790000002</v>
      </c>
      <c r="CD122" s="74">
        <v>0.62504386670000001</v>
      </c>
      <c r="CE122" s="74">
        <v>0.62513630570000001</v>
      </c>
      <c r="CF122" s="74">
        <v>0.62522771259999999</v>
      </c>
      <c r="CG122" s="74">
        <v>0.62531809530000004</v>
      </c>
      <c r="CH122" s="74">
        <v>0.62540746150000004</v>
      </c>
      <c r="CI122" s="74">
        <v>0.62549581899999995</v>
      </c>
      <c r="CJ122" s="74">
        <v>0.62558317559999999</v>
      </c>
      <c r="CK122" s="74">
        <v>0.625669539</v>
      </c>
      <c r="CL122" s="74">
        <v>0.62575491709999997</v>
      </c>
      <c r="CM122" s="74">
        <v>0.6258393176</v>
      </c>
      <c r="CN122" s="74">
        <v>0.62592274830000005</v>
      </c>
      <c r="CO122" s="74">
        <v>0.626005217</v>
      </c>
      <c r="CP122" s="74">
        <v>0.62608673140000004</v>
      </c>
      <c r="CQ122" s="74">
        <v>0.62616729940000004</v>
      </c>
      <c r="CR122" s="74">
        <v>0.62624692869999998</v>
      </c>
      <c r="CS122" s="74">
        <v>0.62632562719999996</v>
      </c>
      <c r="CT122" s="74">
        <v>0.62640340250000004</v>
      </c>
      <c r="CU122" s="74">
        <v>0.6264802626</v>
      </c>
      <c r="CV122" s="74">
        <v>0.62655621510000004</v>
      </c>
      <c r="CW122" s="74">
        <v>0.6266312678</v>
      </c>
      <c r="CX122" s="74">
        <v>0.6267054286</v>
      </c>
      <c r="CY122" s="74">
        <v>0.62677870520000001</v>
      </c>
      <c r="CZ122" s="74">
        <v>0.6268511054</v>
      </c>
      <c r="DA122" s="74">
        <v>0.62692263680000004</v>
      </c>
      <c r="DB122" s="74">
        <v>0.62699330730000002</v>
      </c>
      <c r="DC122" s="74">
        <v>0.62706312470000003</v>
      </c>
      <c r="DD122" s="74">
        <v>0.62713209660000002</v>
      </c>
      <c r="DE122" s="74">
        <v>0.62720023069999997</v>
      </c>
      <c r="DF122" s="74">
        <v>0.62726753479999997</v>
      </c>
      <c r="DG122" s="74">
        <v>0.62733401659999999</v>
      </c>
      <c r="DH122" s="74">
        <v>0.62739968369999999</v>
      </c>
      <c r="DI122" s="74">
        <v>0.62746454380000005</v>
      </c>
      <c r="DJ122" s="74">
        <v>0.62752860450000003</v>
      </c>
      <c r="DK122" s="74">
        <v>0.62759187350000001</v>
      </c>
      <c r="DL122" s="74">
        <v>0.62765435839999995</v>
      </c>
      <c r="DM122" s="74">
        <v>0.62771606670000002</v>
      </c>
      <c r="DN122" s="74">
        <v>0.62777700599999997</v>
      </c>
      <c r="DO122" s="74">
        <v>0.62783718389999998</v>
      </c>
      <c r="DP122" s="74">
        <v>0.62789660780000001</v>
      </c>
      <c r="DQ122" s="74">
        <v>0.62795528540000001</v>
      </c>
      <c r="DR122" s="74">
        <v>0.62801322390000003</v>
      </c>
      <c r="DS122" s="74">
        <v>0.62807043080000002</v>
      </c>
      <c r="DT122" s="74">
        <v>0.62812691369999996</v>
      </c>
      <c r="DU122" s="74">
        <v>0.62818267969999997</v>
      </c>
      <c r="DV122" s="74">
        <v>0.62823773630000002</v>
      </c>
      <c r="DW122" s="74">
        <v>0.62829209080000004</v>
      </c>
      <c r="DX122" s="74">
        <v>0.62834575039999996</v>
      </c>
      <c r="DY122" s="74">
        <v>0.62839872249999995</v>
      </c>
      <c r="DZ122" s="74">
        <v>0.62845101410000004</v>
      </c>
      <c r="EA122" s="74">
        <v>0.62850263260000006</v>
      </c>
      <c r="EB122" s="74">
        <v>0.62855358490000002</v>
      </c>
      <c r="EC122" s="74">
        <v>0.62860387829999997</v>
      </c>
      <c r="ED122" s="74">
        <v>0.62865351970000005</v>
      </c>
      <c r="EE122" s="74">
        <v>0.62870251619999995</v>
      </c>
      <c r="EF122" s="74">
        <v>0.62875087490000003</v>
      </c>
      <c r="EG122" s="74">
        <v>0.62879860249999997</v>
      </c>
      <c r="EH122" s="74">
        <v>0.628845706</v>
      </c>
      <c r="EI122" s="74">
        <v>0.62889219240000005</v>
      </c>
      <c r="EJ122" s="74">
        <v>0.62893806829999999</v>
      </c>
      <c r="EK122" s="74">
        <v>0.62898334060000005</v>
      </c>
      <c r="EL122" s="74">
        <v>0.62902801600000002</v>
      </c>
      <c r="EM122" s="74">
        <v>0.6290721011</v>
      </c>
      <c r="EN122" s="74">
        <v>0.6291156027</v>
      </c>
      <c r="EO122" s="74">
        <v>0.62915852729999999</v>
      </c>
      <c r="EP122" s="74">
        <v>0.62920088139999997</v>
      </c>
      <c r="EQ122" s="74">
        <v>0.62924267160000003</v>
      </c>
      <c r="ER122" s="74">
        <v>0.62928390430000003</v>
      </c>
      <c r="ES122" s="74">
        <v>0.62932458599999996</v>
      </c>
      <c r="ET122" s="74">
        <v>0.62936472290000001</v>
      </c>
      <c r="EU122" s="74">
        <v>0.62940432150000003</v>
      </c>
      <c r="EV122" s="74">
        <v>0.62944338789999998</v>
      </c>
      <c r="EW122" s="74">
        <v>0.62948192830000005</v>
      </c>
      <c r="EX122" s="74">
        <v>0.62951994909999998</v>
      </c>
      <c r="EY122" s="74">
        <v>0.62955745620000003</v>
      </c>
      <c r="EZ122" s="74">
        <v>0.62959445570000006</v>
      </c>
      <c r="FA122" s="74">
        <v>0.6296309537</v>
      </c>
      <c r="FB122" s="74">
        <v>0.62966695610000001</v>
      </c>
      <c r="FC122" s="74">
        <v>0.62970246890000003</v>
      </c>
      <c r="FD122" s="74">
        <v>0.62973749779999999</v>
      </c>
      <c r="FE122" s="74">
        <v>0.62977204890000005</v>
      </c>
      <c r="FF122" s="74">
        <v>0.6298061277</v>
      </c>
      <c r="FG122" s="74">
        <v>0.62983973999999998</v>
      </c>
      <c r="FH122" s="74">
        <v>0.62987289160000004</v>
      </c>
      <c r="FI122" s="74">
        <v>0.62990558799999996</v>
      </c>
      <c r="FJ122" s="74">
        <v>0.62993783469999998</v>
      </c>
      <c r="FK122" s="74">
        <v>0.6299696374</v>
      </c>
      <c r="FL122" s="74">
        <v>0.63000100140000004</v>
      </c>
      <c r="FM122" s="74">
        <v>0.63003193219999998</v>
      </c>
      <c r="FN122" s="74">
        <v>0.63006243520000005</v>
      </c>
      <c r="FO122" s="74">
        <v>0.63009251560000001</v>
      </c>
      <c r="FP122" s="74">
        <v>0.63012217879999999</v>
      </c>
      <c r="FQ122" s="74">
        <v>0.63015142989999995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CAA6F-8FB1-4D9B-B487-9AC5EC5A7FA1}">
  <dimension ref="A1:EL111"/>
  <sheetViews>
    <sheetView zoomScale="80" zoomScaleNormal="80" workbookViewId="0">
      <pane xSplit="8" ySplit="5" topLeftCell="BD6" activePane="bottomRight" state="frozen"/>
      <selection pane="topRight" activeCell="B1" sqref="B1"/>
      <selection pane="bottomLeft" activeCell="A8" sqref="A8"/>
      <selection pane="bottomRight" activeCell="BQ36" sqref="BQ36"/>
    </sheetView>
  </sheetViews>
  <sheetFormatPr defaultRowHeight="15" outlineLevelCol="1" x14ac:dyDescent="0.25"/>
  <cols>
    <col min="3" max="6" width="9.140625" style="73"/>
    <col min="9" max="9" width="9.140625" style="15" customWidth="1"/>
    <col min="10" max="10" width="9.140625" style="11"/>
    <col min="11" max="11" width="9.140625" style="11" customWidth="1"/>
    <col min="12" max="12" width="9.140625" style="11"/>
    <col min="13" max="13" width="9.140625" style="20"/>
    <col min="14" max="14" width="9.140625" style="20" customWidth="1"/>
    <col min="15" max="15" width="9.140625" style="20"/>
    <col min="16" max="16" width="9.140625" style="15" customWidth="1"/>
    <col min="17" max="19" width="9.140625" style="15"/>
    <col min="23" max="25" width="9.140625" customWidth="1" outlineLevel="1"/>
    <col min="26" max="26" width="9.140625" style="14"/>
    <col min="27" max="27" width="10.5703125" style="54" customWidth="1"/>
    <col min="28" max="28" width="9.140625" style="14"/>
    <col min="29" max="30" width="9.140625" style="54"/>
    <col min="31" max="31" width="9.140625" style="14"/>
    <col min="32" max="32" width="9.140625" style="52"/>
    <col min="33" max="34" width="9.140625" style="14"/>
    <col min="35" max="37" width="9.140625" style="20" customWidth="1" outlineLevel="1"/>
    <col min="38" max="38" width="9.140625" customWidth="1" outlineLevel="1"/>
    <col min="39" max="41" width="9.140625" style="5" customWidth="1" outlineLevel="1"/>
    <col min="42" max="43" width="9.140625" style="5" customWidth="1"/>
    <col min="46" max="46" width="12.85546875" bestFit="1" customWidth="1"/>
    <col min="48" max="48" width="9.140625" style="73"/>
    <col min="49" max="49" width="9.140625" style="73" outlineLevel="1"/>
    <col min="50" max="50" width="9.140625" style="20" outlineLevel="1"/>
    <col min="51" max="51" width="11.140625" style="73" customWidth="1" outlineLevel="1"/>
    <col min="52" max="52" width="9.140625" style="73" outlineLevel="1"/>
    <col min="53" max="53" width="12.42578125" customWidth="1"/>
    <col min="54" max="54" width="9.140625" customWidth="1" outlineLevel="1"/>
    <col min="55" max="55" width="9.140625" style="20" customWidth="1" outlineLevel="1"/>
    <col min="56" max="56" width="11.140625" bestFit="1" customWidth="1" outlineLevel="1"/>
    <col min="57" max="57" width="9.140625" customWidth="1" outlineLevel="1"/>
    <col min="59" max="59" width="9.140625" style="20" customWidth="1" outlineLevel="1"/>
    <col min="60" max="62" width="9.140625" customWidth="1" outlineLevel="1"/>
    <col min="64" max="67" width="9.140625" style="73" outlineLevel="1"/>
    <col min="68" max="68" width="9.140625" style="73"/>
    <col min="69" max="72" width="9.140625" customWidth="1" outlineLevel="1"/>
    <col min="74" max="75" width="9.140625" style="20" customWidth="1" outlineLevel="1"/>
    <col min="76" max="76" width="9.140625" style="73" customWidth="1" outlineLevel="1"/>
    <col min="77" max="80" width="9.140625" customWidth="1" outlineLevel="1"/>
    <col min="82" max="83" width="9.140625" style="20" customWidth="1" outlineLevel="1"/>
    <col min="84" max="84" width="9.140625" customWidth="1" outlineLevel="1"/>
    <col min="85" max="85" width="9.140625" style="5" customWidth="1" outlineLevel="1"/>
    <col min="86" max="86" width="9.140625" style="5"/>
    <col min="89" max="89" width="9.140625" style="18"/>
    <col min="90" max="90" width="9.140625" style="24"/>
    <col min="92" max="92" width="9.140625" style="18"/>
    <col min="93" max="93" width="9.140625" style="24"/>
    <col min="97" max="97" width="9.140625" style="18"/>
    <col min="98" max="98" width="9.140625" style="24"/>
    <col min="101" max="101" width="9.140625" style="24"/>
    <col min="117" max="118" width="9.28515625" customWidth="1"/>
    <col min="138" max="138" width="9.140625" customWidth="1"/>
  </cols>
  <sheetData>
    <row r="1" spans="1:142" x14ac:dyDescent="0.25">
      <c r="H1" s="154" t="s">
        <v>207</v>
      </c>
      <c r="I1" s="154"/>
      <c r="J1" s="154"/>
      <c r="K1" s="154"/>
      <c r="L1" s="53"/>
      <c r="M1" s="155" t="s">
        <v>206</v>
      </c>
      <c r="N1" s="155"/>
      <c r="O1" s="155"/>
      <c r="P1" s="155"/>
      <c r="Z1" s="33"/>
      <c r="AA1" s="157" t="s">
        <v>318</v>
      </c>
      <c r="AB1" s="157"/>
      <c r="AC1" s="157"/>
      <c r="AD1" s="157"/>
      <c r="AE1" s="157"/>
      <c r="AF1" s="157"/>
      <c r="AG1" s="157"/>
      <c r="AH1" s="33"/>
      <c r="AI1" s="157" t="s">
        <v>320</v>
      </c>
      <c r="AJ1" s="157"/>
      <c r="AK1" s="157"/>
      <c r="AL1" s="157"/>
      <c r="AM1" s="157"/>
      <c r="AN1" s="157"/>
      <c r="AO1" s="157"/>
      <c r="AQ1" s="157" t="s">
        <v>316</v>
      </c>
      <c r="AR1" s="157"/>
      <c r="AS1" s="157"/>
      <c r="AT1" s="157"/>
      <c r="AU1" s="157"/>
      <c r="AV1" s="33"/>
      <c r="AW1" s="157" t="s">
        <v>263</v>
      </c>
      <c r="AX1" s="157"/>
      <c r="AY1" s="157"/>
      <c r="AZ1" s="157"/>
      <c r="BB1" s="157" t="s">
        <v>230</v>
      </c>
      <c r="BC1" s="157"/>
      <c r="BD1" s="157"/>
      <c r="BE1" s="157"/>
      <c r="BG1" s="157" t="s">
        <v>169</v>
      </c>
      <c r="BH1" s="157"/>
      <c r="BI1" s="157"/>
      <c r="BJ1" s="157"/>
      <c r="BL1" s="157" t="s">
        <v>323</v>
      </c>
      <c r="BM1" s="157"/>
      <c r="BN1" s="157"/>
      <c r="BO1" s="157"/>
      <c r="BQ1" s="157" t="s">
        <v>321</v>
      </c>
      <c r="BR1" s="157"/>
      <c r="BS1" s="157"/>
      <c r="BT1" s="157"/>
      <c r="BV1" s="157" t="s">
        <v>324</v>
      </c>
      <c r="BW1" s="157"/>
      <c r="BX1" s="157"/>
      <c r="BY1" s="157"/>
      <c r="BZ1" s="157"/>
      <c r="CA1" s="33"/>
      <c r="CB1" s="33"/>
      <c r="CD1" s="157" t="s">
        <v>228</v>
      </c>
      <c r="CE1" s="157"/>
      <c r="CF1" s="157"/>
      <c r="CG1" s="157"/>
      <c r="CJ1" s="30" t="str">
        <f t="shared" ref="CJ1:CZ1" si="0">CJ4&amp;CJ5</f>
        <v>Uitkeringsregeling (DSS)opbouw</v>
      </c>
      <c r="CK1" s="100" t="str">
        <f t="shared" si="0"/>
        <v>Uitkeringsregeling (DSS)bereikbaar</v>
      </c>
      <c r="CL1" s="55" t="str">
        <f t="shared" si="0"/>
        <v>Uitkeringsregeling (DSS)risico, ANW</v>
      </c>
      <c r="CM1" s="30" t="str">
        <f t="shared" si="0"/>
        <v>Uitkeringsregeling (degr)opbouw</v>
      </c>
      <c r="CN1" s="100" t="str">
        <f t="shared" si="0"/>
        <v>Uitkeringsregeling (degr)bereikbaar</v>
      </c>
      <c r="CO1" s="55" t="str">
        <f t="shared" si="0"/>
        <v>Uitkeringsregeling (degr)risico ANW-hiaat</v>
      </c>
      <c r="CP1" s="30" t="str">
        <f t="shared" si="0"/>
        <v>MvTopbouw na AOW</v>
      </c>
      <c r="CQ1" s="30" t="str">
        <f t="shared" si="0"/>
        <v>MvTrisico voor AOW</v>
      </c>
      <c r="CR1" s="30" t="str">
        <f t="shared" si="0"/>
        <v>MvTx0, risico vanaf AOW</v>
      </c>
      <c r="CS1" s="30" t="str">
        <f t="shared" si="0"/>
        <v>MvTx, risico vanaf AOW</v>
      </c>
      <c r="CT1" s="55" t="str">
        <f t="shared" si="0"/>
        <v>MvTx1, risico vanaf AOW</v>
      </c>
      <c r="CU1" s="30" t="str">
        <f t="shared" si="0"/>
        <v>Uitkeringsknipopbouw na AOW</v>
      </c>
      <c r="CV1" s="30" t="str">
        <f t="shared" si="0"/>
        <v>Uitkeringskniprisico voor AOW</v>
      </c>
      <c r="CW1" s="55" t="str">
        <f t="shared" si="0"/>
        <v>Uitkeringsknipbereikbaar na AOW</v>
      </c>
      <c r="CX1" s="30" t="str">
        <f t="shared" si="0"/>
        <v>Saldomethodeopbouw</v>
      </c>
      <c r="CY1" s="30" t="str">
        <f t="shared" si="0"/>
        <v>Saldomethoderisico voor AOW</v>
      </c>
      <c r="CZ1" s="30" t="str">
        <f t="shared" si="0"/>
        <v>Saldomethodebereikbaar vanaf AOW</v>
      </c>
      <c r="DK1" s="3"/>
      <c r="DL1" s="26"/>
      <c r="DM1" s="3" t="str">
        <f t="shared" ref="DM1:DS1" si="1">DC5</f>
        <v>Uitkeringsregeling (DSS)</v>
      </c>
      <c r="DN1" s="3" t="str">
        <f t="shared" si="1"/>
        <v>Uitkeringsregeling (degr)</v>
      </c>
      <c r="DO1" s="3" t="str">
        <f t="shared" si="1"/>
        <v>MvT</v>
      </c>
      <c r="DP1" s="3" t="str">
        <f t="shared" si="1"/>
        <v>MvT_x</v>
      </c>
      <c r="DQ1" s="3" t="str">
        <f t="shared" si="1"/>
        <v>MvT met overbrugging</v>
      </c>
      <c r="DR1" s="3" t="str">
        <f t="shared" si="1"/>
        <v>Uitkeringsknip</v>
      </c>
      <c r="DS1" s="3" t="str">
        <f t="shared" si="1"/>
        <v>Saldomethode</v>
      </c>
    </row>
    <row r="2" spans="1:142" x14ac:dyDescent="0.25">
      <c r="I2" s="153" t="str">
        <f>Settings!C7</f>
        <v>Unisex</v>
      </c>
      <c r="J2" s="153"/>
      <c r="K2" s="153"/>
      <c r="L2" s="53"/>
      <c r="M2" s="156" t="str">
        <f>Settings!D7</f>
        <v>Unisex</v>
      </c>
      <c r="N2" s="156"/>
      <c r="O2" s="156"/>
      <c r="P2" s="156"/>
      <c r="Z2" s="13"/>
      <c r="AA2" s="116"/>
      <c r="AB2" s="13"/>
      <c r="AC2" s="116"/>
      <c r="AD2" s="116"/>
      <c r="AE2" s="13"/>
      <c r="AF2" s="111"/>
      <c r="AG2" s="13"/>
      <c r="AH2" s="13"/>
      <c r="AJ2" s="116" t="s">
        <v>142</v>
      </c>
      <c r="AK2" s="116" t="s">
        <v>143</v>
      </c>
      <c r="AL2" s="13" t="s">
        <v>144</v>
      </c>
      <c r="AM2" s="13" t="s">
        <v>145</v>
      </c>
      <c r="AN2" s="13"/>
      <c r="AQ2" s="13" t="s">
        <v>142</v>
      </c>
      <c r="AR2" s="13" t="s">
        <v>143</v>
      </c>
      <c r="AS2" s="13" t="s">
        <v>144</v>
      </c>
      <c r="AT2" s="13" t="s">
        <v>145</v>
      </c>
      <c r="AW2" s="13" t="s">
        <v>142</v>
      </c>
      <c r="AX2" s="116" t="s">
        <v>143</v>
      </c>
      <c r="AY2" s="13" t="s">
        <v>144</v>
      </c>
      <c r="AZ2" s="13" t="s">
        <v>145</v>
      </c>
      <c r="BB2" s="13" t="s">
        <v>142</v>
      </c>
      <c r="BC2" s="116" t="s">
        <v>143</v>
      </c>
      <c r="BD2" s="13" t="s">
        <v>144</v>
      </c>
      <c r="BE2" s="13" t="s">
        <v>145</v>
      </c>
      <c r="BG2" s="116" t="s">
        <v>142</v>
      </c>
      <c r="BH2" s="13" t="s">
        <v>143</v>
      </c>
      <c r="BI2" s="13" t="s">
        <v>144</v>
      </c>
      <c r="BJ2" s="13" t="s">
        <v>145</v>
      </c>
      <c r="BL2" s="13" t="s">
        <v>142</v>
      </c>
      <c r="BM2" s="13" t="s">
        <v>143</v>
      </c>
      <c r="BN2" s="13" t="s">
        <v>144</v>
      </c>
      <c r="BO2" s="13" t="s">
        <v>145</v>
      </c>
      <c r="BQ2" s="13" t="s">
        <v>142</v>
      </c>
      <c r="BR2" s="13" t="s">
        <v>143</v>
      </c>
      <c r="BS2" s="13" t="s">
        <v>144</v>
      </c>
      <c r="BT2" s="13" t="s">
        <v>145</v>
      </c>
      <c r="BW2" s="116" t="s">
        <v>142</v>
      </c>
      <c r="BX2" s="13" t="s">
        <v>143</v>
      </c>
      <c r="BY2" s="13" t="s">
        <v>144</v>
      </c>
      <c r="BZ2" s="13" t="s">
        <v>145</v>
      </c>
      <c r="CA2" s="13"/>
      <c r="CB2" s="13"/>
      <c r="CC2" s="13"/>
      <c r="CD2" s="116" t="s">
        <v>142</v>
      </c>
      <c r="CE2" s="116" t="s">
        <v>143</v>
      </c>
      <c r="CF2" s="13" t="s">
        <v>144</v>
      </c>
      <c r="CG2" s="13" t="s">
        <v>145</v>
      </c>
      <c r="CH2" s="27"/>
      <c r="CI2" s="27" t="s">
        <v>165</v>
      </c>
      <c r="CJ2" s="5">
        <f t="shared" ref="CJ2:CZ2" si="2">SUMPRODUCT($B6:$B48, $Y6:$Y48, CJ6:CJ48)/SUMPRODUCT($B6:$B48, $Y6:$Y48)</f>
        <v>3.8923154314581834E-2</v>
      </c>
      <c r="CK2" s="101">
        <f t="shared" si="2"/>
        <v>9.1433214482272394E-3</v>
      </c>
      <c r="CL2" s="25">
        <f t="shared" si="2"/>
        <v>0</v>
      </c>
      <c r="CM2" s="5">
        <f t="shared" si="2"/>
        <v>3.9159687171057334E-2</v>
      </c>
      <c r="CN2" s="101">
        <f t="shared" si="2"/>
        <v>8.827411086183368E-3</v>
      </c>
      <c r="CO2" s="25">
        <f t="shared" si="2"/>
        <v>0</v>
      </c>
      <c r="CP2" s="5">
        <f t="shared" si="2"/>
        <v>2.3794373702957207E-2</v>
      </c>
      <c r="CQ2" s="5">
        <f t="shared" si="2"/>
        <v>1.6946613166453656E-2</v>
      </c>
      <c r="CR2" s="5">
        <f t="shared" si="2"/>
        <v>2.0491945776329307E-2</v>
      </c>
      <c r="CS2" s="5">
        <f t="shared" si="2"/>
        <v>2.0491945776329307E-2</v>
      </c>
      <c r="CT2" s="25">
        <f t="shared" si="2"/>
        <v>1.4344362043430517E-2</v>
      </c>
      <c r="CU2" s="5">
        <f t="shared" si="2"/>
        <v>3.4197010420295978E-2</v>
      </c>
      <c r="CV2" s="5">
        <f t="shared" si="2"/>
        <v>1.6946613166453656E-2</v>
      </c>
      <c r="CW2" s="25">
        <f t="shared" si="2"/>
        <v>3.0859495783337062E-3</v>
      </c>
      <c r="CX2" s="5">
        <f t="shared" si="2"/>
        <v>3.9159687171057334E-2</v>
      </c>
      <c r="CY2" s="5">
        <f t="shared" si="2"/>
        <v>1.0552180021816173E-2</v>
      </c>
      <c r="CZ2" s="5">
        <f t="shared" si="2"/>
        <v>3.0859495783337062E-3</v>
      </c>
      <c r="DA2" s="5"/>
      <c r="DB2" s="5"/>
      <c r="DC2" s="5">
        <f t="shared" ref="DC2:DI2" si="3">SUMPRODUCT($B6:$B48, $Y6:$Y48, DC6:DC48)/SUMPRODUCT($B6:$B48, $Y6:$Y48)</f>
        <v>4.806647576280907E-2</v>
      </c>
      <c r="DD2" s="5">
        <f t="shared" si="3"/>
        <v>4.7987098257240707E-2</v>
      </c>
      <c r="DE2" s="5">
        <f t="shared" si="3"/>
        <v>6.123293264574016E-2</v>
      </c>
      <c r="DF2" s="5">
        <f t="shared" si="3"/>
        <v>6.123293264574016E-2</v>
      </c>
      <c r="DG2" s="5">
        <f t="shared" si="3"/>
        <v>5.5085348912841385E-2</v>
      </c>
      <c r="DH2" s="5">
        <f t="shared" si="3"/>
        <v>5.4229573165083353E-2</v>
      </c>
      <c r="DI2" s="5">
        <f t="shared" si="3"/>
        <v>5.2797816771207227E-2</v>
      </c>
      <c r="DK2" s="18" t="s">
        <v>163</v>
      </c>
      <c r="DL2" s="24" t="s">
        <v>266</v>
      </c>
      <c r="DM2" s="17">
        <f>CL2/DC2</f>
        <v>0</v>
      </c>
      <c r="DN2" s="17">
        <f>CO2/DD2</f>
        <v>0</v>
      </c>
      <c r="DO2" s="107">
        <v>0</v>
      </c>
      <c r="DP2" s="107">
        <v>0</v>
      </c>
      <c r="DQ2" s="107">
        <v>0</v>
      </c>
      <c r="DR2" s="107">
        <v>0</v>
      </c>
      <c r="DS2" s="107">
        <v>0</v>
      </c>
      <c r="DT2" s="73"/>
    </row>
    <row r="3" spans="1:142" x14ac:dyDescent="0.25">
      <c r="B3" s="121"/>
      <c r="Z3" s="23"/>
      <c r="AA3" s="117"/>
      <c r="AB3" s="23"/>
      <c r="AC3" s="117"/>
      <c r="AD3" s="117"/>
      <c r="AE3" s="23"/>
      <c r="AF3" s="112"/>
      <c r="AG3" s="23"/>
      <c r="AH3" s="124"/>
      <c r="AJ3" s="20">
        <v>0</v>
      </c>
      <c r="AK3" s="117" t="s">
        <v>149</v>
      </c>
      <c r="AL3">
        <v>0</v>
      </c>
      <c r="AM3" s="23" t="s">
        <v>149</v>
      </c>
      <c r="AN3" s="23"/>
      <c r="AQ3">
        <v>0</v>
      </c>
      <c r="AR3" s="23" t="s">
        <v>149</v>
      </c>
      <c r="AS3">
        <v>0</v>
      </c>
      <c r="AT3" s="23" t="s">
        <v>149</v>
      </c>
      <c r="AW3" s="73">
        <v>0</v>
      </c>
      <c r="AX3" s="20">
        <v>0</v>
      </c>
      <c r="AY3" s="73">
        <v>0</v>
      </c>
      <c r="AZ3" s="73" t="s">
        <v>248</v>
      </c>
      <c r="BB3">
        <v>0</v>
      </c>
      <c r="BC3" s="20">
        <v>0</v>
      </c>
      <c r="BD3">
        <v>0</v>
      </c>
      <c r="BE3" t="s">
        <v>248</v>
      </c>
      <c r="BG3" s="20">
        <v>0</v>
      </c>
      <c r="BH3">
        <v>0</v>
      </c>
      <c r="BI3" t="s">
        <v>151</v>
      </c>
      <c r="BJ3" s="23" t="s">
        <v>149</v>
      </c>
      <c r="BL3" s="73">
        <v>0</v>
      </c>
      <c r="BM3" s="73">
        <v>0</v>
      </c>
      <c r="BN3" s="73">
        <v>0</v>
      </c>
      <c r="BO3" s="73" t="s">
        <v>248</v>
      </c>
      <c r="BQ3">
        <v>0</v>
      </c>
      <c r="BR3">
        <v>0</v>
      </c>
      <c r="BS3">
        <v>0</v>
      </c>
      <c r="BT3" s="73" t="s">
        <v>248</v>
      </c>
      <c r="BW3" s="20">
        <v>0</v>
      </c>
      <c r="BX3" s="23" t="s">
        <v>149</v>
      </c>
      <c r="BY3" t="s">
        <v>151</v>
      </c>
      <c r="BZ3" s="23" t="s">
        <v>149</v>
      </c>
      <c r="CA3" s="23"/>
      <c r="CB3" s="23"/>
      <c r="CC3" s="23"/>
      <c r="CD3" s="20" t="s">
        <v>166</v>
      </c>
      <c r="CE3" s="117" t="s">
        <v>149</v>
      </c>
      <c r="CF3">
        <v>0</v>
      </c>
      <c r="CG3" s="23" t="s">
        <v>149</v>
      </c>
      <c r="CH3" s="27"/>
      <c r="CI3" s="27" t="s">
        <v>164</v>
      </c>
      <c r="CJ3" s="28">
        <f>SUMPRODUCT($Y6:$Y48,CJ6:CJ48)/SUM($Y6:$Y48)</f>
        <v>3.9318555572877181E-2</v>
      </c>
      <c r="CK3" s="102">
        <f t="shared" ref="CK3:CZ3" si="4">SUMPRODUCT($Y6:$Y48,CK6:CK48)/SUM($Y6:$Y48)</f>
        <v>8.9600137600021473E-3</v>
      </c>
      <c r="CL3" s="29">
        <f t="shared" ref="CL3" si="5">SUMPRODUCT($Y6:$Y48,CL6:CL48)/SUM($Y6:$Y48)</f>
        <v>0</v>
      </c>
      <c r="CM3" s="28">
        <f t="shared" si="4"/>
        <v>3.9159687171057347E-2</v>
      </c>
      <c r="CN3" s="102">
        <f t="shared" si="4"/>
        <v>8.6400970829887264E-3</v>
      </c>
      <c r="CO3" s="29">
        <f t="shared" ref="CO3" si="6">SUMPRODUCT($Y6:$Y48,CO6:CO48)/SUM($Y6:$Y48)</f>
        <v>0</v>
      </c>
      <c r="CP3" s="28">
        <f t="shared" si="4"/>
        <v>2.379437370295719E-2</v>
      </c>
      <c r="CQ3" s="28">
        <f t="shared" si="4"/>
        <v>1.7624666955732119E-2</v>
      </c>
      <c r="CR3" s="28">
        <f t="shared" si="4"/>
        <v>2.4627609825580044E-2</v>
      </c>
      <c r="CS3" s="28">
        <f t="shared" si="4"/>
        <v>2.4627609825580044E-2</v>
      </c>
      <c r="CT3" s="29">
        <f t="shared" si="4"/>
        <v>1.7239326877906032E-2</v>
      </c>
      <c r="CU3" s="28">
        <f t="shared" si="4"/>
        <v>3.4197010420295978E-2</v>
      </c>
      <c r="CV3" s="28">
        <f t="shared" si="4"/>
        <v>1.7624666955732119E-2</v>
      </c>
      <c r="CW3" s="29">
        <f t="shared" si="4"/>
        <v>3.2020636631962984E-3</v>
      </c>
      <c r="CX3" s="28">
        <f t="shared" si="4"/>
        <v>3.9159687171057347E-2</v>
      </c>
      <c r="CY3" s="28">
        <f t="shared" si="4"/>
        <v>1.0414960768314989E-2</v>
      </c>
      <c r="CZ3" s="28">
        <f t="shared" si="4"/>
        <v>3.2020636631962984E-3</v>
      </c>
      <c r="DA3" s="28"/>
      <c r="DB3" s="28"/>
      <c r="DC3" s="28">
        <f t="shared" ref="DC3:DI3" si="7">SUMPRODUCT($Y6:$Y48,DC6:DC48)/SUM($Y6:$Y48)</f>
        <v>4.8278569332879336E-2</v>
      </c>
      <c r="DD3" s="28">
        <f t="shared" si="7"/>
        <v>4.7799784254046067E-2</v>
      </c>
      <c r="DE3" s="28">
        <f t="shared" si="7"/>
        <v>6.6046650484269359E-2</v>
      </c>
      <c r="DF3" s="28">
        <f t="shared" si="7"/>
        <v>6.6046650484269359E-2</v>
      </c>
      <c r="DG3" s="28">
        <f t="shared" si="7"/>
        <v>5.8658367536595368E-2</v>
      </c>
      <c r="DH3" s="28">
        <f t="shared" si="7"/>
        <v>5.5023741039224396E-2</v>
      </c>
      <c r="DI3" s="28">
        <f t="shared" si="7"/>
        <v>5.2776711602568645E-2</v>
      </c>
      <c r="DK3" s="18" t="s">
        <v>163</v>
      </c>
      <c r="DL3" s="24" t="s">
        <v>195</v>
      </c>
      <c r="DM3" s="44">
        <v>0</v>
      </c>
      <c r="DN3" s="44">
        <v>0</v>
      </c>
      <c r="DO3" s="17">
        <f>($CQ2+CR2)/DE2</f>
        <v>0.61141214906987595</v>
      </c>
      <c r="DP3" s="17">
        <f>($CQ2+CS2)/DF2</f>
        <v>0.61141214906987595</v>
      </c>
      <c r="DQ3" s="17">
        <f>($CQ2+CT2)/DG2</f>
        <v>0.56804533015474257</v>
      </c>
      <c r="DR3" s="17">
        <f>CV2/DH2</f>
        <v>0.31249763140981213</v>
      </c>
      <c r="DS3" s="17">
        <f>CY2/DI2</f>
        <v>0.19986015837629675</v>
      </c>
    </row>
    <row r="4" spans="1:142" x14ac:dyDescent="0.25">
      <c r="B4" t="s">
        <v>163</v>
      </c>
      <c r="C4" s="73" t="s">
        <v>270</v>
      </c>
      <c r="D4" s="73" t="s">
        <v>271</v>
      </c>
      <c r="E4" s="73" t="s">
        <v>272</v>
      </c>
      <c r="F4" s="73" t="s">
        <v>279</v>
      </c>
      <c r="I4">
        <f>IF(Settings!C$7="Unisex", overlevtafel!I$32, IF(Settings!C$7="Man", overlevtafel!D$32, IF(Settings!C$7="Vrouw", overlevtafel!G$32) ) )</f>
        <v>97360.5</v>
      </c>
      <c r="O4"/>
      <c r="P4">
        <f>VLOOKUP(O6, $M$6:$N$111, MATCH($N$5, $M$5:$N$5,0),FALSE)</f>
        <v>97360.5</v>
      </c>
      <c r="Z4" s="5"/>
      <c r="AA4" s="118" t="s">
        <v>146</v>
      </c>
      <c r="AB4" s="5">
        <f>Settings!O$3/NP_OP</f>
        <v>0.7142857142857143</v>
      </c>
      <c r="AE4" s="5"/>
      <c r="AF4" s="50"/>
      <c r="AG4" s="5"/>
      <c r="AH4" s="5"/>
      <c r="AJ4" s="116" t="s">
        <v>146</v>
      </c>
      <c r="AK4" s="120">
        <f>Settings!O3</f>
        <v>0.5</v>
      </c>
      <c r="AQ4" s="114" t="s">
        <v>146</v>
      </c>
      <c r="AR4" s="44">
        <f>Settings!O4</f>
        <v>0.5</v>
      </c>
      <c r="AS4" s="5"/>
      <c r="AW4" s="13"/>
      <c r="BB4" s="13" t="s">
        <v>146</v>
      </c>
      <c r="BC4" s="44">
        <f>Settings!I3</f>
        <v>0.5</v>
      </c>
      <c r="BG4" s="116" t="s">
        <v>146</v>
      </c>
      <c r="BH4" s="44">
        <f>Settings!I7</f>
        <v>0.5</v>
      </c>
      <c r="BL4" s="13" t="s">
        <v>146</v>
      </c>
      <c r="BM4" s="44">
        <f>Settings!I3</f>
        <v>0.5</v>
      </c>
      <c r="BQ4" s="13" t="s">
        <v>146</v>
      </c>
      <c r="BR4" s="44">
        <f>Settings!I4</f>
        <v>0.5</v>
      </c>
      <c r="BS4" s="13" t="s">
        <v>322</v>
      </c>
      <c r="BU4" s="15"/>
      <c r="BW4" s="116" t="s">
        <v>146</v>
      </c>
      <c r="BX4" s="44">
        <f>Settings!O5</f>
        <v>0.5</v>
      </c>
      <c r="CD4" s="116" t="s">
        <v>146</v>
      </c>
      <c r="CE4" s="20">
        <f>Settings!O6</f>
        <v>0.5</v>
      </c>
      <c r="CJ4" t="s">
        <v>317</v>
      </c>
      <c r="CK4" s="18" t="s">
        <v>317</v>
      </c>
      <c r="CL4" s="24" t="s">
        <v>317</v>
      </c>
      <c r="CM4" t="s">
        <v>319</v>
      </c>
      <c r="CN4" s="18" t="s">
        <v>319</v>
      </c>
      <c r="CO4" s="24" t="s">
        <v>319</v>
      </c>
      <c r="CP4" t="s">
        <v>137</v>
      </c>
      <c r="CQ4" t="s">
        <v>137</v>
      </c>
      <c r="CR4" t="s">
        <v>137</v>
      </c>
      <c r="CS4" s="18" t="s">
        <v>137</v>
      </c>
      <c r="CT4" s="24" t="s">
        <v>137</v>
      </c>
      <c r="CU4" t="s">
        <v>325</v>
      </c>
      <c r="CV4" t="s">
        <v>325</v>
      </c>
      <c r="CW4" s="24" t="s">
        <v>325</v>
      </c>
      <c r="CX4" t="s">
        <v>322</v>
      </c>
      <c r="CY4" t="s">
        <v>322</v>
      </c>
      <c r="CZ4" t="s">
        <v>322</v>
      </c>
      <c r="DC4" t="s">
        <v>147</v>
      </c>
      <c r="DD4" t="s">
        <v>147</v>
      </c>
      <c r="DE4" t="s">
        <v>147</v>
      </c>
      <c r="DF4" t="s">
        <v>147</v>
      </c>
      <c r="DH4" t="s">
        <v>147</v>
      </c>
      <c r="DI4" t="s">
        <v>147</v>
      </c>
      <c r="DK4" s="18" t="s">
        <v>163</v>
      </c>
      <c r="DL4" s="24" t="s">
        <v>194</v>
      </c>
      <c r="DM4" s="17">
        <f>CK2/DC2</f>
        <v>0.19022242224177768</v>
      </c>
      <c r="DN4" s="17">
        <f>CN2/DD2</f>
        <v>0.18395384190273292</v>
      </c>
      <c r="DO4" s="17">
        <v>0</v>
      </c>
      <c r="DP4" s="17">
        <v>0</v>
      </c>
      <c r="DQ4" s="17">
        <v>0</v>
      </c>
      <c r="DR4" s="17">
        <f>CW2/DH2</f>
        <v>5.6905289830321733E-2</v>
      </c>
      <c r="DS4" s="17">
        <f>CZ2/DI2</f>
        <v>5.8448431527127059E-2</v>
      </c>
      <c r="DV4" s="152" t="s">
        <v>300</v>
      </c>
      <c r="DW4" s="152"/>
      <c r="DX4" s="152"/>
      <c r="DY4" s="152"/>
      <c r="DZ4" s="152"/>
      <c r="EA4" s="152"/>
      <c r="EB4" s="152"/>
      <c r="EC4" s="152"/>
      <c r="EE4" s="152" t="s">
        <v>301</v>
      </c>
      <c r="EF4" s="152"/>
      <c r="EG4" s="152"/>
      <c r="EH4" s="152"/>
      <c r="EI4" s="152"/>
      <c r="EJ4" s="152"/>
      <c r="EK4" s="152"/>
      <c r="EL4" s="152"/>
    </row>
    <row r="5" spans="1:142" s="3" customFormat="1" x14ac:dyDescent="0.25">
      <c r="A5" s="46" t="s">
        <v>141</v>
      </c>
      <c r="B5" s="3" t="s">
        <v>148</v>
      </c>
      <c r="C5" s="3" t="s">
        <v>148</v>
      </c>
      <c r="D5" s="3" t="s">
        <v>148</v>
      </c>
      <c r="E5" s="3" t="s">
        <v>148</v>
      </c>
      <c r="F5" s="3" t="s">
        <v>148</v>
      </c>
      <c r="H5" s="3" t="str">
        <f>Grondslag!A1</f>
        <v>leeftijd</v>
      </c>
      <c r="I5" s="16" t="s">
        <v>139</v>
      </c>
      <c r="J5" s="47" t="s">
        <v>138</v>
      </c>
      <c r="K5" s="47" t="s">
        <v>154</v>
      </c>
      <c r="L5" s="47"/>
      <c r="M5" s="35" t="s">
        <v>209</v>
      </c>
      <c r="N5" s="16" t="s">
        <v>210</v>
      </c>
      <c r="O5" s="16" t="s">
        <v>208</v>
      </c>
      <c r="P5" s="16" t="s">
        <v>140</v>
      </c>
      <c r="Q5" s="16"/>
      <c r="R5" s="16" t="s">
        <v>227</v>
      </c>
      <c r="S5" s="16" t="s">
        <v>208</v>
      </c>
      <c r="T5" s="3" t="s">
        <v>251</v>
      </c>
      <c r="V5" s="3" t="str">
        <f t="shared" ref="V5:V48" si="8">H5</f>
        <v>leeftijd</v>
      </c>
      <c r="W5" s="3" t="str">
        <f>Grondslag!J1</f>
        <v>brutojaarloon inclusief bijzondere beloning</v>
      </c>
      <c r="X5" s="16" t="s">
        <v>156</v>
      </c>
      <c r="Y5" s="3" t="str">
        <f>Grondslag!S1</f>
        <v>pensioengrondslag = brutoloon - franchise</v>
      </c>
      <c r="Z5" s="48"/>
      <c r="AA5" s="49" t="s">
        <v>277</v>
      </c>
      <c r="AB5" s="48" t="s">
        <v>278</v>
      </c>
      <c r="AC5" s="49" t="s">
        <v>299</v>
      </c>
      <c r="AD5" s="49" t="s">
        <v>298</v>
      </c>
      <c r="AE5" s="48" t="s">
        <v>297</v>
      </c>
      <c r="AF5" s="113" t="s">
        <v>170</v>
      </c>
      <c r="AG5" s="48" t="s">
        <v>201</v>
      </c>
      <c r="AH5" s="48"/>
      <c r="AI5" s="119" t="s">
        <v>204</v>
      </c>
      <c r="AJ5" s="35" t="s">
        <v>203</v>
      </c>
      <c r="AK5" s="3" t="s">
        <v>283</v>
      </c>
      <c r="AL5" s="12" t="s">
        <v>153</v>
      </c>
      <c r="AM5" s="51" t="s">
        <v>170</v>
      </c>
      <c r="AN5" s="49" t="s">
        <v>201</v>
      </c>
      <c r="AO5" s="12" t="s">
        <v>152</v>
      </c>
      <c r="AP5" s="12"/>
      <c r="AQ5" s="12" t="s">
        <v>175</v>
      </c>
      <c r="AR5" s="49" t="s">
        <v>176</v>
      </c>
      <c r="AS5" s="4" t="s">
        <v>202</v>
      </c>
      <c r="AT5" s="12" t="s">
        <v>177</v>
      </c>
      <c r="AW5" s="12"/>
      <c r="AX5" s="35" t="s">
        <v>205</v>
      </c>
      <c r="AY5" s="12" t="s">
        <v>265</v>
      </c>
      <c r="BB5" s="12"/>
      <c r="BC5" s="35" t="s">
        <v>205</v>
      </c>
      <c r="BD5" s="12" t="s">
        <v>155</v>
      </c>
      <c r="BG5" s="35" t="s">
        <v>205</v>
      </c>
      <c r="BH5" s="3" t="s">
        <v>190</v>
      </c>
      <c r="BI5" s="12" t="s">
        <v>188</v>
      </c>
      <c r="BJ5" s="3" t="s">
        <v>189</v>
      </c>
      <c r="BL5" s="12"/>
      <c r="BM5" s="3" t="s">
        <v>205</v>
      </c>
      <c r="BN5" s="12" t="s">
        <v>155</v>
      </c>
      <c r="BR5" s="3" t="s">
        <v>168</v>
      </c>
      <c r="BS5" s="3" t="s">
        <v>155</v>
      </c>
      <c r="BV5" s="119" t="s">
        <v>204</v>
      </c>
      <c r="BW5" s="35" t="s">
        <v>203</v>
      </c>
      <c r="BX5" s="3" t="s">
        <v>283</v>
      </c>
      <c r="BY5" s="12" t="s">
        <v>153</v>
      </c>
      <c r="BZ5" s="49" t="s">
        <v>170</v>
      </c>
      <c r="CA5" s="12" t="s">
        <v>152</v>
      </c>
      <c r="CB5" s="12"/>
      <c r="CC5" s="12"/>
      <c r="CD5" s="119" t="s">
        <v>205</v>
      </c>
      <c r="CE5" s="35" t="s">
        <v>203</v>
      </c>
      <c r="CF5" s="3" t="s">
        <v>283</v>
      </c>
      <c r="CG5" s="12" t="s">
        <v>153</v>
      </c>
      <c r="CH5" s="12"/>
      <c r="CI5" s="3" t="str">
        <f t="shared" ref="CI5:CI48" si="9">H5</f>
        <v>leeftijd</v>
      </c>
      <c r="CJ5" s="88" t="s">
        <v>158</v>
      </c>
      <c r="CK5" s="103" t="s">
        <v>159</v>
      </c>
      <c r="CL5" s="105" t="s">
        <v>264</v>
      </c>
      <c r="CM5" s="88" t="s">
        <v>158</v>
      </c>
      <c r="CN5" s="103" t="s">
        <v>159</v>
      </c>
      <c r="CO5" s="105" t="s">
        <v>267</v>
      </c>
      <c r="CP5" s="88" t="s">
        <v>162</v>
      </c>
      <c r="CQ5" s="86" t="s">
        <v>160</v>
      </c>
      <c r="CR5" s="93" t="s">
        <v>193</v>
      </c>
      <c r="CS5" s="93" t="s">
        <v>191</v>
      </c>
      <c r="CT5" s="94" t="s">
        <v>192</v>
      </c>
      <c r="CU5" s="88" t="s">
        <v>162</v>
      </c>
      <c r="CV5" s="86" t="s">
        <v>160</v>
      </c>
      <c r="CW5" s="91" t="s">
        <v>161</v>
      </c>
      <c r="CX5" s="88" t="s">
        <v>158</v>
      </c>
      <c r="CY5" s="86" t="s">
        <v>160</v>
      </c>
      <c r="CZ5" s="103" t="s">
        <v>167</v>
      </c>
      <c r="DA5" s="21"/>
      <c r="DB5" s="3" t="str">
        <f t="shared" ref="DB5:DB48" si="10">H5</f>
        <v>leeftijd</v>
      </c>
      <c r="DC5" s="3" t="s">
        <v>317</v>
      </c>
      <c r="DD5" s="3" t="s">
        <v>319</v>
      </c>
      <c r="DE5" s="3" t="s">
        <v>137</v>
      </c>
      <c r="DF5" s="3" t="s">
        <v>200</v>
      </c>
      <c r="DG5" s="3" t="s">
        <v>315</v>
      </c>
      <c r="DH5" s="3" t="s">
        <v>325</v>
      </c>
      <c r="DI5" s="3" t="s">
        <v>322</v>
      </c>
      <c r="DK5" s="3" t="s">
        <v>163</v>
      </c>
      <c r="DL5" s="26" t="s">
        <v>181</v>
      </c>
      <c r="DM5" s="16">
        <f>CJ2/DC2</f>
        <v>0.80977757775822246</v>
      </c>
      <c r="DN5" s="16">
        <f>CM2/DD2</f>
        <v>0.81604615809726699</v>
      </c>
      <c r="DO5" s="16">
        <f>$CP2/DE2</f>
        <v>0.3885878509301241</v>
      </c>
      <c r="DP5" s="16">
        <f>$CP2/DF2</f>
        <v>0.3885878509301241</v>
      </c>
      <c r="DQ5" s="16">
        <f>$CP2/DG2</f>
        <v>0.43195466984525738</v>
      </c>
      <c r="DR5" s="16">
        <f>CU2/DH2</f>
        <v>0.63059707875986593</v>
      </c>
      <c r="DS5" s="16">
        <f>CX2/DI2</f>
        <v>0.74169141009657591</v>
      </c>
      <c r="DT5"/>
      <c r="DW5" s="3" t="str">
        <f>DC5</f>
        <v>Uitkeringsregeling (DSS)</v>
      </c>
      <c r="DX5" s="3" t="str">
        <f t="shared" ref="DX5:EC5" si="11">DD5</f>
        <v>Uitkeringsregeling (degr)</v>
      </c>
      <c r="DY5" s="3" t="str">
        <f t="shared" si="11"/>
        <v>MvT</v>
      </c>
      <c r="DZ5" s="3" t="str">
        <f t="shared" si="11"/>
        <v>MvT_x</v>
      </c>
      <c r="EA5" s="3" t="str">
        <f t="shared" si="11"/>
        <v>MvT met overbrugging</v>
      </c>
      <c r="EB5" s="3" t="str">
        <f t="shared" si="11"/>
        <v>Uitkeringsknip</v>
      </c>
      <c r="EC5" s="3" t="str">
        <f t="shared" si="11"/>
        <v>Saldomethode</v>
      </c>
      <c r="EF5" s="3" t="str">
        <f>Premie_leeftijd!DM11</f>
        <v>Uitkeringsregeling (DSS)</v>
      </c>
      <c r="EG5" s="3" t="str">
        <f>Premie_leeftijd!DN11</f>
        <v>Uitkeringsregeling (degr)</v>
      </c>
      <c r="EH5" s="3" t="str">
        <f>Premie_leeftijd!DO11</f>
        <v>MvT</v>
      </c>
      <c r="EI5" s="3" t="str">
        <f>Premie_leeftijd!DP11</f>
        <v>MvT_x</v>
      </c>
      <c r="EJ5" s="3" t="str">
        <f>Premie_leeftijd!DQ11</f>
        <v>MvT met overbrugging</v>
      </c>
      <c r="EK5" s="3" t="str">
        <f>Premie_leeftijd!DR11</f>
        <v>Uitkeringsknip</v>
      </c>
      <c r="EL5" s="3" t="str">
        <f>Premie_leeftijd!DS11</f>
        <v>Saldomethode</v>
      </c>
    </row>
    <row r="6" spans="1:142" x14ac:dyDescent="0.25">
      <c r="A6">
        <v>0</v>
      </c>
      <c r="B6">
        <f>1</f>
        <v>1</v>
      </c>
      <c r="C6" s="73">
        <v>1</v>
      </c>
      <c r="D6" s="73">
        <v>1</v>
      </c>
      <c r="E6" s="73">
        <v>1</v>
      </c>
      <c r="F6" s="73">
        <v>1</v>
      </c>
      <c r="H6">
        <f>Grondslag!A2</f>
        <v>25</v>
      </c>
      <c r="I6" s="15">
        <f>IF(Settings!C$7="Unisex", overlevtafel!I32, IF(Settings!C$7="Man", overlevtafel!D32, IF(Settings!C$7="Vrouw",overlevtafel!G32) ) )/I$4</f>
        <v>1</v>
      </c>
      <c r="J6" s="11">
        <f>1-IF(I2="Man",overlevtafel!D31/overlevtafel!D30,IF(I2="vrouw",overlevtafel!G31/overlevtafel!G30,overlevtafel!I31/overlevtafel!I30))</f>
        <v>6.0013541517056623E-4</v>
      </c>
      <c r="K6" s="11">
        <f>IFERROR(J6/SUM(J6:J$100), 1)</f>
        <v>5.9977548032070257E-4</v>
      </c>
      <c r="M6" s="20">
        <v>15</v>
      </c>
      <c r="N6">
        <f>IF(Settings!D$7="Unisex", overlevtafel!Q22, IF(Settings!D$7="Man", overlevtafel!L22, IF(Settings!D$7="Vrouw",overlevtafel!O22) ) )</f>
        <v>97844.5</v>
      </c>
      <c r="O6" s="68">
        <f>H6+(geb_deeln-geb_partner)</f>
        <v>25</v>
      </c>
      <c r="P6" s="15">
        <f>IFERROR(VLOOKUP($O6, $M$6:$N$111, MATCH($N$5, $M$5:$N$5,0),FALSE)/P$4, 0)</f>
        <v>1</v>
      </c>
      <c r="R6" s="73">
        <f>1*($H6&gt;=Settings!D$10)</f>
        <v>0</v>
      </c>
      <c r="S6" s="73">
        <f>O6</f>
        <v>25</v>
      </c>
      <c r="T6">
        <f>1*($S6&gt;=Settings!D$10)</f>
        <v>0</v>
      </c>
      <c r="V6" s="18">
        <f t="shared" si="8"/>
        <v>25</v>
      </c>
      <c r="W6">
        <f>Grondslag!J2</f>
        <v>50</v>
      </c>
      <c r="X6">
        <f t="shared" ref="X6:X48" si="12">MAX(W6-x*voltijdfranchise/1000, 0)</f>
        <v>50</v>
      </c>
      <c r="Y6">
        <f>Grondslag!S2</f>
        <v>35</v>
      </c>
      <c r="AA6" s="54">
        <f>IFERROR(SUMPRODUCT($R6:$R80, $I6:$I80, $F$6:$F$80)/$I6, 0)</f>
        <v>8.1611284911274513</v>
      </c>
      <c r="AB6" s="14" cm="1">
        <f t="array" ref="AB6">IFERROR(Settings!O$3/NP_OP*AVERAGE(Y$6:Y$48)/SUM(Y$6:Y$48/AA$6:AA$48), 0)</f>
        <v>0.18717547021577788</v>
      </c>
      <c r="AC6" s="54">
        <f xml:space="preserve"> AB6*Y6/AA6</f>
        <v>0.802724949702047</v>
      </c>
      <c r="AD6" s="54">
        <f t="shared" ref="AD6:AD48" si="13">AC6*AA6</f>
        <v>6.5511414575522258</v>
      </c>
      <c r="AE6" s="14">
        <f t="shared" ref="AE6:AE48" si="14">IFERROR(AC6/AVERAGE(Y$6:Y$48), 0)</f>
        <v>2.2934998562915629E-2</v>
      </c>
      <c r="AF6" s="52" cm="1">
        <f t="array" ref="AF6">IFERROR(AB6*SUMPRODUCT(Y6:Y$48,1/AA6:AA$48)/AVERAGE(Y$6:Y$48), 0)</f>
        <v>0.7142857142857143</v>
      </c>
      <c r="AG6" s="14" cm="1">
        <f t="array" ref="AG6">IFERROR( AB6*SUM(1/AA6:AA$48), 0)</f>
        <v>0.71428571428571452</v>
      </c>
      <c r="AI6" s="20">
        <f>IFERROR($K6*SUMPRODUCT($P6:$P81, $E$6:$E$81)/MIN($P5,1), 0)</f>
        <v>2.3663251072539478E-2</v>
      </c>
      <c r="AJ6" s="20">
        <f>IFERROR(SUMPRODUCT(AI6:AI80, $I6:$I80, $P6:$P80, $E$6:$E$80)/$I6/$P6, 0)</f>
        <v>2.9363478862620553</v>
      </c>
      <c r="AK6" s="20">
        <f>IFERROR( 1/AJ6, 0)</f>
        <v>0.34055910223668734</v>
      </c>
      <c r="AL6" s="5">
        <f>IFERROR( Settings!O$3*AVERAGE(Y$6:Y$48)/SUMPRODUCT(Y$6:Y$48, AK$6:AK$48), 0)</f>
        <v>3.9159687171057347E-2</v>
      </c>
      <c r="AM6" s="52">
        <f>IFERROR( AL6*SUMPRODUCT(Y6:Y$48, AK6:AK$48)/AVERAGE(Y$6:Y$48), 0)</f>
        <v>0.5</v>
      </c>
      <c r="AN6" s="14">
        <f>IFERROR(AL6*SUM(AK6:AK$48),0)</f>
        <v>0.5</v>
      </c>
      <c r="AO6" s="5">
        <f>AI6*AN7</f>
        <v>1.1516047973479509E-2</v>
      </c>
      <c r="AQ6" s="5">
        <f>NP_OP*NPuitkering_leeftijd!F7*AJ6/Y6</f>
        <v>3.4143580072814594E-2</v>
      </c>
      <c r="AR6" s="5">
        <f>NP_OP*SUM(NPuitkering_leeftijd!F7:F$49)/AVERAGE(Y6:Y$48)</f>
        <v>0.4999999999999995</v>
      </c>
      <c r="AS6" s="50">
        <f>IFERROR( AQ6*SUM(AK6:AK$48), 0)</f>
        <v>0.4359531770985377</v>
      </c>
      <c r="AT6" s="5">
        <f t="shared" ref="AT6:AT47" si="15">AI6*AR7</f>
        <v>1.1556471454030898E-2</v>
      </c>
      <c r="AX6" s="20" cm="1">
        <f t="array" ref="AX6">IFERROR( $K6*SUMPRODUCT($P6:$P81, $C$6:$C$81, 1-$T6:$T81)/MIN($P5,1), 0)</f>
        <v>1.874663624419495E-2</v>
      </c>
      <c r="AY6" s="5">
        <f t="shared" ref="AY6:AY48" si="16">AX6*volledigAnw/$Y6/1000</f>
        <v>0</v>
      </c>
      <c r="BC6" s="20" cm="1">
        <f t="array" ref="BC6">IFERROR($K6*SUMPRODUCT($P6:$P81, $C$6:$C$81, 1-$T6:$T81)/MIN($P6,1), 0)</f>
        <v>1.874663624419495E-2</v>
      </c>
      <c r="BD6" s="5">
        <f>BC6*Settings!$I$3*$W6/$Y6</f>
        <v>1.3390454460139249E-2</v>
      </c>
      <c r="BG6" s="20">
        <f>IFERROR($K6*SUMPRODUCT($P6:$P81, $D$6:$D$81, $T6:$T81)/MIN($P6,1), 0)</f>
        <v>4.9166148283445333E-3</v>
      </c>
      <c r="BH6" s="5">
        <f>BG6*Settings!I$7*W6/$Y6</f>
        <v>3.5118677345318096E-3</v>
      </c>
      <c r="BI6" s="5">
        <f>BG6*Settings!I$7*$X6/$Y6</f>
        <v>3.5118677345318096E-3</v>
      </c>
      <c r="BJ6" s="5">
        <f>BG6*Settings!I$7*MAX(W6-voltijdfranchise/1000, 0)/$Y6</f>
        <v>2.4583074141722666E-3</v>
      </c>
      <c r="BM6" s="15" cm="1">
        <f t="array" ref="BM6">IFERROR( $K6*SUMPRODUCT($P6:$P81, $C$6:$C$81, 1-$T6:$T81)/MIN($P6,1), 0)</f>
        <v>1.874663624419495E-2</v>
      </c>
      <c r="BN6" s="5">
        <f>BM6*Settings!I$3*$W6/$Y6</f>
        <v>1.3390454460139249E-2</v>
      </c>
      <c r="BQ6" s="15"/>
      <c r="BR6" s="15">
        <f>AK6*AL6+IFERROR(1*BR5,0)</f>
        <v>1.3336187906844812E-2</v>
      </c>
      <c r="BS6" s="15">
        <f>BM6*(Settings!I$4*$W6/$Y6  - BR6)</f>
        <v>1.3140445796565399E-2</v>
      </c>
      <c r="BV6" s="20">
        <f>IFERROR($K6*SUMPRODUCT($P6:$P81, $E$6:$E$81,  $R6:$R81)/MIN($P6,1), 0)</f>
        <v>4.9166148283445333E-3</v>
      </c>
      <c r="BW6" s="20">
        <f>IFERROR(SUMPRODUCT(BV6:BV80, $I6:$I80, $P6:$P80, $E$6:$E$80)/$I6/$P6, 0)</f>
        <v>2.2765216298451376</v>
      </c>
      <c r="BX6" s="20">
        <f>IFERROR(1/BW6, 0)</f>
        <v>0.43926663682436695</v>
      </c>
      <c r="BY6" s="5">
        <f>IFERROR(Settings!O$5*AVERAGE(Y$6:Y$48)/SUMPRODUCT(Y$6:Y$48, BX$6:BX$48), 0)</f>
        <v>3.4197010420295985E-2</v>
      </c>
      <c r="BZ6" s="14">
        <f>IFERROR(BY6*SUMPRODUCT(Y6:Y$48, BX6:BX$48)/AVERAGE(Y6:Y$48), 0)</f>
        <v>0.5</v>
      </c>
      <c r="CA6" s="5">
        <f>BV6*BZ7</f>
        <v>2.3844519645629799E-3</v>
      </c>
      <c r="CB6" s="5"/>
      <c r="CC6" s="5"/>
      <c r="CD6" s="20">
        <f>IFERROR( $K6*SUMPRODUCT($P6:$P81, $E$6:$E$81)/$P6, 0)</f>
        <v>2.3663251072539478E-2</v>
      </c>
      <c r="CE6" s="20">
        <f>IFERROR(SUMPRODUCT(CD6:CD80, $I6:$I80, $P6:$P80, $E$6:$E$80, $R6:$R80)/$I6/$P6, 0)</f>
        <v>1.4534112372904926</v>
      </c>
      <c r="CF6">
        <f>IFERROR(1/CE6, 0)</f>
        <v>0.68803651323368054</v>
      </c>
      <c r="CG6" s="5">
        <f>IFERROR(Settings!O$6*AVERAGE(Y$6:Y$48)/SUMPRODUCT(Y$6:Y$48,CF$6:CF$48), 0)</f>
        <v>2.3794373702957207E-2</v>
      </c>
      <c r="CI6" s="18">
        <f t="shared" si="9"/>
        <v>25</v>
      </c>
      <c r="CJ6" s="89">
        <f t="shared" ref="CJ6:CJ48" si="17">AQ6</f>
        <v>3.4143580072814594E-2</v>
      </c>
      <c r="CK6" s="104">
        <f t="shared" ref="CK6:CK48" si="18">AT6</f>
        <v>1.1556471454030898E-2</v>
      </c>
      <c r="CL6" s="106">
        <f t="shared" ref="CL6:CL48" si="19">AY6</f>
        <v>0</v>
      </c>
      <c r="CM6" s="89">
        <f t="shared" ref="CM6:CM48" si="20">AL6</f>
        <v>3.9159687171057347E-2</v>
      </c>
      <c r="CN6" s="104">
        <f t="shared" ref="CN6:CN48" si="21">AO6</f>
        <v>1.1516047973479509E-2</v>
      </c>
      <c r="CO6" s="106">
        <f t="shared" ref="CO6:CO48" si="22">AY6</f>
        <v>0</v>
      </c>
      <c r="CP6" s="89">
        <f t="shared" ref="CP6:CP48" si="23">CG6</f>
        <v>2.3794373702957207E-2</v>
      </c>
      <c r="CQ6" s="87">
        <f t="shared" ref="CQ6:CQ48" si="24">BD6</f>
        <v>1.3390454460139249E-2</v>
      </c>
      <c r="CR6" s="95">
        <f t="shared" ref="CR6:CR48" si="25">BH6</f>
        <v>3.5118677345318096E-3</v>
      </c>
      <c r="CS6" s="96">
        <f t="shared" ref="CS6:CS48" si="26">BI6</f>
        <v>3.5118677345318096E-3</v>
      </c>
      <c r="CT6" s="97">
        <f t="shared" ref="CT6:CT48" si="27">BJ6</f>
        <v>2.4583074141722666E-3</v>
      </c>
      <c r="CU6" s="89">
        <f t="shared" ref="CU6:CU48" si="28">BY6</f>
        <v>3.4197010420295985E-2</v>
      </c>
      <c r="CV6" s="87">
        <f t="shared" ref="CV6:CV48" si="29">BN6</f>
        <v>1.3390454460139249E-2</v>
      </c>
      <c r="CW6" s="92">
        <f t="shared" ref="CW6:CW48" si="30">CA6</f>
        <v>2.3844519645629799E-3</v>
      </c>
      <c r="CX6" s="89">
        <f t="shared" ref="CX6:CX48" si="31">AL6</f>
        <v>3.9159687171057347E-2</v>
      </c>
      <c r="CY6" s="87">
        <f t="shared" ref="CY6:CY48" si="32">BS6</f>
        <v>1.3140445796565399E-2</v>
      </c>
      <c r="CZ6" s="115">
        <f t="shared" ref="CZ6:CZ48" si="33">CA6</f>
        <v>2.3844519645629799E-3</v>
      </c>
      <c r="DA6" s="11"/>
      <c r="DB6">
        <f t="shared" si="10"/>
        <v>25</v>
      </c>
      <c r="DC6" s="11">
        <f>SUM(CJ6:CL6)</f>
        <v>4.5700051526845489E-2</v>
      </c>
      <c r="DD6" s="11">
        <f>SUM(CM6:CO6)</f>
        <v>5.0675735144536854E-2</v>
      </c>
      <c r="DE6" s="11">
        <f t="shared" ref="DE6:DE48" si="34">$CP6+$CQ6+CR6</f>
        <v>4.0696695897628268E-2</v>
      </c>
      <c r="DF6" s="11">
        <f t="shared" ref="DF6:DF48" si="35">$CP6+$CQ6+CS6</f>
        <v>4.0696695897628268E-2</v>
      </c>
      <c r="DG6" s="11">
        <f t="shared" ref="DG6:DG48" si="36">$CP6+$CQ6+CT6</f>
        <v>3.9643135577268722E-2</v>
      </c>
      <c r="DH6" s="11">
        <f t="shared" ref="DH6:DH48" si="37">SUM(CU6:CW6)</f>
        <v>4.9971916844998215E-2</v>
      </c>
      <c r="DI6" s="11">
        <f t="shared" ref="DI6:DI48" si="38">SUM(CX6:CZ6)</f>
        <v>5.4684584932185726E-2</v>
      </c>
      <c r="DK6" s="32" t="s">
        <v>4</v>
      </c>
      <c r="DL6" s="18" t="str">
        <f>DL2</f>
        <v>Risico (ANW-hiaat)</v>
      </c>
      <c r="DM6" s="17">
        <f>CL3/DC3</f>
        <v>0</v>
      </c>
      <c r="DN6" s="17">
        <f>CO3/DD3</f>
        <v>0</v>
      </c>
      <c r="DO6" s="17">
        <f>0%</f>
        <v>0</v>
      </c>
      <c r="DP6" s="17">
        <f>0%</f>
        <v>0</v>
      </c>
      <c r="DQ6" s="17">
        <f>0%</f>
        <v>0</v>
      </c>
      <c r="DR6" s="17">
        <f>0%</f>
        <v>0</v>
      </c>
      <c r="DS6" s="17">
        <f>0%</f>
        <v>0</v>
      </c>
      <c r="DT6" s="73"/>
      <c r="DV6">
        <f t="shared" ref="DV6:DV48" si="39">H6</f>
        <v>25</v>
      </c>
      <c r="DW6" s="11">
        <f>SUMPRODUCT($B6:$B$48, $Y6:$Y$48, CK6:CK$48)/$B6/$Y6</f>
        <v>0.29253188396161384</v>
      </c>
      <c r="DX6" s="11">
        <f>SUMPRODUCT($B6:$B$48, $Y6:$Y$48, CN6:CN$48)/$B6/$Y6</f>
        <v>0.28242463202970169</v>
      </c>
      <c r="DY6" s="11" cm="1">
        <f t="array" ref="DY6">SUMPRODUCT($B6:$B$48, $Y6:$Y$48, $CQ6:$CQ$48 + CR6:CR$48)/$B6/$Y6</f>
        <v>1.197811128303234</v>
      </c>
      <c r="DZ6" s="11" cm="1">
        <f t="array" ref="DZ6">SUMPRODUCT($B6:$B$48, $Y6:$Y$48, $CQ6:$CQ$48 + CS6:CS$48)/$B6/$Y6</f>
        <v>1.197811128303234</v>
      </c>
      <c r="EA6" s="11" cm="1">
        <f t="array" ref="EA6">SUMPRODUCT($B6:$B$48, $Y6:$Y$48, $CQ6:$CQ$48 + CT6:CT$48)/$B6/$Y6</f>
        <v>1.0011250267175427</v>
      </c>
      <c r="EB6" s="11" cm="1">
        <f t="array" ref="EB6">SUMPRODUCT($B6:$B$48, $Y6:$Y$48, $CV6:$CV$48 + CW6:CW$48)/$B6/$Y6</f>
        <v>0.64092281491952674</v>
      </c>
      <c r="EC6" s="11" cm="1">
        <f t="array" ref="EC6">SUMPRODUCT($B6:$B$48, $Y6:$Y$48, $CY6:$CY$48 + CZ6:CZ$48)/$B6/$Y6</f>
        <v>0.4363390009019118</v>
      </c>
      <c r="EE6">
        <f>Settings!T14</f>
        <v>25</v>
      </c>
      <c r="EF6" s="14" t="e">
        <f>SUMPRODUCT($B6:$B$48, $Y6:$Y$48, CK6:CK$48)/$B6/$AD5</f>
        <v>#VALUE!</v>
      </c>
      <c r="EG6" s="14" t="e">
        <f>SUMPRODUCT($B6:$B$48, $Y6:$Y$48, CN6:CN$48)/$B6/$AD5</f>
        <v>#VALUE!</v>
      </c>
      <c r="EH6" s="14" t="e" cm="1">
        <f t="array" ref="EH6">SUMPRODUCT($B6:$B$48, $Y6:$Y$48, $CQ6:$CQ$48 + CR6:CR$48)/$B6/$AD5</f>
        <v>#VALUE!</v>
      </c>
      <c r="EI6" s="14" t="e" cm="1">
        <f t="array" ref="EI6">SUMPRODUCT($B6:$B$48, $Y6:$Y$48, $CQ6:$CQ$48 + CS6:CS$48)/$B6/$AD5</f>
        <v>#VALUE!</v>
      </c>
      <c r="EJ6" s="14" t="e" cm="1">
        <f t="array" ref="EJ6">SUMPRODUCT($B6:$B$48, $Y6:$Y$48, $CQ6:$CQ$48 + CT6:CT$48)/$B6/$AD5</f>
        <v>#VALUE!</v>
      </c>
      <c r="EK6" s="14" t="e" cm="1">
        <f t="array" ref="EK6">SUMPRODUCT($B6:$B$48, $Y6:$Y$48, $CV6:$CV$48 + CW6:CW$48)/$B6/$AD5</f>
        <v>#VALUE!</v>
      </c>
      <c r="EL6" s="14" t="e" cm="1">
        <f t="array" ref="EL6">SUMPRODUCT($B6:$B$48, $Y6:$Y$48, $CY6:$CY$48 + CZ6:CZ$48)/$B6/$AD5</f>
        <v>#VALUE!</v>
      </c>
    </row>
    <row r="7" spans="1:142" x14ac:dyDescent="0.25">
      <c r="A7">
        <v>1</v>
      </c>
      <c r="B7">
        <f>B6/(1+Settings!O$14)</f>
        <v>0.98522167487684742</v>
      </c>
      <c r="C7" s="73">
        <f>C6/(1+Settings!$O$15)</f>
        <v>0.98522167487684742</v>
      </c>
      <c r="D7" s="73">
        <f>D6/(1+Settings!$O$16)</f>
        <v>0.98522167487684742</v>
      </c>
      <c r="E7" s="73">
        <f>E6/(1+Settings!$O$17)</f>
        <v>0.98522167487684742</v>
      </c>
      <c r="F7" s="73">
        <f>F6/(1+Settings!$O$18)</f>
        <v>0.98522167487684742</v>
      </c>
      <c r="H7">
        <f>Grondslag!A3</f>
        <v>26</v>
      </c>
      <c r="I7" s="15">
        <f>IF(Settings!C$7="Unisex", overlevtafel!I33, IF(Settings!C$7="Man", overlevtafel!D33, IF(Settings!C$7="Vrouw",overlevtafel!G33) ) )/I$4</f>
        <v>0.99947617360223084</v>
      </c>
      <c r="J7" s="11">
        <f>I6-I7</f>
        <v>5.2382639776915596E-4</v>
      </c>
      <c r="K7" s="11">
        <f>IFERROR(J7/SUM(J7:J$100), 1)</f>
        <v>5.2382640795006405E-4</v>
      </c>
      <c r="M7" s="20">
        <v>16</v>
      </c>
      <c r="N7" s="73">
        <f>IF(Settings!D$7="Unisex", overlevtafel!Q23, IF(Settings!D$7="Man", overlevtafel!L23, IF(Settings!D$7="Vrouw",overlevtafel!O23) ) )</f>
        <v>97818</v>
      </c>
      <c r="O7" s="20">
        <f>O6+1</f>
        <v>26</v>
      </c>
      <c r="P7" s="15">
        <f t="shared" ref="P7:P69" si="40">IFERROR(VLOOKUP($O7, $M$6:$N$111, MATCH($N$5, $M$5:$N$5,0),FALSE)/P$4, 0)</f>
        <v>0.99947617360223084</v>
      </c>
      <c r="R7" s="73">
        <f>1*($H7&gt;=Settings!D$10)</f>
        <v>0</v>
      </c>
      <c r="S7" s="73">
        <f t="shared" ref="S7:S70" si="41">O7</f>
        <v>26</v>
      </c>
      <c r="T7" s="73">
        <f>1*($S7&gt;=Settings!D$10)</f>
        <v>0</v>
      </c>
      <c r="V7" s="18">
        <f t="shared" si="8"/>
        <v>26</v>
      </c>
      <c r="W7">
        <f>Grondslag!J3</f>
        <v>50</v>
      </c>
      <c r="X7" s="73">
        <f t="shared" si="12"/>
        <v>50</v>
      </c>
      <c r="Y7">
        <f>Grondslag!S3</f>
        <v>35</v>
      </c>
      <c r="AA7" s="54">
        <f t="shared" ref="AA7:AA48" si="42">IFERROR(SUMPRODUCT($R7:$R81, $I7:$I81, $F$6:$F$80)/$I7, 0)</f>
        <v>8.3003954390899555</v>
      </c>
      <c r="AB7" s="14" cm="1">
        <f t="array" ref="AB7">IFERROR(Settings!O$3/NP_OP*AVERAGE(Y$6:Y$48)/SUM(Y$6:Y$48/AA$6:AA$48), 0)</f>
        <v>0.18717547021577788</v>
      </c>
      <c r="AC7" s="54">
        <f t="shared" ref="AC7:AC48" si="43" xml:space="preserve"> AC6*(1+reele_index_opb) + AB7*Y7/AA7</f>
        <v>1.5919814984563656</v>
      </c>
      <c r="AD7" s="54">
        <f t="shared" si="13"/>
        <v>13.21407596890281</v>
      </c>
      <c r="AE7" s="14">
        <f t="shared" si="14"/>
        <v>4.5485185670181873E-2</v>
      </c>
      <c r="AF7" s="52" cm="1">
        <f t="array" ref="AF7">IFERROR(AB7*SUMPRODUCT(Y7:Y$48,1/AA7:AA$48)/AVERAGE(Y$6:Y$48), 0)</f>
        <v>0.69135071572279871</v>
      </c>
      <c r="AG7" s="14" cm="1">
        <f t="array" ref="AG7">IFERROR( AB7*SUM(1/AA7:AA$48), 0)</f>
        <v>0.69135071572279894</v>
      </c>
      <c r="AI7" s="20">
        <f>IFERROR($K7*SUMPRODUCT($P7:$P82, $E$6:$E$81)/MIN($P6,1), 0)</f>
        <v>2.0449341033169907E-2</v>
      </c>
      <c r="AJ7" s="20">
        <f t="shared" ref="AJ7:AJ48" si="44">IFERROR(SUMPRODUCT(AI7:AI81, $I7:$I81, $P7:$P81, $E$6:$E$80)/$I7/$P7, 0)</f>
        <v>2.9597358527296005</v>
      </c>
      <c r="AK7" s="20">
        <f t="shared" ref="AK7:AK48" si="45">IFERROR( 1/AJ7, 0)</f>
        <v>0.33786798881993318</v>
      </c>
      <c r="AL7" s="5">
        <f>IFERROR( Settings!O$3*AVERAGE(Y$6:Y$48)/SUMPRODUCT(Y$6:Y$48, AK$6:AK$48), 0)</f>
        <v>3.9159687171057347E-2</v>
      </c>
      <c r="AM7" s="52">
        <f>IFERROR( AL7*SUMPRODUCT(Y7:Y$48, AK7:AK$48)/AVERAGE(Y$6:Y$48), 0)</f>
        <v>0.48666381209315518</v>
      </c>
      <c r="AN7" s="14">
        <f>IFERROR(AL7*SUM(AK7:AK$48),0)</f>
        <v>0.48666381209315529</v>
      </c>
      <c r="AO7" s="5">
        <f t="shared" ref="AO7:AO47" si="46">AI7*AN8</f>
        <v>9.6813930235745693E-3</v>
      </c>
      <c r="AQ7" s="5">
        <f>NP_OP*NPuitkering_leeftijd!F8*AJ7/Y7</f>
        <v>3.4415533171274423E-2</v>
      </c>
      <c r="AR7" s="5">
        <f>NP_OP*SUM(NPuitkering_leeftijd!F8:F$49)/AVERAGE(Y7:Y$48)</f>
        <v>0.4883720930232554</v>
      </c>
      <c r="AS7" s="50">
        <f>IFERROR( AQ7*SUM(AK7:AK$48), 0)</f>
        <v>0.42770501447544162</v>
      </c>
      <c r="AT7" s="5">
        <f>AI7*AR8</f>
        <v>9.7491044460461113E-3</v>
      </c>
      <c r="AX7" s="20" cm="1">
        <f t="array" ref="AX7">IFERROR( $K7*SUMPRODUCT($P7:$P82, $C$6:$C$81, 1-$T7:$T82)/MIN($P6,1), 0)</f>
        <v>1.6086672895820643E-2</v>
      </c>
      <c r="AY7" s="5">
        <f t="shared" si="16"/>
        <v>0</v>
      </c>
      <c r="BC7" s="20" cm="1">
        <f t="array" ref="BC7">IFERROR($K7*SUMPRODUCT($P7:$P82, $C$6:$C$81, 1-$T7:$T82)/MIN($P7,1), 0)</f>
        <v>1.609510393613723E-2</v>
      </c>
      <c r="BD7" s="5">
        <f>BC7*Settings!$I$3*$W7/$Y7</f>
        <v>1.1496502811526593E-2</v>
      </c>
      <c r="BG7" s="20">
        <f t="shared" ref="BG7:BG48" si="47">IFERROR($K7*SUMPRODUCT($P7:$P82, $D$6:$D$81, $T7:$T82)/MIN($P7,1), 0)</f>
        <v>4.364954615802082E-3</v>
      </c>
      <c r="BH7" s="5">
        <f>BG7*Settings!I$7*W7/$Y7</f>
        <v>3.1178247255729155E-3</v>
      </c>
      <c r="BI7" s="5">
        <f>BG7*Settings!I$7*$X7/$Y7</f>
        <v>3.1178247255729155E-3</v>
      </c>
      <c r="BJ7" s="5">
        <f>BG7*Settings!I$7*MAX(W7-voltijdfranchise/1000, 0)/$Y7</f>
        <v>2.182477307901041E-3</v>
      </c>
      <c r="BM7" s="15" cm="1">
        <f t="array" ref="BM7">IFERROR( $K7*SUMPRODUCT($P7:$P82, $C$6:$C$81, 1-$T7:$T82)/MIN($P7,1), 0)</f>
        <v>1.609510393613723E-2</v>
      </c>
      <c r="BN7" s="5">
        <f>BM7*Settings!I$3*$W7/$Y7</f>
        <v>1.1496502811526593E-2</v>
      </c>
      <c r="BQ7" s="15"/>
      <c r="BR7" s="15">
        <f t="shared" ref="BR7:BR48" si="48">AK7*AL7+IFERROR(1*BR6,0)</f>
        <v>2.6566992654147699E-2</v>
      </c>
      <c r="BS7" s="15">
        <f>BM7*(Settings!I$4*$W7/$Y7  - BR7)</f>
        <v>1.1068904303487491E-2</v>
      </c>
      <c r="BV7" s="20">
        <f t="shared" ref="BV7:BV70" si="49">IFERROR($K7*SUMPRODUCT($P7:$P82, $E$6:$E$81,  $R7:$R82)/MIN($P7,1), 0)</f>
        <v>4.364954615802082E-3</v>
      </c>
      <c r="BW7" s="20">
        <f t="shared" ref="BW7:BW48" si="50">IFERROR(SUMPRODUCT(BV7:BV81, $I7:$I81, $P7:$P81, $E$6:$E$80)/$I7/$P7, 0)</f>
        <v>2.3084812215016877</v>
      </c>
      <c r="BX7" s="20">
        <f t="shared" ref="BX7:BX48" si="51">IFERROR(1/BW7, 0)</f>
        <v>0.43318524347774034</v>
      </c>
      <c r="BY7" s="5">
        <f>IFERROR(Settings!O$5*AVERAGE(Y$6:Y$48)/SUMPRODUCT(Y$6:Y$48, BX$6:BX$48), 0)</f>
        <v>3.4197010420295985E-2</v>
      </c>
      <c r="BZ7" s="14">
        <f>IFERROR(BY7*SUMPRODUCT(Y7:Y$48, BX7:BX$48)/AVERAGE(Y7:Y$48), 0)</f>
        <v>0.48497839424322881</v>
      </c>
      <c r="CA7" s="5">
        <f t="shared" ref="CA7:CA47" si="52">BV7*BZ8</f>
        <v>2.0522478129768678E-3</v>
      </c>
      <c r="CB7" s="5"/>
      <c r="CC7" s="5"/>
      <c r="CD7" s="20">
        <f t="shared" ref="CD7:CD70" si="53">IFERROR( $K7*SUMPRODUCT($P7:$P82, $E$6:$E$81)/$P7, 0)</f>
        <v>2.0460058551939317E-2</v>
      </c>
      <c r="CE7" s="20">
        <f t="shared" ref="CE7:CE48" si="54">IFERROR(SUMPRODUCT(CD7:CD81, $I7:$I81, $P7:$P81, $E$6:$E$80, $R7:$R81)/$I7/$P7, 0)</f>
        <v>1.4771438122848173</v>
      </c>
      <c r="CF7" s="73">
        <f t="shared" ref="CF7:CF48" si="55">IFERROR(1/CE7, 0)</f>
        <v>0.67698215412974549</v>
      </c>
      <c r="CG7" s="5" cm="1">
        <f t="array" ref="CG7">IFERROR(Settings!O$6*AVERAGE(Y$6:Y$48)/SUMPRODUCT(Y$6:Y$48,1/CE$6:CE$48), 0)</f>
        <v>2.3794373702957207E-2</v>
      </c>
      <c r="CI7" s="18">
        <f t="shared" si="9"/>
        <v>26</v>
      </c>
      <c r="CJ7" s="90">
        <f t="shared" si="17"/>
        <v>3.4415533171274423E-2</v>
      </c>
      <c r="CK7" s="104">
        <f t="shared" si="18"/>
        <v>9.7491044460461113E-3</v>
      </c>
      <c r="CL7" s="106">
        <f t="shared" si="19"/>
        <v>0</v>
      </c>
      <c r="CM7" s="89">
        <f t="shared" si="20"/>
        <v>3.9159687171057347E-2</v>
      </c>
      <c r="CN7" s="104">
        <f t="shared" si="21"/>
        <v>9.6813930235745693E-3</v>
      </c>
      <c r="CO7" s="106">
        <f t="shared" si="22"/>
        <v>0</v>
      </c>
      <c r="CP7" s="89">
        <f t="shared" si="23"/>
        <v>2.3794373702957207E-2</v>
      </c>
      <c r="CQ7" s="87">
        <f t="shared" si="24"/>
        <v>1.1496502811526593E-2</v>
      </c>
      <c r="CR7" s="95">
        <f t="shared" si="25"/>
        <v>3.1178247255729155E-3</v>
      </c>
      <c r="CS7" s="96">
        <f t="shared" si="26"/>
        <v>3.1178247255729155E-3</v>
      </c>
      <c r="CT7" s="97">
        <f t="shared" si="27"/>
        <v>2.182477307901041E-3</v>
      </c>
      <c r="CU7" s="89">
        <f t="shared" si="28"/>
        <v>3.4197010420295985E-2</v>
      </c>
      <c r="CV7" s="87">
        <f t="shared" si="29"/>
        <v>1.1496502811526593E-2</v>
      </c>
      <c r="CW7" s="92">
        <f t="shared" si="30"/>
        <v>2.0522478129768678E-3</v>
      </c>
      <c r="CX7" s="89">
        <f t="shared" si="31"/>
        <v>3.9159687171057347E-2</v>
      </c>
      <c r="CY7" s="87">
        <f t="shared" si="32"/>
        <v>1.1068904303487491E-2</v>
      </c>
      <c r="CZ7" s="115">
        <f t="shared" si="33"/>
        <v>2.0522478129768678E-3</v>
      </c>
      <c r="DA7" s="11"/>
      <c r="DB7">
        <f t="shared" si="10"/>
        <v>26</v>
      </c>
      <c r="DC7" s="11">
        <f t="shared" ref="DC7:DC13" si="56">SUM(CJ7:CL7)</f>
        <v>4.4164637617320535E-2</v>
      </c>
      <c r="DD7" s="11">
        <f t="shared" ref="DD7:DD13" si="57">SUM(CM7:CO7)</f>
        <v>4.8841080194631917E-2</v>
      </c>
      <c r="DE7" s="11">
        <f t="shared" si="34"/>
        <v>3.8408701240056714E-2</v>
      </c>
      <c r="DF7" s="11">
        <f t="shared" si="35"/>
        <v>3.8408701240056714E-2</v>
      </c>
      <c r="DG7" s="11">
        <f t="shared" si="36"/>
        <v>3.7473353822384842E-2</v>
      </c>
      <c r="DH7" s="11">
        <f t="shared" si="37"/>
        <v>4.7745761044799447E-2</v>
      </c>
      <c r="DI7" s="11">
        <f t="shared" si="38"/>
        <v>5.2280839287521703E-2</v>
      </c>
      <c r="DK7" s="18" t="s">
        <v>4</v>
      </c>
      <c r="DL7" s="18" t="str">
        <f>DL3</f>
        <v>Risico (pens.gev.loon)</v>
      </c>
      <c r="DM7" s="107">
        <v>0</v>
      </c>
      <c r="DN7" s="107">
        <v>0</v>
      </c>
      <c r="DO7" s="17">
        <f>($CQ3+CR3)/DE3</f>
        <v>0.63973383164034314</v>
      </c>
      <c r="DP7" s="17">
        <f>($CQ3+CS3)/DF3</f>
        <v>0.63973383164034314</v>
      </c>
      <c r="DQ7" s="17">
        <f>($CQ3+CT3)/DG3</f>
        <v>0.59435670131609875</v>
      </c>
      <c r="DR7" s="17">
        <f>CV3/DH3</f>
        <v>0.32031022651055557</v>
      </c>
      <c r="DS7" s="17">
        <f>CY3/DI3</f>
        <v>0.19734008527746341</v>
      </c>
      <c r="DT7" s="18"/>
      <c r="DU7" s="18"/>
      <c r="DV7">
        <f t="shared" si="39"/>
        <v>26</v>
      </c>
      <c r="DW7" s="11">
        <f>SUMPRODUCT($B7:$B$48, $Y7:$Y$48, CK7:CK$48)/$B7/$Y7</f>
        <v>0.28519004369519663</v>
      </c>
      <c r="DX7" s="11">
        <f>SUMPRODUCT($B7:$B$48, $Y7:$Y$48, CN7:CN$48)/$B7/$Y7</f>
        <v>0.27497221281706546</v>
      </c>
      <c r="DY7" s="11" cm="1">
        <f t="array" ref="DY7">SUMPRODUCT($B7:$B$48, $Y7:$Y$48, $CQ7:$CQ$48 + CR7:CR$48)/$B7/$Y7</f>
        <v>1.1986224382001913</v>
      </c>
      <c r="DZ7" s="11" cm="1">
        <f t="array" ref="DZ7">SUMPRODUCT($B7:$B$48, $Y7:$Y$48, $CQ7:$CQ$48 + CS7:CS$48)/$B7/$Y7</f>
        <v>1.1986224382001913</v>
      </c>
      <c r="EA7" s="11" cm="1">
        <f t="array" ref="EA7">SUMPRODUCT($B7:$B$48, $Y7:$Y$48, $CQ7:$CQ$48 + CT7:CT$48)/$B7/$Y7</f>
        <v>1.0000554088158795</v>
      </c>
      <c r="EB7" s="11" cm="1">
        <f t="array" ref="EB7">SUMPRODUCT($B7:$B$48, $Y7:$Y$48, $CV7:$CV$48 + CW7:CW$48)/$B7/$Y7</f>
        <v>0.63452512712224696</v>
      </c>
      <c r="EC7" s="11" cm="1">
        <f t="array" ref="EC7">SUMPRODUCT($B7:$B$48, $Y7:$Y$48, $CY7:$CY$48 + CZ7:CZ$48)/$B7/$Y7</f>
        <v>0.42712631468789514</v>
      </c>
      <c r="EE7" s="73">
        <f>Settings!T15</f>
        <v>26</v>
      </c>
      <c r="EF7" s="14">
        <f>SUMPRODUCT($B7:$B$48, $Y7:$Y$48, CK7:CK$48)/$B7/$AD6</f>
        <v>1.5236507399523374</v>
      </c>
      <c r="EG7" s="14">
        <f>SUMPRODUCT($B7:$B$48, $Y7:$Y$48, CN7:CN$48)/$B7/$AD6</f>
        <v>1.4690611568923777</v>
      </c>
      <c r="EH7" s="14" cm="1">
        <f t="array" ref="EH7">SUMPRODUCT($B7:$B$48, $Y7:$Y$48, $CQ7:$CQ$48 + CR7:CR$48)/$B7/$AD6</f>
        <v>6.4037367547061939</v>
      </c>
      <c r="EI7" s="14" cm="1">
        <f t="array" ref="EI7">SUMPRODUCT($B7:$B$48, $Y7:$Y$48, $CQ7:$CQ$48 + CS7:CS$48)/$B7/$AD6</f>
        <v>6.4037367547061939</v>
      </c>
      <c r="EJ7" s="14" cm="1">
        <f t="array" ref="EJ7">SUMPRODUCT($B7:$B$48, $Y7:$Y$48, $CQ7:$CQ$48 + CT7:CT$48)/$B7/$AD6</f>
        <v>5.3428764338778203</v>
      </c>
      <c r="EK7" s="14" cm="1">
        <f t="array" ref="EK7">SUMPRODUCT($B7:$B$48, $Y7:$Y$48, $CV7:$CV$48 + CW7:CW$48)/$B7/$AD6</f>
        <v>3.3900015124351475</v>
      </c>
      <c r="EL7" s="14" cm="1">
        <f t="array" ref="EL7">SUMPRODUCT($B7:$B$48, $Y7:$Y$48, $CY7:$CY$48 + CZ7:CZ$48)/$B7/$AD6</f>
        <v>2.2819566805174811</v>
      </c>
    </row>
    <row r="8" spans="1:142" x14ac:dyDescent="0.25">
      <c r="A8">
        <v>2</v>
      </c>
      <c r="B8">
        <f>B7/(1+Settings!O$14)</f>
        <v>0.97066174864714039</v>
      </c>
      <c r="C8" s="73">
        <f>C7/(1+Settings!$O$15)</f>
        <v>0.97066174864714039</v>
      </c>
      <c r="D8" s="73">
        <f>D7/(1+Settings!$O$16)</f>
        <v>0.97066174864714039</v>
      </c>
      <c r="E8" s="73">
        <f>E7/(1+Settings!$O$17)</f>
        <v>0.97066174864714039</v>
      </c>
      <c r="F8" s="73">
        <f>F7/(1+Settings!$O$18)</f>
        <v>0.97066174864714039</v>
      </c>
      <c r="H8">
        <f>Grondslag!A4</f>
        <v>27</v>
      </c>
      <c r="I8" s="15">
        <f>IF(Settings!C$7="Unisex", overlevtafel!I34, IF(Settings!C$7="Man", overlevtafel!D34, IF(Settings!C$7="Vrouw",overlevtafel!G34) ) )/I$4</f>
        <v>0.99893694054570381</v>
      </c>
      <c r="J8" s="11">
        <f t="shared" ref="J8:J71" si="58">I7-I8</f>
        <v>5.3923305652703313E-4</v>
      </c>
      <c r="K8" s="11">
        <f>IFERROR(J8/SUM(J8:J$100), 1)</f>
        <v>5.3951567956784044E-4</v>
      </c>
      <c r="M8" s="20">
        <v>17</v>
      </c>
      <c r="N8" s="73">
        <f>IF(Settings!D$7="Unisex", overlevtafel!Q24, IF(Settings!D$7="Man", overlevtafel!L24, IF(Settings!D$7="Vrouw",overlevtafel!O24) ) )</f>
        <v>97779</v>
      </c>
      <c r="O8" s="20">
        <f t="shared" ref="O8:O71" si="59">O7+1</f>
        <v>27</v>
      </c>
      <c r="P8" s="15">
        <f t="shared" si="40"/>
        <v>0.99893694054570381</v>
      </c>
      <c r="R8" s="73">
        <f>1*($H8&gt;=Settings!D$10)</f>
        <v>0</v>
      </c>
      <c r="S8" s="73">
        <f t="shared" si="41"/>
        <v>27</v>
      </c>
      <c r="T8" s="73">
        <f>1*($S8&gt;=Settings!D$10)</f>
        <v>0</v>
      </c>
      <c r="V8" s="18">
        <f t="shared" si="8"/>
        <v>27</v>
      </c>
      <c r="W8">
        <f>Grondslag!J4</f>
        <v>50</v>
      </c>
      <c r="X8" s="73">
        <f t="shared" si="12"/>
        <v>50</v>
      </c>
      <c r="Y8">
        <f>Grondslag!S4</f>
        <v>35</v>
      </c>
      <c r="AA8" s="54">
        <f t="shared" si="42"/>
        <v>8.4375886523157675</v>
      </c>
      <c r="AB8" s="14" cm="1">
        <f t="array" ref="AB8">IFERROR(Settings!O$3/NP_OP*AVERAGE(Y$6:Y$48)/SUM(Y$6:Y$48/AA$6:AA$48), 0)</f>
        <v>0.18717547021577788</v>
      </c>
      <c r="AC8" s="54">
        <f t="shared" si="43"/>
        <v>2.3684049207755149</v>
      </c>
      <c r="AD8" s="54">
        <f t="shared" si="13"/>
        <v>19.98362648362431</v>
      </c>
      <c r="AE8" s="14">
        <f t="shared" si="14"/>
        <v>6.7668712022157573E-2</v>
      </c>
      <c r="AF8" s="52" cm="1">
        <f t="array" ref="AF8">IFERROR(AB8*SUMPRODUCT(Y8:Y$48,1/AA8:AA$48)/AVERAGE(Y$6:Y$48), 0)</f>
        <v>0.66880052861553252</v>
      </c>
      <c r="AG8" s="14" cm="1">
        <f t="array" ref="AG8">IFERROR( AB8*SUM(1/AA8:AA$48), 0)</f>
        <v>0.66880052861553274</v>
      </c>
      <c r="AI8" s="20">
        <f t="shared" ref="AI8:AI71" si="60">IFERROR($K8*SUMPRODUCT($P8:$P83, $E$6:$E$81)/MIN($P7,1), 0)</f>
        <v>2.0844057772382421E-2</v>
      </c>
      <c r="AJ8" s="20">
        <f t="shared" si="44"/>
        <v>2.9867064110372508</v>
      </c>
      <c r="AK8" s="20">
        <f t="shared" si="45"/>
        <v>0.33481697307259295</v>
      </c>
      <c r="AL8" s="5">
        <f>IFERROR( Settings!O$3*AVERAGE(Y$6:Y$48)/SUMPRODUCT(Y$6:Y$48, AK$6:AK$48), 0)</f>
        <v>3.9159687171057347E-2</v>
      </c>
      <c r="AM8" s="52">
        <f>IFERROR( AL8*SUMPRODUCT(Y8:Y$48, AK8:AK$48)/AVERAGE(Y$6:Y$48), 0)</f>
        <v>0.47343300734585236</v>
      </c>
      <c r="AN8" s="14">
        <f>IFERROR(AL8*SUM(AK8:AK$48),0)</f>
        <v>0.47343300734585236</v>
      </c>
      <c r="AO8" s="5">
        <f t="shared" si="46"/>
        <v>9.594971679726616E-3</v>
      </c>
      <c r="AQ8" s="5">
        <f>NP_OP*NPuitkering_leeftijd!F9*AJ8/Y8</f>
        <v>3.4729144314386638E-2</v>
      </c>
      <c r="AR8" s="5">
        <f>NP_OP*SUM(NPuitkering_leeftijd!F9:F$49)/AVERAGE(Y8:Y$48)</f>
        <v>0.47674418604651125</v>
      </c>
      <c r="AS8" s="50">
        <f>IFERROR( AQ8*SUM(AK8:AK$48), 0)</f>
        <v>0.41986860526966335</v>
      </c>
      <c r="AT8" s="5">
        <f t="shared" si="15"/>
        <v>9.6949105918057686E-3</v>
      </c>
      <c r="AX8" s="20" cm="1">
        <f t="array" ref="AX8">IFERROR( $K8*SUMPRODUCT($P8:$P83, $C$6:$C$81, 1-$T8:$T83)/MIN($P7,1), 0)</f>
        <v>1.6278222085803276E-2</v>
      </c>
      <c r="AY8" s="5">
        <f t="shared" si="16"/>
        <v>0</v>
      </c>
      <c r="BC8" s="20" cm="1">
        <f t="array" ref="BC8">IFERROR($K8*SUMPRODUCT($P8:$P83, $C$6:$C$81, 1-$T8:$T83)/MIN($P8,1), 0)</f>
        <v>1.6287009182459608E-2</v>
      </c>
      <c r="BD8" s="5">
        <f>BC8*Settings!$I$3*$W8/$Y8</f>
        <v>1.1633577987471149E-2</v>
      </c>
      <c r="BG8" s="20">
        <f t="shared" si="47"/>
        <v>4.5683003562023636E-3</v>
      </c>
      <c r="BH8" s="5">
        <f>BG8*Settings!I$7*W8/$Y8</f>
        <v>3.2630716830016884E-3</v>
      </c>
      <c r="BI8" s="5">
        <f>BG8*Settings!I$7*$X8/$Y8</f>
        <v>3.2630716830016884E-3</v>
      </c>
      <c r="BJ8" s="5">
        <f>BG8*Settings!I$7*MAX(W8-voltijdfranchise/1000, 0)/$Y8</f>
        <v>2.2841501781011818E-3</v>
      </c>
      <c r="BM8" s="15" cm="1">
        <f t="array" ref="BM8">IFERROR( $K8*SUMPRODUCT($P8:$P83, $C$6:$C$81, 1-$T8:$T83)/MIN($P8,1), 0)</f>
        <v>1.6287009182459608E-2</v>
      </c>
      <c r="BN8" s="5">
        <f>BM8*Settings!I$3*$W8/$Y8</f>
        <v>1.1633577987471149E-2</v>
      </c>
      <c r="BQ8" s="15"/>
      <c r="BR8" s="15">
        <f t="shared" si="48"/>
        <v>3.9678320579230771E-2</v>
      </c>
      <c r="BS8" s="15">
        <f>BM8*(Settings!I$4*$W8/$Y8  - BR8)</f>
        <v>1.0987336815852641E-2</v>
      </c>
      <c r="BV8" s="20">
        <f t="shared" si="49"/>
        <v>4.5683003562023636E-3</v>
      </c>
      <c r="BW8" s="20">
        <f t="shared" si="50"/>
        <v>2.3413709241469078</v>
      </c>
      <c r="BX8" s="20">
        <f t="shared" si="51"/>
        <v>0.42710020428068474</v>
      </c>
      <c r="BY8" s="5">
        <f>IFERROR(Settings!O$5*AVERAGE(Y$6:Y$48)/SUMPRODUCT(Y$6:Y$48, BX$6:BX$48), 0)</f>
        <v>3.4197010420295985E-2</v>
      </c>
      <c r="BZ8" s="14">
        <f>IFERROR(BY8*SUMPRODUCT(Y8:Y$48, BX8:BX$48)/AVERAGE(Y8:Y$48), 0)</f>
        <v>0.47016475395810203</v>
      </c>
      <c r="CA8" s="5">
        <f t="shared" si="52"/>
        <v>2.081131273090417E-3</v>
      </c>
      <c r="CB8" s="5"/>
      <c r="CC8" s="5"/>
      <c r="CD8" s="20">
        <f t="shared" si="53"/>
        <v>2.0855309538661972E-2</v>
      </c>
      <c r="CE8" s="20">
        <f t="shared" si="54"/>
        <v>1.5010874351124321</v>
      </c>
      <c r="CF8" s="73">
        <f t="shared" si="55"/>
        <v>0.66618371229328122</v>
      </c>
      <c r="CG8" s="5" cm="1">
        <f t="array" ref="CG8">IFERROR(Settings!O$6*AVERAGE(Y$6:Y$48)/SUMPRODUCT(Y$6:Y$48,1/CE$6:CE$48), 0)</f>
        <v>2.3794373702957207E-2</v>
      </c>
      <c r="CI8" s="18">
        <f t="shared" si="9"/>
        <v>27</v>
      </c>
      <c r="CJ8" s="90">
        <f t="shared" si="17"/>
        <v>3.4729144314386638E-2</v>
      </c>
      <c r="CK8" s="104">
        <f t="shared" si="18"/>
        <v>9.6949105918057686E-3</v>
      </c>
      <c r="CL8" s="106">
        <f t="shared" si="19"/>
        <v>0</v>
      </c>
      <c r="CM8" s="89">
        <f t="shared" si="20"/>
        <v>3.9159687171057347E-2</v>
      </c>
      <c r="CN8" s="104">
        <f t="shared" si="21"/>
        <v>9.594971679726616E-3</v>
      </c>
      <c r="CO8" s="106">
        <f t="shared" si="22"/>
        <v>0</v>
      </c>
      <c r="CP8" s="89">
        <f t="shared" si="23"/>
        <v>2.3794373702957207E-2</v>
      </c>
      <c r="CQ8" s="87">
        <f t="shared" si="24"/>
        <v>1.1633577987471149E-2</v>
      </c>
      <c r="CR8" s="95">
        <f t="shared" si="25"/>
        <v>3.2630716830016884E-3</v>
      </c>
      <c r="CS8" s="96">
        <f t="shared" si="26"/>
        <v>3.2630716830016884E-3</v>
      </c>
      <c r="CT8" s="97">
        <f t="shared" si="27"/>
        <v>2.2841501781011818E-3</v>
      </c>
      <c r="CU8" s="89">
        <f t="shared" si="28"/>
        <v>3.4197010420295985E-2</v>
      </c>
      <c r="CV8" s="87">
        <f t="shared" si="29"/>
        <v>1.1633577987471149E-2</v>
      </c>
      <c r="CW8" s="92">
        <f t="shared" si="30"/>
        <v>2.081131273090417E-3</v>
      </c>
      <c r="CX8" s="89">
        <f t="shared" si="31"/>
        <v>3.9159687171057347E-2</v>
      </c>
      <c r="CY8" s="87">
        <f t="shared" si="32"/>
        <v>1.0987336815852641E-2</v>
      </c>
      <c r="CZ8" s="115">
        <f t="shared" si="33"/>
        <v>2.081131273090417E-3</v>
      </c>
      <c r="DA8" s="11"/>
      <c r="DB8">
        <f t="shared" si="10"/>
        <v>27</v>
      </c>
      <c r="DC8" s="11">
        <f t="shared" si="56"/>
        <v>4.4424054906192403E-2</v>
      </c>
      <c r="DD8" s="11">
        <f t="shared" si="57"/>
        <v>4.8754658850783963E-2</v>
      </c>
      <c r="DE8" s="11">
        <f t="shared" si="34"/>
        <v>3.8691023373430042E-2</v>
      </c>
      <c r="DF8" s="11">
        <f t="shared" si="35"/>
        <v>3.8691023373430042E-2</v>
      </c>
      <c r="DG8" s="11">
        <f t="shared" si="36"/>
        <v>3.7712101868529538E-2</v>
      </c>
      <c r="DH8" s="11">
        <f t="shared" si="37"/>
        <v>4.7911719680857549E-2</v>
      </c>
      <c r="DI8" s="11">
        <f t="shared" si="38"/>
        <v>5.2228155260000408E-2</v>
      </c>
      <c r="DK8" s="32" t="s">
        <v>4</v>
      </c>
      <c r="DL8" s="18" t="str">
        <f>DL4</f>
        <v>Risico (bereikbaar)</v>
      </c>
      <c r="DM8" s="17">
        <f>CK3/DC3</f>
        <v>0.18558987732679302</v>
      </c>
      <c r="DN8" s="17">
        <f>CN3/DD3</f>
        <v>0.18075598494479347</v>
      </c>
      <c r="DO8" s="17">
        <v>0</v>
      </c>
      <c r="DP8" s="17">
        <v>0</v>
      </c>
      <c r="DQ8" s="17">
        <v>0</v>
      </c>
      <c r="DR8" s="17">
        <f>CW3/DH3</f>
        <v>5.8194219489977342E-2</v>
      </c>
      <c r="DS8" s="17">
        <f>CZ3/DI3</f>
        <v>6.0671905580423728E-2</v>
      </c>
      <c r="DT8" s="18"/>
      <c r="DU8" s="18"/>
      <c r="DV8">
        <f t="shared" si="39"/>
        <v>27</v>
      </c>
      <c r="DW8" s="11">
        <f>SUMPRODUCT($B8:$B$48, $Y8:$Y$48, CK8:CK$48)/$B8/$Y8</f>
        <v>0.27957255333788777</v>
      </c>
      <c r="DX8" s="11">
        <f>SUMPRODUCT($B8:$B$48, $Y8:$Y$48, CN8:CN$48)/$B8/$Y8</f>
        <v>0.26927018209039327</v>
      </c>
      <c r="DY8" s="11" cm="1">
        <f t="array" ref="DY8">SUMPRODUCT($B8:$B$48, $Y8:$Y$48, $CQ8:$CQ$48 + CR8:CR$48)/$B8/$Y8</f>
        <v>1.2017682323230381</v>
      </c>
      <c r="DZ8" s="11" cm="1">
        <f t="array" ref="DZ8">SUMPRODUCT($B8:$B$48, $Y8:$Y$48, $CQ8:$CQ$48 + CS8:CS$48)/$B8/$Y8</f>
        <v>1.2017682323230381</v>
      </c>
      <c r="EA8" s="11" cm="1">
        <f t="array" ref="EA8">SUMPRODUCT($B8:$B$48, $Y8:$Y$48, $CQ8:$CQ$48 + CT8:CT$48)/$B8/$Y8</f>
        <v>1.0011720751268987</v>
      </c>
      <c r="EB8" s="11" cm="1">
        <f t="array" ref="EB8">SUMPRODUCT($B8:$B$48, $Y8:$Y$48, $CV8:$CV$48 + CW8:CW$48)/$B8/$Y8</f>
        <v>0.63029102214520949</v>
      </c>
      <c r="EC8" s="11" cm="1">
        <f t="array" ref="EC8">SUMPRODUCT($B8:$B$48, $Y8:$Y$48, $CY8:$CY$48 + CZ8:CZ$48)/$B8/$Y8</f>
        <v>0.42021524001000221</v>
      </c>
      <c r="EE8" s="73">
        <f>Settings!T16</f>
        <v>27</v>
      </c>
      <c r="EF8" s="14">
        <f>SUMPRODUCT($B8:$B$48, $Y8:$Y$48, CK8:CK$48)/$B8/$AD7</f>
        <v>0.74050121929475665</v>
      </c>
      <c r="EG8" s="14">
        <f>SUMPRODUCT($B8:$B$48, $Y8:$Y$48, CN8:CN$48)/$B8/$AD7</f>
        <v>0.71321342448330838</v>
      </c>
      <c r="EH8" s="14" cm="1">
        <f t="array" ref="EH8">SUMPRODUCT($B8:$B$48, $Y8:$Y$48, $CQ8:$CQ$48 + CR8:CR$48)/$B8/$AD7</f>
        <v>3.1831123288750711</v>
      </c>
      <c r="EI8" s="14" cm="1">
        <f t="array" ref="EI8">SUMPRODUCT($B8:$B$48, $Y8:$Y$48, $CQ8:$CQ$48 + CS8:CS$48)/$B8/$AD7</f>
        <v>3.1831123288750711</v>
      </c>
      <c r="EJ8" s="14" cm="1">
        <f t="array" ref="EJ8">SUMPRODUCT($B8:$B$48, $Y8:$Y$48, $CQ8:$CQ$48 + CT8:CT$48)/$B8/$AD7</f>
        <v>2.6517951547959031</v>
      </c>
      <c r="EK8" s="14" cm="1">
        <f t="array" ref="EK8">SUMPRODUCT($B8:$B$48, $Y8:$Y$48, $CV8:$CV$48 + CW8:CW$48)/$B8/$AD7</f>
        <v>1.6694459625476203</v>
      </c>
      <c r="EL8" s="14" cm="1">
        <f t="array" ref="EL8">SUMPRODUCT($B8:$B$48, $Y8:$Y$48, $CY8:$CY$48 + CZ8:CZ$48)/$B8/$AD7</f>
        <v>1.1130201941446287</v>
      </c>
    </row>
    <row r="9" spans="1:142" x14ac:dyDescent="0.25">
      <c r="A9">
        <v>3</v>
      </c>
      <c r="B9">
        <f>B8/(1+Settings!O$14)</f>
        <v>0.95631699374102508</v>
      </c>
      <c r="C9" s="73">
        <f>C8/(1+Settings!$O$15)</f>
        <v>0.95631699374102508</v>
      </c>
      <c r="D9" s="73">
        <f>D8/(1+Settings!$O$16)</f>
        <v>0.95631699374102508</v>
      </c>
      <c r="E9" s="73">
        <f>E8/(1+Settings!$O$17)</f>
        <v>0.95631699374102508</v>
      </c>
      <c r="F9" s="73">
        <f>F8/(1+Settings!$O$18)</f>
        <v>0.95631699374102508</v>
      </c>
      <c r="H9">
        <f>Grondslag!A5</f>
        <v>28</v>
      </c>
      <c r="I9" s="15">
        <f>IF(Settings!C$7="Unisex", overlevtafel!I35, IF(Settings!C$7="Man", overlevtafel!D35, IF(Settings!C$7="Vrouw",overlevtafel!G35) ) )/I$4</f>
        <v>0.99839770748917678</v>
      </c>
      <c r="J9" s="11">
        <f t="shared" si="58"/>
        <v>5.3923305652703313E-4</v>
      </c>
      <c r="K9" s="11">
        <f>IFERROR(J9/SUM(J9:J$100), 1)</f>
        <v>5.3980691386180794E-4</v>
      </c>
      <c r="M9" s="20">
        <v>18</v>
      </c>
      <c r="N9" s="73">
        <f>IF(Settings!D$7="Unisex", overlevtafel!Q25, IF(Settings!D$7="Man", overlevtafel!L25, IF(Settings!D$7="Vrouw",overlevtafel!O25) ) )</f>
        <v>97732.5</v>
      </c>
      <c r="O9" s="20">
        <f t="shared" si="59"/>
        <v>28</v>
      </c>
      <c r="P9" s="15">
        <f t="shared" si="40"/>
        <v>0.99839770748917678</v>
      </c>
      <c r="R9" s="73">
        <f>1*($H9&gt;=Settings!D$10)</f>
        <v>0</v>
      </c>
      <c r="S9" s="73">
        <f t="shared" si="41"/>
        <v>28</v>
      </c>
      <c r="T9" s="73">
        <f>1*($S9&gt;=Settings!D$10)</f>
        <v>0</v>
      </c>
      <c r="V9" s="18">
        <f t="shared" si="8"/>
        <v>28</v>
      </c>
      <c r="W9">
        <f>Grondslag!J5</f>
        <v>50</v>
      </c>
      <c r="X9" s="73">
        <f t="shared" si="12"/>
        <v>50</v>
      </c>
      <c r="Y9">
        <f>Grondslag!S5</f>
        <v>35</v>
      </c>
      <c r="AA9" s="54">
        <f t="shared" si="42"/>
        <v>8.5738413595413352</v>
      </c>
      <c r="AB9" s="14" cm="1">
        <f t="array" ref="AB9">IFERROR(Settings!O$3/NP_OP*AVERAGE(Y$6:Y$48)/SUM(Y$6:Y$48/AA$6:AA$48), 0)</f>
        <v>0.18717547021577788</v>
      </c>
      <c r="AC9" s="54">
        <f t="shared" si="43"/>
        <v>3.1324896737855337</v>
      </c>
      <c r="AD9" s="54">
        <f t="shared" si="13"/>
        <v>26.857469523438553</v>
      </c>
      <c r="AE9" s="14">
        <f t="shared" si="14"/>
        <v>8.9499704965300964E-2</v>
      </c>
      <c r="AF9" s="52" cm="1">
        <f t="array" ref="AF9">IFERROR(AB9*SUMPRODUCT(Y9:Y$48,1/AA9:AA$48)/AVERAGE(Y$6:Y$48), 0)</f>
        <v>0.64661700226355678</v>
      </c>
      <c r="AG9" s="14" cm="1">
        <f t="array" ref="AG9">IFERROR( AB9*SUM(1/AA9:AA$48), 0)</f>
        <v>0.64661700226355701</v>
      </c>
      <c r="AI9" s="20">
        <f>IFERROR($K9*SUMPRODUCT($P9:$P84, $E$6:$E$81)/MIN($P8,1), 0)</f>
        <v>2.0633272515557251E-2</v>
      </c>
      <c r="AJ9" s="20">
        <f t="shared" si="44"/>
        <v>3.0136441919637078</v>
      </c>
      <c r="AK9" s="20">
        <f t="shared" si="45"/>
        <v>0.33182417574929252</v>
      </c>
      <c r="AL9" s="5">
        <f>IFERROR( Settings!O$3*AVERAGE(Y$6:Y$48)/SUMPRODUCT(Y$6:Y$48, AK$6:AK$48), 0)</f>
        <v>3.9159687171057347E-2</v>
      </c>
      <c r="AM9" s="52">
        <f>IFERROR( AL9*SUMPRODUCT(Y9:Y$48, AK9:AK$48)/AVERAGE(Y$6:Y$48), 0)</f>
        <v>0.46032167942076918</v>
      </c>
      <c r="AN9" s="14">
        <f>IFERROR(AL9*SUM(AK9:AK$48),0)</f>
        <v>0.46032167942076929</v>
      </c>
      <c r="AO9" s="5">
        <f t="shared" si="46"/>
        <v>9.2298312119709815E-3</v>
      </c>
      <c r="AQ9" s="5">
        <f>NP_OP*NPuitkering_leeftijd!F10*AJ9/Y9</f>
        <v>3.5042374325159394E-2</v>
      </c>
      <c r="AR9" s="5">
        <f>NP_OP*SUM(NPuitkering_leeftijd!F10:F$49)/AVERAGE(Y9:Y$48)</f>
        <v>0.46511627906976705</v>
      </c>
      <c r="AS9" s="50">
        <f>IFERROR( AQ9*SUM(AK9:AK$48), 0)</f>
        <v>0.41192271352389032</v>
      </c>
      <c r="AT9" s="5">
        <f t="shared" si="15"/>
        <v>9.3569491640317689E-3</v>
      </c>
      <c r="AX9" s="20" cm="1">
        <f t="array" ref="AX9">IFERROR( $K9*SUMPRODUCT($P9:$P84, $C$6:$C$81, 1-$T9:$T84)/MIN($P8,1), 0)</f>
        <v>1.5992334020392032E-2</v>
      </c>
      <c r="AY9" s="5">
        <f t="shared" si="16"/>
        <v>0</v>
      </c>
      <c r="BC9" s="20" cm="1">
        <f t="array" ref="BC9">IFERROR($K9*SUMPRODUCT($P9:$P84, $C$6:$C$81, 1-$T9:$T84)/MIN($P9,1), 0)</f>
        <v>1.6000971455244026E-2</v>
      </c>
      <c r="BD9" s="5">
        <f>BC9*Settings!$I$3*$W9/$Y9</f>
        <v>1.1429265325174305E-2</v>
      </c>
      <c r="BG9" s="20">
        <f t="shared" si="47"/>
        <v>4.6434450588633651E-3</v>
      </c>
      <c r="BH9" s="5">
        <f>BG9*Settings!I$7*W9/$Y9</f>
        <v>3.3167464706166895E-3</v>
      </c>
      <c r="BI9" s="5">
        <f>BG9*Settings!I$7*$X9/$Y9</f>
        <v>3.3167464706166895E-3</v>
      </c>
      <c r="BJ9" s="5">
        <f>BG9*Settings!I$7*MAX(W9-voltijdfranchise/1000, 0)/$Y9</f>
        <v>2.3217225294316825E-3</v>
      </c>
      <c r="BM9" s="15" cm="1">
        <f t="array" ref="BM9">IFERROR( $K9*SUMPRODUCT($P9:$P84, $C$6:$C$81, 1-$T9:$T84)/MIN($P9,1), 0)</f>
        <v>1.6000971455244026E-2</v>
      </c>
      <c r="BN9" s="5">
        <f>BM9*Settings!I$3*$W9/$Y9</f>
        <v>1.1429265325174305E-2</v>
      </c>
      <c r="BQ9" s="15"/>
      <c r="BR9" s="15">
        <f t="shared" si="48"/>
        <v>5.2672451497367018E-2</v>
      </c>
      <c r="BS9" s="15">
        <f>BM9*(Settings!I$4*$W9/$Y9  - BR9)</f>
        <v>1.058645493228721E-2</v>
      </c>
      <c r="BV9" s="20">
        <f t="shared" si="49"/>
        <v>4.6434450588633651E-3</v>
      </c>
      <c r="BW9" s="20">
        <f t="shared" si="50"/>
        <v>2.3744837842760407</v>
      </c>
      <c r="BX9" s="20">
        <f t="shared" si="51"/>
        <v>0.4211441689440264</v>
      </c>
      <c r="BY9" s="5">
        <f>IFERROR(Settings!O$5*AVERAGE(Y$6:Y$48)/SUMPRODUCT(Y$6:Y$48, BX$6:BX$48), 0)</f>
        <v>3.4197010420295985E-2</v>
      </c>
      <c r="BZ9" s="14">
        <f>IFERROR(BY9*SUMPRODUCT(Y9:Y$48, BX9:BX$48)/AVERAGE(Y9:Y$48), 0)</f>
        <v>0.45555920382180498</v>
      </c>
      <c r="CA9" s="5">
        <f t="shared" si="52"/>
        <v>2.0484898347939606E-3</v>
      </c>
      <c r="CB9" s="5"/>
      <c r="CC9" s="5"/>
      <c r="CD9" s="20">
        <f t="shared" si="53"/>
        <v>2.0644416514107387E-2</v>
      </c>
      <c r="CE9" s="20">
        <f t="shared" si="54"/>
        <v>1.5253163423240685</v>
      </c>
      <c r="CF9" s="73">
        <f t="shared" si="55"/>
        <v>0.65560170847991883</v>
      </c>
      <c r="CG9" s="5" cm="1">
        <f t="array" ref="CG9">IFERROR(Settings!O$6*AVERAGE(Y$6:Y$48)/SUMPRODUCT(Y$6:Y$48,1/CE$6:CE$48), 0)</f>
        <v>2.3794373702957207E-2</v>
      </c>
      <c r="CI9" s="18">
        <f t="shared" si="9"/>
        <v>28</v>
      </c>
      <c r="CJ9" s="90">
        <f t="shared" si="17"/>
        <v>3.5042374325159394E-2</v>
      </c>
      <c r="CK9" s="104">
        <f t="shared" si="18"/>
        <v>9.3569491640317689E-3</v>
      </c>
      <c r="CL9" s="106">
        <f t="shared" si="19"/>
        <v>0</v>
      </c>
      <c r="CM9" s="89">
        <f t="shared" si="20"/>
        <v>3.9159687171057347E-2</v>
      </c>
      <c r="CN9" s="104">
        <f t="shared" si="21"/>
        <v>9.2298312119709815E-3</v>
      </c>
      <c r="CO9" s="106">
        <f t="shared" si="22"/>
        <v>0</v>
      </c>
      <c r="CP9" s="89">
        <f t="shared" si="23"/>
        <v>2.3794373702957207E-2</v>
      </c>
      <c r="CQ9" s="87">
        <f t="shared" si="24"/>
        <v>1.1429265325174305E-2</v>
      </c>
      <c r="CR9" s="95">
        <f t="shared" si="25"/>
        <v>3.3167464706166895E-3</v>
      </c>
      <c r="CS9" s="96">
        <f t="shared" si="26"/>
        <v>3.3167464706166895E-3</v>
      </c>
      <c r="CT9" s="97">
        <f t="shared" si="27"/>
        <v>2.3217225294316825E-3</v>
      </c>
      <c r="CU9" s="89">
        <f t="shared" si="28"/>
        <v>3.4197010420295985E-2</v>
      </c>
      <c r="CV9" s="87">
        <f t="shared" si="29"/>
        <v>1.1429265325174305E-2</v>
      </c>
      <c r="CW9" s="92">
        <f t="shared" si="30"/>
        <v>2.0484898347939606E-3</v>
      </c>
      <c r="CX9" s="89">
        <f t="shared" si="31"/>
        <v>3.9159687171057347E-2</v>
      </c>
      <c r="CY9" s="87">
        <f t="shared" si="32"/>
        <v>1.058645493228721E-2</v>
      </c>
      <c r="CZ9" s="115">
        <f t="shared" si="33"/>
        <v>2.0484898347939606E-3</v>
      </c>
      <c r="DA9" s="11"/>
      <c r="DB9">
        <f t="shared" si="10"/>
        <v>28</v>
      </c>
      <c r="DC9" s="11">
        <f t="shared" si="56"/>
        <v>4.4399323489191164E-2</v>
      </c>
      <c r="DD9" s="11">
        <f t="shared" si="57"/>
        <v>4.8389518383028331E-2</v>
      </c>
      <c r="DE9" s="11">
        <f t="shared" si="34"/>
        <v>3.8540385498748199E-2</v>
      </c>
      <c r="DF9" s="11">
        <f t="shared" si="35"/>
        <v>3.8540385498748199E-2</v>
      </c>
      <c r="DG9" s="11">
        <f t="shared" si="36"/>
        <v>3.7545361557563196E-2</v>
      </c>
      <c r="DH9" s="11">
        <f t="shared" si="37"/>
        <v>4.7674765580264254E-2</v>
      </c>
      <c r="DI9" s="11">
        <f t="shared" si="38"/>
        <v>5.1794631938138519E-2</v>
      </c>
      <c r="DK9" s="3" t="s">
        <v>4</v>
      </c>
      <c r="DL9" s="26" t="str">
        <f>DL5</f>
        <v>Opbouw</v>
      </c>
      <c r="DM9" s="16">
        <f>CJ3/DC3</f>
        <v>0.81441012267320689</v>
      </c>
      <c r="DN9" s="16">
        <f>CM3/DD3</f>
        <v>0.81924401505520672</v>
      </c>
      <c r="DO9" s="16">
        <f>$CP3/DE3</f>
        <v>0.36026616835965675</v>
      </c>
      <c r="DP9" s="16">
        <f>$CP3/DF3</f>
        <v>0.36026616835965675</v>
      </c>
      <c r="DQ9" s="16">
        <f>$CP3/DG3</f>
        <v>0.40564329868390087</v>
      </c>
      <c r="DR9" s="16">
        <f>CU3/DH3</f>
        <v>0.6214955539994671</v>
      </c>
      <c r="DS9" s="16">
        <f>CX3/DI3</f>
        <v>0.74198800914211271</v>
      </c>
      <c r="DT9" s="3"/>
      <c r="DV9">
        <f t="shared" si="39"/>
        <v>28</v>
      </c>
      <c r="DW9" s="11">
        <f>SUMPRODUCT($B9:$B$48, $Y9:$Y$48, CK9:CK$48)/$B9/$Y9</f>
        <v>0.27392580738727329</v>
      </c>
      <c r="DX9" s="11">
        <f>SUMPRODUCT($B9:$B$48, $Y9:$Y$48, CN9:CN$48)/$B9/$Y9</f>
        <v>0.26357033856682666</v>
      </c>
      <c r="DY9" s="11" cm="1">
        <f t="array" ref="DY9">SUMPRODUCT($B9:$B$48, $Y9:$Y$48, $CQ9:$CQ$48 + CR9:CR$48)/$B9/$Y9</f>
        <v>1.2046746563923536</v>
      </c>
      <c r="DZ9" s="11" cm="1">
        <f t="array" ref="DZ9">SUMPRODUCT($B9:$B$48, $Y9:$Y$48, $CQ9:$CQ$48 + CS9:CS$48)/$B9/$Y9</f>
        <v>1.2046746563923536</v>
      </c>
      <c r="EA9" s="11" cm="1">
        <f t="array" ref="EA9">SUMPRODUCT($B9:$B$48, $Y9:$Y$48, $CQ9:$CQ$48 + CT9:CT$48)/$B9/$Y9</f>
        <v>1.0020631621657461</v>
      </c>
      <c r="EB9" s="11" cm="1">
        <f t="array" ref="EB9">SUMPRODUCT($B9:$B$48, $Y9:$Y$48, $CV9:$CV$48 + CW9:CW$48)/$B9/$Y9</f>
        <v>0.62582495757791756</v>
      </c>
      <c r="EC9" s="11" cm="1">
        <f t="array" ref="EC9">SUMPRODUCT($B9:$B$48, $Y9:$Y$48, $CY9:$CY$48 + CZ9:CZ$48)/$B9/$Y9</f>
        <v>0.41325397349987503</v>
      </c>
      <c r="EE9" s="73">
        <f>Settings!T17</f>
        <v>28</v>
      </c>
      <c r="EF9" s="14">
        <f>SUMPRODUCT($B9:$B$48, $Y9:$Y$48, CK9:CK$48)/$B9/$AD8</f>
        <v>0.47976293323992086</v>
      </c>
      <c r="EG9" s="14">
        <f>SUMPRODUCT($B9:$B$48, $Y9:$Y$48, CN9:CN$48)/$B9/$AD8</f>
        <v>0.46162601454737839</v>
      </c>
      <c r="EH9" s="14" cm="1">
        <f t="array" ref="EH9">SUMPRODUCT($B9:$B$48, $Y9:$Y$48, $CQ9:$CQ$48 + CR9:CR$48)/$B9/$AD8</f>
        <v>2.1099079793291562</v>
      </c>
      <c r="EI9" s="14" cm="1">
        <f t="array" ref="EI9">SUMPRODUCT($B9:$B$48, $Y9:$Y$48, $CQ9:$CQ$48 + CS9:CS$48)/$B9/$AD8</f>
        <v>2.1099079793291562</v>
      </c>
      <c r="EJ9" s="14" cm="1">
        <f t="array" ref="EJ9">SUMPRODUCT($B9:$B$48, $Y9:$Y$48, $CQ9:$CQ$48 + CT9:CT$48)/$B9/$AD8</f>
        <v>1.7550473486151885</v>
      </c>
      <c r="EK9" s="14" cm="1">
        <f t="array" ref="EK9">SUMPRODUCT($B9:$B$48, $Y9:$Y$48, $CV9:$CV$48 + CW9:CW$48)/$B9/$AD8</f>
        <v>1.0960910189737765</v>
      </c>
      <c r="EL9" s="14" cm="1">
        <f t="array" ref="EL9">SUMPRODUCT($B9:$B$48, $Y9:$Y$48, $CY9:$CY$48 + CZ9:CZ$48)/$B9/$AD8</f>
        <v>0.72378700054007405</v>
      </c>
    </row>
    <row r="10" spans="1:142" x14ac:dyDescent="0.25">
      <c r="A10">
        <v>4</v>
      </c>
      <c r="B10">
        <f>B9/(1+Settings!O$14)</f>
        <v>0.94218423028672427</v>
      </c>
      <c r="C10" s="73">
        <f>C9/(1+Settings!$O$15)</f>
        <v>0.94218423028672427</v>
      </c>
      <c r="D10" s="73">
        <f>D9/(1+Settings!$O$16)</f>
        <v>0.94218423028672427</v>
      </c>
      <c r="E10" s="73">
        <f>E9/(1+Settings!$O$17)</f>
        <v>0.94218423028672427</v>
      </c>
      <c r="F10" s="73">
        <f>F9/(1+Settings!$O$18)</f>
        <v>0.94218423028672427</v>
      </c>
      <c r="H10">
        <f>Grondslag!A6</f>
        <v>29</v>
      </c>
      <c r="I10" s="15">
        <f>IF(Settings!C$7="Unisex", overlevtafel!I36, IF(Settings!C$7="Man", overlevtafel!D36, IF(Settings!C$7="Vrouw",overlevtafel!G36) ) )/I$4</f>
        <v>0.99790469440892349</v>
      </c>
      <c r="J10" s="11">
        <f t="shared" si="58"/>
        <v>4.930130802532906E-4</v>
      </c>
      <c r="K10" s="11">
        <f>IFERROR(J10/SUM(J10:J$100), 1)</f>
        <v>4.9380430879649643E-4</v>
      </c>
      <c r="M10" s="20">
        <v>19</v>
      </c>
      <c r="N10" s="73">
        <f>IF(Settings!D$7="Unisex", overlevtafel!Q26, IF(Settings!D$7="Man", overlevtafel!L26, IF(Settings!D$7="Vrouw",overlevtafel!O26) ) )</f>
        <v>97681.5</v>
      </c>
      <c r="O10" s="20">
        <f t="shared" si="59"/>
        <v>29</v>
      </c>
      <c r="P10" s="15">
        <f t="shared" si="40"/>
        <v>0.99790469440892349</v>
      </c>
      <c r="R10" s="73">
        <f>1*($H10&gt;=Settings!D$10)</f>
        <v>0</v>
      </c>
      <c r="S10" s="73">
        <f t="shared" si="41"/>
        <v>29</v>
      </c>
      <c r="T10" s="73">
        <f>1*($S10&gt;=Settings!D$10)</f>
        <v>0</v>
      </c>
      <c r="V10" s="18">
        <f t="shared" si="8"/>
        <v>29</v>
      </c>
      <c r="W10">
        <f>Grondslag!J6</f>
        <v>50</v>
      </c>
      <c r="X10" s="73">
        <f t="shared" si="12"/>
        <v>50</v>
      </c>
      <c r="Y10">
        <f>Grondslag!S6</f>
        <v>35</v>
      </c>
      <c r="AA10" s="54">
        <f t="shared" si="42"/>
        <v>8.7097566886766398</v>
      </c>
      <c r="AB10" s="14" cm="1">
        <f t="array" ref="AB10">IFERROR(Settings!O$3/NP_OP*AVERAGE(Y$6:Y$48)/SUM(Y$6:Y$48/AA$6:AA$48), 0)</f>
        <v>0.18717547021577788</v>
      </c>
      <c r="AC10" s="54">
        <f t="shared" si="43"/>
        <v>3.8846509214205245</v>
      </c>
      <c r="AD10" s="54">
        <f t="shared" si="13"/>
        <v>33.834364346016287</v>
      </c>
      <c r="AE10" s="14">
        <f t="shared" si="14"/>
        <v>0.1109900263263007</v>
      </c>
      <c r="AF10" s="52" cm="1">
        <f t="array" ref="AF10">IFERROR(AB10*SUMPRODUCT(Y10:Y$48,1/AA10:AA$48)/AVERAGE(Y$6:Y$48), 0)</f>
        <v>0.62478600932041339</v>
      </c>
      <c r="AG10" s="14" cm="1">
        <f t="array" ref="AG10">IFERROR( AB10*SUM(1/AA10:AA$48), 0)</f>
        <v>0.6247860093204135</v>
      </c>
      <c r="AI10" s="20">
        <f t="shared" si="60"/>
        <v>1.8667990218019039E-2</v>
      </c>
      <c r="AJ10" s="20">
        <f t="shared" si="44"/>
        <v>3.0409227802514143</v>
      </c>
      <c r="AK10" s="20">
        <f t="shared" si="45"/>
        <v>0.32884754801873761</v>
      </c>
      <c r="AL10" s="5">
        <f>IFERROR( Settings!O$3*AVERAGE(Y$6:Y$48)/SUMPRODUCT(Y$6:Y$48, AK$6:AK$48), 0)</f>
        <v>3.9159687171057347E-2</v>
      </c>
      <c r="AM10" s="52">
        <f>IFERROR( AL10*SUMPRODUCT(Y10:Y$48, AK10:AK$48)/AVERAGE(Y$6:Y$48), 0)</f>
        <v>0.44732754850263301</v>
      </c>
      <c r="AN10" s="14">
        <f>IFERROR(AL10*SUM(AK10:AK$48),0)</f>
        <v>0.44732754850263301</v>
      </c>
      <c r="AO10" s="5">
        <f t="shared" si="46"/>
        <v>8.1103080029050808E-3</v>
      </c>
      <c r="AQ10" s="5">
        <f>NP_OP*NPuitkering_leeftijd!F11*AJ10/Y10</f>
        <v>3.5359567212225745E-2</v>
      </c>
      <c r="AR10" s="5">
        <f>NP_OP*SUM(NPuitkering_leeftijd!F11:F$49)/AVERAGE(Y10:Y$48)</f>
        <v>0.4534883720930229</v>
      </c>
      <c r="AS10" s="50">
        <f>IFERROR( AQ10*SUM(AK10:AK$48), 0)</f>
        <v>0.40391815307578571</v>
      </c>
      <c r="AT10" s="5">
        <f t="shared" si="15"/>
        <v>8.2486468405200339E-3</v>
      </c>
      <c r="AX10" s="20" cm="1">
        <f t="array" ref="AX10">IFERROR( $K10*SUMPRODUCT($P10:$P85, $C$6:$C$81, 1-$T10:$T85)/MIN($P9,1), 0)</f>
        <v>1.4355710005917375E-2</v>
      </c>
      <c r="AY10" s="5">
        <f t="shared" si="16"/>
        <v>0</v>
      </c>
      <c r="BC10" s="20" cm="1">
        <f t="array" ref="BC10">IFERROR($K10*SUMPRODUCT($P10:$P85, $C$6:$C$81, 1-$T10:$T85)/MIN($P10,1), 0)</f>
        <v>1.4362802419500451E-2</v>
      </c>
      <c r="BD10" s="5">
        <f>BC10*Settings!$I$3*$W10/$Y10</f>
        <v>1.0259144585357465E-2</v>
      </c>
      <c r="BG10" s="20">
        <f t="shared" si="47"/>
        <v>4.3144106866471717E-3</v>
      </c>
      <c r="BH10" s="5">
        <f>BG10*Settings!I$7*W10/$Y10</f>
        <v>3.0817219190336941E-3</v>
      </c>
      <c r="BI10" s="5">
        <f>BG10*Settings!I$7*$X10/$Y10</f>
        <v>3.0817219190336941E-3</v>
      </c>
      <c r="BJ10" s="5">
        <f>BG10*Settings!I$7*MAX(W10-voltijdfranchise/1000, 0)/$Y10</f>
        <v>2.1572053433235859E-3</v>
      </c>
      <c r="BM10" s="15" cm="1">
        <f t="array" ref="BM10">IFERROR( $K10*SUMPRODUCT($P10:$P85, $C$6:$C$81, 1-$T10:$T85)/MIN($P10,1), 0)</f>
        <v>1.4362802419500451E-2</v>
      </c>
      <c r="BN10" s="5">
        <f>BM10*Settings!I$3*$W10/$Y10</f>
        <v>1.0259144585357465E-2</v>
      </c>
      <c r="BQ10" s="15"/>
      <c r="BR10" s="15">
        <f t="shared" si="48"/>
        <v>6.5550018604750043E-2</v>
      </c>
      <c r="BS10" s="15">
        <f>BM10*(Settings!I$4*$W10/$Y10  - BR10)</f>
        <v>9.3176626195428606E-3</v>
      </c>
      <c r="BV10" s="20">
        <f t="shared" si="49"/>
        <v>4.3144106866471717E-3</v>
      </c>
      <c r="BW10" s="20">
        <f t="shared" si="50"/>
        <v>2.407789221270908</v>
      </c>
      <c r="BX10" s="20">
        <f t="shared" si="51"/>
        <v>0.41531874599561835</v>
      </c>
      <c r="BY10" s="5">
        <f>IFERROR(Settings!O$5*AVERAGE(Y$6:Y$48)/SUMPRODUCT(Y$6:Y$48, BX$6:BX$48), 0)</f>
        <v>3.4197010420295985E-2</v>
      </c>
      <c r="BZ10" s="14">
        <f>IFERROR(BY10*SUMPRODUCT(Y10:Y$48, BX10:BX$48)/AVERAGE(Y10:Y$48), 0)</f>
        <v>0.44115733228797921</v>
      </c>
      <c r="CA10" s="5">
        <f t="shared" si="52"/>
        <v>1.8420578030570339E-3</v>
      </c>
      <c r="CB10" s="5"/>
      <c r="CC10" s="5"/>
      <c r="CD10" s="20">
        <f t="shared" si="53"/>
        <v>1.8677213106147623E-2</v>
      </c>
      <c r="CE10" s="20">
        <f t="shared" si="54"/>
        <v>1.5497501669101597</v>
      </c>
      <c r="CF10" s="73">
        <f t="shared" si="55"/>
        <v>0.6452652958855728</v>
      </c>
      <c r="CG10" s="5" cm="1">
        <f t="array" ref="CG10">IFERROR(Settings!O$6*AVERAGE(Y$6:Y$48)/SUMPRODUCT(Y$6:Y$48,1/CE$6:CE$48), 0)</f>
        <v>2.3794373702957207E-2</v>
      </c>
      <c r="CI10" s="18">
        <f t="shared" si="9"/>
        <v>29</v>
      </c>
      <c r="CJ10" s="90">
        <f t="shared" si="17"/>
        <v>3.5359567212225745E-2</v>
      </c>
      <c r="CK10" s="104">
        <f t="shared" si="18"/>
        <v>8.2486468405200339E-3</v>
      </c>
      <c r="CL10" s="106">
        <f t="shared" si="19"/>
        <v>0</v>
      </c>
      <c r="CM10" s="89">
        <f t="shared" si="20"/>
        <v>3.9159687171057347E-2</v>
      </c>
      <c r="CN10" s="104">
        <f t="shared" si="21"/>
        <v>8.1103080029050808E-3</v>
      </c>
      <c r="CO10" s="106">
        <f t="shared" si="22"/>
        <v>0</v>
      </c>
      <c r="CP10" s="89">
        <f t="shared" si="23"/>
        <v>2.3794373702957207E-2</v>
      </c>
      <c r="CQ10" s="87">
        <f t="shared" si="24"/>
        <v>1.0259144585357465E-2</v>
      </c>
      <c r="CR10" s="95">
        <f t="shared" si="25"/>
        <v>3.0817219190336941E-3</v>
      </c>
      <c r="CS10" s="96">
        <f t="shared" si="26"/>
        <v>3.0817219190336941E-3</v>
      </c>
      <c r="CT10" s="97">
        <f t="shared" si="27"/>
        <v>2.1572053433235859E-3</v>
      </c>
      <c r="CU10" s="89">
        <f t="shared" si="28"/>
        <v>3.4197010420295985E-2</v>
      </c>
      <c r="CV10" s="87">
        <f t="shared" si="29"/>
        <v>1.0259144585357465E-2</v>
      </c>
      <c r="CW10" s="92">
        <f t="shared" si="30"/>
        <v>1.8420578030570339E-3</v>
      </c>
      <c r="CX10" s="89">
        <f t="shared" si="31"/>
        <v>3.9159687171057347E-2</v>
      </c>
      <c r="CY10" s="87">
        <f t="shared" si="32"/>
        <v>9.3176626195428606E-3</v>
      </c>
      <c r="CZ10" s="115">
        <f t="shared" si="33"/>
        <v>1.8420578030570339E-3</v>
      </c>
      <c r="DA10" s="11"/>
      <c r="DB10">
        <f t="shared" si="10"/>
        <v>29</v>
      </c>
      <c r="DC10" s="11">
        <f t="shared" si="56"/>
        <v>4.3608214052745779E-2</v>
      </c>
      <c r="DD10" s="11">
        <f t="shared" si="57"/>
        <v>4.726999517396243E-2</v>
      </c>
      <c r="DE10" s="11">
        <f t="shared" si="34"/>
        <v>3.7135240207348361E-2</v>
      </c>
      <c r="DF10" s="11">
        <f t="shared" si="35"/>
        <v>3.7135240207348361E-2</v>
      </c>
      <c r="DG10" s="11">
        <f t="shared" si="36"/>
        <v>3.6210723631638256E-2</v>
      </c>
      <c r="DH10" s="11">
        <f t="shared" si="37"/>
        <v>4.6298212808710479E-2</v>
      </c>
      <c r="DI10" s="11">
        <f t="shared" si="38"/>
        <v>5.0319407593657238E-2</v>
      </c>
      <c r="DV10">
        <f t="shared" si="39"/>
        <v>29</v>
      </c>
      <c r="DW10" s="11">
        <f>SUMPRODUCT($B10:$B$48, $Y10:$Y$48, CK10:CK$48)/$B10/$Y10</f>
        <v>0.26853739109659019</v>
      </c>
      <c r="DX10" s="11">
        <f>SUMPRODUCT($B10:$B$48, $Y10:$Y$48, CN10:CN$48)/$B10/$Y10</f>
        <v>0.25815561496517847</v>
      </c>
      <c r="DY10" s="11" cm="1">
        <f t="array" ref="DY10">SUMPRODUCT($B10:$B$48, $Y10:$Y$48, $CQ10:$CQ$48 + CR10:CR$48)/$B10/$Y10</f>
        <v>1.207777574265511</v>
      </c>
      <c r="DZ10" s="11" cm="1">
        <f t="array" ref="DZ10">SUMPRODUCT($B10:$B$48, $Y10:$Y$48, $CQ10:$CQ$48 + CS10:CS$48)/$B10/$Y10</f>
        <v>1.207777574265511</v>
      </c>
      <c r="EA10" s="11" cm="1">
        <f t="array" ref="EA10">SUMPRODUCT($B10:$B$48, $Y10:$Y$48, $CQ10:$CQ$48 + CT10:CT$48)/$B10/$Y10</f>
        <v>1.003136856925807</v>
      </c>
      <c r="EB10" s="11" cm="1">
        <f t="array" ref="EB10">SUMPRODUCT($B10:$B$48, $Y10:$Y$48, $CV10:$CV$48 + CW10:CW$48)/$B10/$Y10</f>
        <v>0.62153241045421848</v>
      </c>
      <c r="EC10" s="11" cm="1">
        <f t="array" ref="EC10">SUMPRODUCT($B10:$B$48, $Y10:$Y$48, $CY10:$CY$48 + CZ10:CZ$48)/$B10/$Y10</f>
        <v>0.40662831416378575</v>
      </c>
      <c r="EE10" s="73">
        <f>Settings!T18</f>
        <v>29</v>
      </c>
      <c r="EF10" s="14">
        <f>SUMPRODUCT($B10:$B$48, $Y10:$Y$48, CK10:CK$48)/$B10/$AD9</f>
        <v>0.34995138615640248</v>
      </c>
      <c r="EG10" s="14">
        <f>SUMPRODUCT($B10:$B$48, $Y10:$Y$48, CN10:CN$48)/$B10/$AD9</f>
        <v>0.33642210841553777</v>
      </c>
      <c r="EH10" s="14" cm="1">
        <f t="array" ref="EH10">SUMPRODUCT($B10:$B$48, $Y10:$Y$48, $CQ10:$CQ$48 + CR10:CR$48)/$B10/$AD9</f>
        <v>1.5739463117477193</v>
      </c>
      <c r="EI10" s="14" cm="1">
        <f t="array" ref="EI10">SUMPRODUCT($B10:$B$48, $Y10:$Y$48, $CQ10:$CQ$48 + CS10:CS$48)/$B10/$AD9</f>
        <v>1.5739463117477193</v>
      </c>
      <c r="EJ10" s="14" cm="1">
        <f t="array" ref="EJ10">SUMPRODUCT($B10:$B$48, $Y10:$Y$48, $CQ10:$CQ$48 + CT10:CT$48)/$B10/$AD9</f>
        <v>1.307263514225079</v>
      </c>
      <c r="EK10" s="14" cm="1">
        <f t="array" ref="EK10">SUMPRODUCT($B10:$B$48, $Y10:$Y$48, $CV10:$CV$48 + CW10:CW$48)/$B10/$AD9</f>
        <v>0.80996589596474144</v>
      </c>
      <c r="EL10" s="14" cm="1">
        <f t="array" ref="EL10">SUMPRODUCT($B10:$B$48, $Y10:$Y$48, $CY10:$CY$48 + CZ10:CZ$48)/$B10/$AD9</f>
        <v>0.52990811302279317</v>
      </c>
    </row>
    <row r="11" spans="1:142" x14ac:dyDescent="0.25">
      <c r="A11">
        <v>5</v>
      </c>
      <c r="B11">
        <f>B10/(1+Settings!O$14)</f>
        <v>0.92826032540563974</v>
      </c>
      <c r="C11" s="73">
        <f>C10/(1+Settings!$O$15)</f>
        <v>0.92826032540563974</v>
      </c>
      <c r="D11" s="73">
        <f>D10/(1+Settings!$O$16)</f>
        <v>0.92826032540563974</v>
      </c>
      <c r="E11" s="73">
        <f>E10/(1+Settings!$O$17)</f>
        <v>0.92826032540563974</v>
      </c>
      <c r="F11" s="73">
        <f>F10/(1+Settings!$O$18)</f>
        <v>0.92826032540563974</v>
      </c>
      <c r="H11">
        <f>Grondslag!A7</f>
        <v>30</v>
      </c>
      <c r="I11" s="15">
        <f>IF(Settings!C$7="Unisex", overlevtafel!I37, IF(Settings!C$7="Man", overlevtafel!D37, IF(Settings!C$7="Vrouw",overlevtafel!G37) ) )/I$4</f>
        <v>0.99727815695276834</v>
      </c>
      <c r="J11" s="11">
        <f t="shared" si="58"/>
        <v>6.2653745615515177E-4</v>
      </c>
      <c r="K11" s="11">
        <f>IFERROR(J11/SUM(J11:J$100), 1)</f>
        <v>6.278530122848996E-4</v>
      </c>
      <c r="M11" s="20">
        <v>20</v>
      </c>
      <c r="N11" s="73">
        <f>IF(Settings!D$7="Unisex", overlevtafel!Q27, IF(Settings!D$7="Man", overlevtafel!L27, IF(Settings!D$7="Vrouw",overlevtafel!O27) ) )</f>
        <v>97635.5</v>
      </c>
      <c r="O11" s="20">
        <f t="shared" si="59"/>
        <v>30</v>
      </c>
      <c r="P11" s="15">
        <f t="shared" si="40"/>
        <v>0.99727815695276834</v>
      </c>
      <c r="R11" s="73">
        <f>1*($H11&gt;=Settings!D$10)</f>
        <v>0</v>
      </c>
      <c r="S11" s="73">
        <f t="shared" si="41"/>
        <v>30</v>
      </c>
      <c r="T11" s="73">
        <f>1*($S11&gt;=Settings!D$10)</f>
        <v>0</v>
      </c>
      <c r="V11" s="18">
        <f t="shared" si="8"/>
        <v>30</v>
      </c>
      <c r="W11">
        <f>Grondslag!J7</f>
        <v>50</v>
      </c>
      <c r="X11" s="73">
        <f t="shared" si="12"/>
        <v>50</v>
      </c>
      <c r="Y11">
        <f>Grondslag!S7</f>
        <v>35</v>
      </c>
      <c r="AA11" s="54">
        <f>IFERROR(SUMPRODUCT($R11:$R85, $I11:$I85, $F$6:$F$80)/$I11, 0)</f>
        <v>8.847664014726826</v>
      </c>
      <c r="AB11" s="14" cm="1">
        <f t="array" ref="AB11">IFERROR(Settings!O$3/NP_OP*AVERAGE(Y$6:Y$48)/SUM(Y$6:Y$48/AA$6:AA$48), 0)</f>
        <v>0.18717547021577788</v>
      </c>
      <c r="AC11" s="54">
        <f t="shared" si="43"/>
        <v>4.6250883348042073</v>
      </c>
      <c r="AD11" s="54">
        <f t="shared" si="13"/>
        <v>40.921227624780002</v>
      </c>
      <c r="AE11" s="14">
        <f t="shared" si="14"/>
        <v>0.13214538099440593</v>
      </c>
      <c r="AF11" s="52" cm="1">
        <f t="array" ref="AF11">IFERROR(AB11*SUMPRODUCT(Y11:Y$48,1/AA11:AA$48)/AVERAGE(Y$6:Y$48), 0)</f>
        <v>0.60329568795941368</v>
      </c>
      <c r="AG11" s="14" cm="1">
        <f t="array" ref="AG11">IFERROR( AB11*SUM(1/AA11:AA$48), 0)</f>
        <v>0.6032956879594138</v>
      </c>
      <c r="AI11" s="20">
        <f t="shared" si="60"/>
        <v>2.3466867086921427E-2</v>
      </c>
      <c r="AJ11" s="20">
        <f t="shared" si="44"/>
        <v>3.0714486854297105</v>
      </c>
      <c r="AK11" s="20">
        <f t="shared" si="45"/>
        <v>0.32557926321340941</v>
      </c>
      <c r="AL11" s="5">
        <f>IFERROR( Settings!O$3*AVERAGE(Y$6:Y$48)/SUMPRODUCT(Y$6:Y$48, AK$6:AK$48), 0)</f>
        <v>3.9159687171057347E-2</v>
      </c>
      <c r="AM11" s="52">
        <f>IFERROR( AL11*SUMPRODUCT(Y11:Y$48, AK11:AK$48)/AVERAGE(Y$6:Y$48), 0)</f>
        <v>0.43444998139524998</v>
      </c>
      <c r="AN11" s="14">
        <f>IFERROR(AL11*SUM(AK11:AK$48),0)</f>
        <v>0.43444998139524998</v>
      </c>
      <c r="AO11" s="5">
        <f t="shared" si="46"/>
        <v>9.8959872208379384E-3</v>
      </c>
      <c r="AQ11" s="5">
        <f>NP_OP*NPuitkering_leeftijd!F12*AJ11/Y11</f>
        <v>3.5714519598019891E-2</v>
      </c>
      <c r="AR11" s="5">
        <f>NP_OP*SUM(NPuitkering_leeftijd!F12:F$49)/AVERAGE(Y11:Y$48)</f>
        <v>0.44186046511627869</v>
      </c>
      <c r="AS11" s="50">
        <f>IFERROR( AQ11*SUM(AK11:AK$48), 0)</f>
        <v>0.39622820037152717</v>
      </c>
      <c r="AT11" s="5">
        <f t="shared" si="15"/>
        <v>1.0096210258326651E-2</v>
      </c>
      <c r="AX11" s="20" cm="1">
        <f t="array" ref="AX11">IFERROR( $K11*SUMPRODUCT($P11:$P86, $C$6:$C$81, 1-$T11:$T86)/MIN($P10,1), 0)</f>
        <v>1.789840118312765E-2</v>
      </c>
      <c r="AY11" s="5">
        <f t="shared" si="16"/>
        <v>0</v>
      </c>
      <c r="BC11" s="20" cm="1">
        <f t="array" ref="BC11">IFERROR($K11*SUMPRODUCT($P11:$P86, $C$6:$C$81, 1-$T11:$T86)/MIN($P11,1), 0)</f>
        <v>1.7909645807978141E-2</v>
      </c>
      <c r="BD11" s="5">
        <f>BC11*Settings!$I$3*$W11/$Y11</f>
        <v>1.2792604148555814E-2</v>
      </c>
      <c r="BG11" s="20">
        <f t="shared" si="47"/>
        <v>5.5719642782821044E-3</v>
      </c>
      <c r="BH11" s="5">
        <f>BG11*Settings!I$7*W11/$Y11</f>
        <v>3.9799744844872175E-3</v>
      </c>
      <c r="BI11" s="5">
        <f>BG11*Settings!I$7*$X11/$Y11</f>
        <v>3.9799744844872175E-3</v>
      </c>
      <c r="BJ11" s="5">
        <f>BG11*Settings!I$7*MAX(W11-voltijdfranchise/1000, 0)/$Y11</f>
        <v>2.7859821391410522E-3</v>
      </c>
      <c r="BM11" s="15" cm="1">
        <f t="array" ref="BM11">IFERROR( $K11*SUMPRODUCT($P11:$P86, $C$6:$C$81, 1-$T11:$T86)/MIN($P11,1), 0)</f>
        <v>1.7909645807978141E-2</v>
      </c>
      <c r="BN11" s="5">
        <f>BM11*Settings!I$3*$W11/$Y11</f>
        <v>1.2792604148555814E-2</v>
      </c>
      <c r="BQ11" s="15"/>
      <c r="BR11" s="15">
        <f t="shared" si="48"/>
        <v>7.8299600701570493E-2</v>
      </c>
      <c r="BS11" s="15">
        <f>BM11*(Settings!I$4*$W11/$Y11  - BR11)</f>
        <v>1.1390286033084571E-2</v>
      </c>
      <c r="BV11" s="20">
        <f t="shared" si="49"/>
        <v>5.5719642782821044E-3</v>
      </c>
      <c r="BW11" s="20">
        <f t="shared" si="50"/>
        <v>2.4425976021005904</v>
      </c>
      <c r="BX11" s="20">
        <f t="shared" si="51"/>
        <v>0.40940022177210761</v>
      </c>
      <c r="BY11" s="5">
        <f>IFERROR(Settings!O$5*AVERAGE(Y$6:Y$48)/SUMPRODUCT(Y$6:Y$48, BX$6:BX$48), 0)</f>
        <v>3.4197010420295985E-2</v>
      </c>
      <c r="BZ11" s="14">
        <f>IFERROR(BY11*SUMPRODUCT(Y11:Y$48, BX11:BX$48)/AVERAGE(Y11:Y$48), 0)</f>
        <v>0.42695467280342281</v>
      </c>
      <c r="CA11" s="5">
        <f t="shared" si="52"/>
        <v>2.300967216361896E-3</v>
      </c>
      <c r="CB11" s="5"/>
      <c r="CC11" s="5"/>
      <c r="CD11" s="20">
        <f t="shared" si="53"/>
        <v>2.3481610086260242E-2</v>
      </c>
      <c r="CE11" s="20">
        <f t="shared" si="54"/>
        <v>1.5749813565720721</v>
      </c>
      <c r="CF11" s="73">
        <f t="shared" si="55"/>
        <v>0.63492815062680352</v>
      </c>
      <c r="CG11" s="5" cm="1">
        <f t="array" ref="CG11">IFERROR(Settings!O$6*AVERAGE(Y$6:Y$48)/SUMPRODUCT(Y$6:Y$48,1/CE$6:CE$48), 0)</f>
        <v>2.3794373702957207E-2</v>
      </c>
      <c r="CI11" s="18">
        <f t="shared" si="9"/>
        <v>30</v>
      </c>
      <c r="CJ11" s="90">
        <f t="shared" si="17"/>
        <v>3.5714519598019891E-2</v>
      </c>
      <c r="CK11" s="104">
        <f t="shared" si="18"/>
        <v>1.0096210258326651E-2</v>
      </c>
      <c r="CL11" s="106">
        <f t="shared" si="19"/>
        <v>0</v>
      </c>
      <c r="CM11" s="89">
        <f t="shared" si="20"/>
        <v>3.9159687171057347E-2</v>
      </c>
      <c r="CN11" s="104">
        <f t="shared" si="21"/>
        <v>9.8959872208379384E-3</v>
      </c>
      <c r="CO11" s="106">
        <f t="shared" si="22"/>
        <v>0</v>
      </c>
      <c r="CP11" s="89">
        <f t="shared" si="23"/>
        <v>2.3794373702957207E-2</v>
      </c>
      <c r="CQ11" s="87">
        <f t="shared" si="24"/>
        <v>1.2792604148555814E-2</v>
      </c>
      <c r="CR11" s="95">
        <f t="shared" si="25"/>
        <v>3.9799744844872175E-3</v>
      </c>
      <c r="CS11" s="96">
        <f t="shared" si="26"/>
        <v>3.9799744844872175E-3</v>
      </c>
      <c r="CT11" s="97">
        <f t="shared" si="27"/>
        <v>2.7859821391410522E-3</v>
      </c>
      <c r="CU11" s="89">
        <f t="shared" si="28"/>
        <v>3.4197010420295985E-2</v>
      </c>
      <c r="CV11" s="87">
        <f t="shared" si="29"/>
        <v>1.2792604148555814E-2</v>
      </c>
      <c r="CW11" s="92">
        <f t="shared" si="30"/>
        <v>2.300967216361896E-3</v>
      </c>
      <c r="CX11" s="89">
        <f t="shared" si="31"/>
        <v>3.9159687171057347E-2</v>
      </c>
      <c r="CY11" s="87">
        <f t="shared" si="32"/>
        <v>1.1390286033084571E-2</v>
      </c>
      <c r="CZ11" s="115">
        <f t="shared" si="33"/>
        <v>2.300967216361896E-3</v>
      </c>
      <c r="DA11" s="11"/>
      <c r="DB11">
        <f t="shared" si="10"/>
        <v>30</v>
      </c>
      <c r="DC11" s="11">
        <f t="shared" si="56"/>
        <v>4.5810729856346544E-2</v>
      </c>
      <c r="DD11" s="11">
        <f t="shared" si="57"/>
        <v>4.9055674391895288E-2</v>
      </c>
      <c r="DE11" s="11">
        <f t="shared" si="34"/>
        <v>4.0566952336000238E-2</v>
      </c>
      <c r="DF11" s="11">
        <f t="shared" si="35"/>
        <v>4.0566952336000238E-2</v>
      </c>
      <c r="DG11" s="11">
        <f t="shared" si="36"/>
        <v>3.9372959990654072E-2</v>
      </c>
      <c r="DH11" s="11">
        <f t="shared" si="37"/>
        <v>4.9290581785213693E-2</v>
      </c>
      <c r="DI11" s="11">
        <f t="shared" si="38"/>
        <v>5.2850940420503811E-2</v>
      </c>
      <c r="DL11" s="3" t="str">
        <f>H5</f>
        <v>leeftijd</v>
      </c>
      <c r="DM11" s="3" t="str">
        <f t="shared" ref="DM11:DS11" si="61">DM1</f>
        <v>Uitkeringsregeling (DSS)</v>
      </c>
      <c r="DN11" s="3" t="str">
        <f t="shared" si="61"/>
        <v>Uitkeringsregeling (degr)</v>
      </c>
      <c r="DO11" s="3" t="str">
        <f t="shared" si="61"/>
        <v>MvT</v>
      </c>
      <c r="DP11" s="3" t="str">
        <f t="shared" si="61"/>
        <v>MvT_x</v>
      </c>
      <c r="DQ11" s="3" t="str">
        <f t="shared" si="61"/>
        <v>MvT met overbrugging</v>
      </c>
      <c r="DR11" s="3" t="str">
        <f t="shared" si="61"/>
        <v>Uitkeringsknip</v>
      </c>
      <c r="DS11" s="3" t="str">
        <f t="shared" si="61"/>
        <v>Saldomethode</v>
      </c>
      <c r="DV11">
        <f t="shared" si="39"/>
        <v>30</v>
      </c>
      <c r="DW11" s="11">
        <f>SUMPRODUCT($B11:$B$48, $Y11:$Y$48, CK11:CK$48)/$B11/$Y11</f>
        <v>0.26419307541991111</v>
      </c>
      <c r="DX11" s="11">
        <f>SUMPRODUCT($B11:$B$48, $Y11:$Y$48, CN11:CN$48)/$B11/$Y11</f>
        <v>0.25379598656670754</v>
      </c>
      <c r="DY11" s="11" cm="1">
        <f t="array" ref="DY11">SUMPRODUCT($B11:$B$48, $Y11:$Y$48, $CQ11:$CQ$48 + CR11:CR$48)/$B11/$Y11</f>
        <v>1.2123532583775365</v>
      </c>
      <c r="DZ11" s="11" cm="1">
        <f t="array" ref="DZ11">SUMPRODUCT($B11:$B$48, $Y11:$Y$48, $CQ11:$CQ$48 + CS11:CS$48)/$B11/$Y11</f>
        <v>1.2123532583775365</v>
      </c>
      <c r="EA11" s="11" cm="1">
        <f t="array" ref="EA11">SUMPRODUCT($B11:$B$48, $Y11:$Y$48, $CQ11:$CQ$48 + CT11:CT$48)/$B11/$Y11</f>
        <v>1.0055813146020827</v>
      </c>
      <c r="EB11" s="11" cm="1">
        <f t="array" ref="EB11">SUMPRODUCT($B11:$B$48, $Y11:$Y$48, $CV11:$CV$48 + CW11:CW$48)/$B11/$Y11</f>
        <v>0.61857267618679102</v>
      </c>
      <c r="EC11" s="11" cm="1">
        <f t="array" ref="EC11">SUMPRODUCT($B11:$B$48, $Y11:$Y$48, $CY11:$CY$48 + CZ11:CZ$48)/$B11/$Y11</f>
        <v>0.40140062264730358</v>
      </c>
      <c r="EE11" s="73">
        <f>Settings!T19</f>
        <v>30</v>
      </c>
      <c r="EF11" s="14">
        <f>SUMPRODUCT($B11:$B$48, $Y11:$Y$48, CK11:CK$48)/$B11/$AD10</f>
        <v>0.27329485327794006</v>
      </c>
      <c r="EG11" s="14">
        <f>SUMPRODUCT($B11:$B$48, $Y11:$Y$48, CN11:CN$48)/$B11/$AD10</f>
        <v>0.26253957186816917</v>
      </c>
      <c r="EH11" s="14" cm="1">
        <f t="array" ref="EH11">SUMPRODUCT($B11:$B$48, $Y11:$Y$48, $CQ11:$CQ$48 + CR11:CR$48)/$B11/$AD10</f>
        <v>1.254120325987736</v>
      </c>
      <c r="EI11" s="14" cm="1">
        <f t="array" ref="EI11">SUMPRODUCT($B11:$B$48, $Y11:$Y$48, $CQ11:$CQ$48 + CS11:CS$48)/$B11/$AD10</f>
        <v>1.254120325987736</v>
      </c>
      <c r="EJ11" s="14" cm="1">
        <f t="array" ref="EJ11">SUMPRODUCT($B11:$B$48, $Y11:$Y$48, $CQ11:$CQ$48 + CT11:CT$48)/$B11/$AD10</f>
        <v>1.0402248332830539</v>
      </c>
      <c r="EK11" s="14" cm="1">
        <f t="array" ref="EK11">SUMPRODUCT($B11:$B$48, $Y11:$Y$48, $CV11:$CV$48 + CW11:CW$48)/$B11/$AD10</f>
        <v>0.63988326912625437</v>
      </c>
      <c r="EL11" s="14" cm="1">
        <f t="array" ref="EL11">SUMPRODUCT($B11:$B$48, $Y11:$Y$48, $CY11:$CY$48 + CZ11:CZ$48)/$B11/$AD10</f>
        <v>0.41522937002686089</v>
      </c>
    </row>
    <row r="12" spans="1:142" x14ac:dyDescent="0.25">
      <c r="A12">
        <v>6</v>
      </c>
      <c r="B12">
        <f>B11/(1+Settings!O$14)</f>
        <v>0.91454219251787172</v>
      </c>
      <c r="C12" s="73">
        <f>C11/(1+Settings!$O$15)</f>
        <v>0.91454219251787172</v>
      </c>
      <c r="D12" s="73">
        <f>D11/(1+Settings!$O$16)</f>
        <v>0.91454219251787172</v>
      </c>
      <c r="E12" s="73">
        <f>E11/(1+Settings!$O$17)</f>
        <v>0.91454219251787172</v>
      </c>
      <c r="F12" s="73">
        <f>F11/(1+Settings!$O$18)</f>
        <v>0.91454219251787172</v>
      </c>
      <c r="H12">
        <f>Grondslag!A8</f>
        <v>31</v>
      </c>
      <c r="I12" s="15">
        <f>IF(Settings!C$7="Unisex", overlevtafel!I38, IF(Settings!C$7="Man", overlevtafel!D38, IF(Settings!C$7="Vrouw",overlevtafel!G38) ) )/I$4</f>
        <v>0.99670811057872544</v>
      </c>
      <c r="J12" s="11">
        <f t="shared" si="58"/>
        <v>5.7004637404289848E-4</v>
      </c>
      <c r="K12" s="11">
        <f>IFERROR(J12/SUM(J12:J$100), 1)</f>
        <v>5.7160219661700452E-4</v>
      </c>
      <c r="M12" s="20">
        <v>21</v>
      </c>
      <c r="N12" s="73">
        <f>IF(Settings!D$7="Unisex", overlevtafel!Q28, IF(Settings!D$7="Man", overlevtafel!L28, IF(Settings!D$7="Vrouw",overlevtafel!O28) ) )</f>
        <v>97585.5</v>
      </c>
      <c r="O12" s="20">
        <f t="shared" si="59"/>
        <v>31</v>
      </c>
      <c r="P12" s="15">
        <f t="shared" si="40"/>
        <v>0.99670811057872544</v>
      </c>
      <c r="R12" s="73">
        <f>1*($H12&gt;=Settings!D$10)</f>
        <v>0</v>
      </c>
      <c r="S12" s="73">
        <f t="shared" si="41"/>
        <v>31</v>
      </c>
      <c r="T12" s="73">
        <f>1*($S12&gt;=Settings!D$10)</f>
        <v>0</v>
      </c>
      <c r="V12" s="18">
        <f t="shared" si="8"/>
        <v>31</v>
      </c>
      <c r="W12">
        <f>Grondslag!J8</f>
        <v>50</v>
      </c>
      <c r="X12" s="73">
        <f t="shared" si="12"/>
        <v>50</v>
      </c>
      <c r="Y12">
        <f>Grondslag!S8</f>
        <v>35</v>
      </c>
      <c r="AA12" s="54">
        <f t="shared" si="42"/>
        <v>8.9864406761218181</v>
      </c>
      <c r="AB12" s="14" cm="1">
        <f t="array" ref="AB12">IFERROR(Settings!O$3/NP_OP*AVERAGE(Y$6:Y$48)/SUM(Y$6:Y$48/AA$6:AA$48), 0)</f>
        <v>0.18717547021577788</v>
      </c>
      <c r="AC12" s="54">
        <f t="shared" si="43"/>
        <v>5.3540912508262863</v>
      </c>
      <c r="AD12" s="54">
        <f t="shared" si="13"/>
        <v>48.11422340009328</v>
      </c>
      <c r="AE12" s="14">
        <f t="shared" si="14"/>
        <v>0.15297403573789389</v>
      </c>
      <c r="AF12" s="52" cm="1">
        <f t="array" ref="AF12">IFERROR(AB12*SUMPRODUCT(Y12:Y$48,1/AA12:AA$48)/AVERAGE(Y$6:Y$48), 0)</f>
        <v>0.58214033329130832</v>
      </c>
      <c r="AG12" s="14" cm="1">
        <f t="array" ref="AG12">IFERROR( AB12*SUM(1/AA12:AA$48), 0)</f>
        <v>0.58214033329130854</v>
      </c>
      <c r="AI12" s="20">
        <f t="shared" si="60"/>
        <v>2.1118601318094506E-2</v>
      </c>
      <c r="AJ12" s="20">
        <f t="shared" si="44"/>
        <v>3.0972425854745049</v>
      </c>
      <c r="AK12" s="20">
        <f t="shared" si="45"/>
        <v>0.32286783240351113</v>
      </c>
      <c r="AL12" s="5">
        <f>IFERROR( Settings!O$3*AVERAGE(Y$6:Y$48)/SUMPRODUCT(Y$6:Y$48, AK$6:AK$48), 0)</f>
        <v>3.9159687171057347E-2</v>
      </c>
      <c r="AM12" s="52">
        <f>IFERROR( AL12*SUMPRODUCT(Y12:Y$48, AK12:AK$48)/AVERAGE(Y$6:Y$48), 0)</f>
        <v>0.42170039929842956</v>
      </c>
      <c r="AN12" s="14">
        <f>IFERROR(AL12*SUM(AK12:AK$48),0)</f>
        <v>0.42170039929842951</v>
      </c>
      <c r="AO12" s="5">
        <f t="shared" si="46"/>
        <v>8.6387116145615929E-3</v>
      </c>
      <c r="AQ12" s="5">
        <f>NP_OP*NPuitkering_leeftijd!F13*AJ12/Y12</f>
        <v>3.6014448668308198E-2</v>
      </c>
      <c r="AR12" s="5">
        <f>NP_OP*SUM(NPuitkering_leeftijd!F13:F$49)/AVERAGE(Y12:Y$48)</f>
        <v>0.43023255813953448</v>
      </c>
      <c r="AS12" s="50">
        <f>IFERROR( AQ12*SUM(AK12:AK$48), 0)</f>
        <v>0.38783015087932554</v>
      </c>
      <c r="AT12" s="5">
        <f t="shared" si="15"/>
        <v>8.8403447378069943E-3</v>
      </c>
      <c r="AX12" s="20" cm="1">
        <f t="array" ref="AX12">IFERROR( $K12*SUMPRODUCT($P12:$P87, $C$6:$C$81, 1-$T12:$T87)/MIN($P11,1), 0)</f>
        <v>1.5969478824131141E-2</v>
      </c>
      <c r="AY12" s="5">
        <f t="shared" si="16"/>
        <v>0</v>
      </c>
      <c r="BC12" s="20" cm="1">
        <f t="array" ref="BC12">IFERROR($K12*SUMPRODUCT($P12:$P87, $C$6:$C$81, 1-$T12:$T87)/MIN($P12,1), 0)</f>
        <v>1.5978612233804874E-2</v>
      </c>
      <c r="BD12" s="5">
        <f>BC12*Settings!$I$3*$W12/$Y12</f>
        <v>1.1413294452717767E-2</v>
      </c>
      <c r="BG12" s="20">
        <f t="shared" si="47"/>
        <v>5.1520674269643473E-3</v>
      </c>
      <c r="BH12" s="5">
        <f>BG12*Settings!I$7*W12/$Y12</f>
        <v>3.6800481621173911E-3</v>
      </c>
      <c r="BI12" s="5">
        <f>BG12*Settings!I$7*$X12/$Y12</f>
        <v>3.6800481621173911E-3</v>
      </c>
      <c r="BJ12" s="5">
        <f>BG12*Settings!I$7*MAX(W12-voltijdfranchise/1000, 0)/$Y12</f>
        <v>2.5760337134821737E-3</v>
      </c>
      <c r="BM12" s="15" cm="1">
        <f t="array" ref="BM12">IFERROR( $K12*SUMPRODUCT($P12:$P87, $C$6:$C$81, 1-$T12:$T87)/MIN($P12,1), 0)</f>
        <v>1.5978612233804874E-2</v>
      </c>
      <c r="BN12" s="5">
        <f>BM12*Settings!I$3*$W12/$Y12</f>
        <v>1.1413294452717767E-2</v>
      </c>
      <c r="BQ12" s="15"/>
      <c r="BR12" s="15">
        <f t="shared" si="48"/>
        <v>9.094300401608936E-2</v>
      </c>
      <c r="BS12" s="15">
        <f>BM12*(Settings!I$4*$W12/$Y12  - BR12)</f>
        <v>9.9601514561673161E-3</v>
      </c>
      <c r="BV12" s="20">
        <f t="shared" si="49"/>
        <v>5.1520674269643473E-3</v>
      </c>
      <c r="BW12" s="20">
        <f t="shared" si="50"/>
        <v>2.476412529454413</v>
      </c>
      <c r="BX12" s="20">
        <f t="shared" si="51"/>
        <v>0.40380994204560638</v>
      </c>
      <c r="BY12" s="5">
        <f>IFERROR(Settings!O$5*AVERAGE(Y$6:Y$48)/SUMPRODUCT(Y$6:Y$48, BX$6:BX$48), 0)</f>
        <v>3.4197010420295985E-2</v>
      </c>
      <c r="BZ12" s="14">
        <f>IFERROR(BY12*SUMPRODUCT(Y12:Y$48, BX12:BX$48)/AVERAGE(Y12:Y$48), 0)</f>
        <v>0.41295440915341053</v>
      </c>
      <c r="CA12" s="5">
        <f t="shared" si="52"/>
        <v>2.0564235830306385E-3</v>
      </c>
      <c r="CB12" s="5"/>
      <c r="CC12" s="5"/>
      <c r="CD12" s="20">
        <f t="shared" si="53"/>
        <v>2.1130679660769223E-2</v>
      </c>
      <c r="CE12" s="20">
        <f t="shared" si="54"/>
        <v>1.6004375262276154</v>
      </c>
      <c r="CF12" s="73">
        <f t="shared" si="55"/>
        <v>0.62482913804020568</v>
      </c>
      <c r="CG12" s="5" cm="1">
        <f t="array" ref="CG12">IFERROR(Settings!O$6*AVERAGE(Y$6:Y$48)/SUMPRODUCT(Y$6:Y$48,1/CE$6:CE$48), 0)</f>
        <v>2.3794373702957207E-2</v>
      </c>
      <c r="CI12" s="18">
        <f t="shared" si="9"/>
        <v>31</v>
      </c>
      <c r="CJ12" s="90">
        <f t="shared" si="17"/>
        <v>3.6014448668308198E-2</v>
      </c>
      <c r="CK12" s="104">
        <f t="shared" si="18"/>
        <v>8.8403447378069943E-3</v>
      </c>
      <c r="CL12" s="106">
        <f t="shared" si="19"/>
        <v>0</v>
      </c>
      <c r="CM12" s="89">
        <f t="shared" si="20"/>
        <v>3.9159687171057347E-2</v>
      </c>
      <c r="CN12" s="104">
        <f t="shared" si="21"/>
        <v>8.6387116145615929E-3</v>
      </c>
      <c r="CO12" s="106">
        <f t="shared" si="22"/>
        <v>0</v>
      </c>
      <c r="CP12" s="89">
        <f t="shared" si="23"/>
        <v>2.3794373702957207E-2</v>
      </c>
      <c r="CQ12" s="87">
        <f t="shared" si="24"/>
        <v>1.1413294452717767E-2</v>
      </c>
      <c r="CR12" s="95">
        <f t="shared" si="25"/>
        <v>3.6800481621173911E-3</v>
      </c>
      <c r="CS12" s="96">
        <f t="shared" si="26"/>
        <v>3.6800481621173911E-3</v>
      </c>
      <c r="CT12" s="97">
        <f t="shared" si="27"/>
        <v>2.5760337134821737E-3</v>
      </c>
      <c r="CU12" s="89">
        <f t="shared" si="28"/>
        <v>3.4197010420295985E-2</v>
      </c>
      <c r="CV12" s="87">
        <f t="shared" si="29"/>
        <v>1.1413294452717767E-2</v>
      </c>
      <c r="CW12" s="92">
        <f t="shared" si="30"/>
        <v>2.0564235830306385E-3</v>
      </c>
      <c r="CX12" s="89">
        <f t="shared" si="31"/>
        <v>3.9159687171057347E-2</v>
      </c>
      <c r="CY12" s="87">
        <f t="shared" si="32"/>
        <v>9.9601514561673161E-3</v>
      </c>
      <c r="CZ12" s="115">
        <f t="shared" si="33"/>
        <v>2.0564235830306385E-3</v>
      </c>
      <c r="DA12" s="11"/>
      <c r="DB12">
        <f t="shared" si="10"/>
        <v>31</v>
      </c>
      <c r="DC12" s="11">
        <f t="shared" si="56"/>
        <v>4.4854793406115194E-2</v>
      </c>
      <c r="DD12" s="11">
        <f t="shared" si="57"/>
        <v>4.7798398785618937E-2</v>
      </c>
      <c r="DE12" s="11">
        <f t="shared" si="34"/>
        <v>3.8887716317792365E-2</v>
      </c>
      <c r="DF12" s="11">
        <f t="shared" si="35"/>
        <v>3.8887716317792365E-2</v>
      </c>
      <c r="DG12" s="11">
        <f t="shared" si="36"/>
        <v>3.7783701869157145E-2</v>
      </c>
      <c r="DH12" s="11">
        <f t="shared" si="37"/>
        <v>4.7666728456044388E-2</v>
      </c>
      <c r="DI12" s="11">
        <f t="shared" si="38"/>
        <v>5.1176262210255299E-2</v>
      </c>
      <c r="DL12">
        <f>H8</f>
        <v>27</v>
      </c>
      <c r="DM12" s="15">
        <f t="shared" ref="DM12:DS16" si="62">VLOOKUP($DL12, $DB$6:$DI$48, MATCH(DM$11, $DB$5:$DI$5,0) )</f>
        <v>4.4424054906192403E-2</v>
      </c>
      <c r="DN12" s="15">
        <f t="shared" si="62"/>
        <v>4.8754658850783963E-2</v>
      </c>
      <c r="DO12" s="15">
        <f t="shared" si="62"/>
        <v>3.8691023373430042E-2</v>
      </c>
      <c r="DP12" s="15">
        <f t="shared" si="62"/>
        <v>3.8691023373430042E-2</v>
      </c>
      <c r="DQ12" s="15">
        <f t="shared" si="62"/>
        <v>3.7712101868529538E-2</v>
      </c>
      <c r="DR12" s="15">
        <f t="shared" si="62"/>
        <v>4.7911719680857549E-2</v>
      </c>
      <c r="DS12" s="15">
        <f t="shared" si="62"/>
        <v>5.2228155260000408E-2</v>
      </c>
      <c r="DV12">
        <f t="shared" si="39"/>
        <v>31</v>
      </c>
      <c r="DW12" s="11">
        <f>SUMPRODUCT($B12:$B$48, $Y12:$Y$48, CK12:CK$48)/$B12/$Y12</f>
        <v>0.25790831813900816</v>
      </c>
      <c r="DX12" s="11">
        <f>SUMPRODUCT($B12:$B$48, $Y12:$Y$48, CN12:CN$48)/$B12/$Y12</f>
        <v>0.24755849933605759</v>
      </c>
      <c r="DY12" s="11" cm="1">
        <f t="array" ref="DY12">SUMPRODUCT($B12:$B$48, $Y12:$Y$48, $CQ12:$CQ$48 + CR12:CR$48)/$B12/$Y12</f>
        <v>1.2135143899406609</v>
      </c>
      <c r="DZ12" s="11" cm="1">
        <f t="array" ref="DZ12">SUMPRODUCT($B12:$B$48, $Y12:$Y$48, $CQ12:$CQ$48 + CS12:CS$48)/$B12/$Y12</f>
        <v>1.2135143899406609</v>
      </c>
      <c r="EA12" s="11" cm="1">
        <f t="array" ref="EA12">SUMPRODUCT($B12:$B$48, $Y12:$Y$48, $CQ12:$CQ$48 + CT12:CT$48)/$B12/$Y12</f>
        <v>1.0048527692391016</v>
      </c>
      <c r="EB12" s="11" cm="1">
        <f t="array" ref="EB12">SUMPRODUCT($B12:$B$48, $Y12:$Y$48, $CV12:$CV$48 + CW12:CW$48)/$B12/$Y12</f>
        <v>0.61253129139420137</v>
      </c>
      <c r="EC12" s="11" cm="1">
        <f t="array" ref="EC12">SUMPRODUCT($B12:$B$48, $Y12:$Y$48, $CY12:$CY$48 + CZ12:CZ$48)/$B12/$Y12</f>
        <v>0.39352500993882505</v>
      </c>
      <c r="EE12" s="73">
        <f>Settings!T20</f>
        <v>31</v>
      </c>
      <c r="EF12" s="14">
        <f>SUMPRODUCT($B12:$B$48, $Y12:$Y$48, CK12:CK$48)/$B12/$AD11</f>
        <v>0.22058945097236229</v>
      </c>
      <c r="EG12" s="14">
        <f>SUMPRODUCT($B12:$B$48, $Y12:$Y$48, CN12:CN$48)/$B12/$AD11</f>
        <v>0.21173723223091104</v>
      </c>
      <c r="EH12" s="14" cm="1">
        <f t="array" ref="EH12">SUMPRODUCT($B12:$B$48, $Y12:$Y$48, $CQ12:$CQ$48 + CR12:CR$48)/$B12/$AD11</f>
        <v>1.0379210525493483</v>
      </c>
      <c r="EI12" s="14" cm="1">
        <f t="array" ref="EI12">SUMPRODUCT($B12:$B$48, $Y12:$Y$48, $CQ12:$CQ$48 + CS12:CS$48)/$B12/$AD11</f>
        <v>1.0379210525493483</v>
      </c>
      <c r="EJ12" s="14" cm="1">
        <f t="array" ref="EJ12">SUMPRODUCT($B12:$B$48, $Y12:$Y$48, $CQ12:$CQ$48 + CT12:CT$48)/$B12/$AD11</f>
        <v>0.85945239096569337</v>
      </c>
      <c r="EK12" s="14" cm="1">
        <f t="array" ref="EK12">SUMPRODUCT($B12:$B$48, $Y12:$Y$48, $CV12:$CV$48 + CW12:CW$48)/$B12/$AD11</f>
        <v>0.52389912138937955</v>
      </c>
      <c r="EL12" s="14" cm="1">
        <f t="array" ref="EL12">SUMPRODUCT($B12:$B$48, $Y12:$Y$48, $CY12:$CY$48 + CZ12:CZ$48)/$B12/$AD11</f>
        <v>0.33658265275302635</v>
      </c>
    </row>
    <row r="13" spans="1:142" x14ac:dyDescent="0.25">
      <c r="A13">
        <v>7</v>
      </c>
      <c r="B13">
        <f>B12/(1+Settings!O$14)</f>
        <v>0.90102679065800173</v>
      </c>
      <c r="C13" s="73">
        <f>C12/(1+Settings!$O$15)</f>
        <v>0.90102679065800173</v>
      </c>
      <c r="D13" s="73">
        <f>D12/(1+Settings!$O$16)</f>
        <v>0.90102679065800173</v>
      </c>
      <c r="E13" s="73">
        <f>E12/(1+Settings!$O$17)</f>
        <v>0.90102679065800173</v>
      </c>
      <c r="F13" s="73">
        <f>F12/(1+Settings!$O$18)</f>
        <v>0.90102679065800173</v>
      </c>
      <c r="H13">
        <f>Grondslag!A9</f>
        <v>32</v>
      </c>
      <c r="I13" s="15">
        <f>IF(Settings!C$7="Unisex", overlevtafel!I39, IF(Settings!C$7="Man", overlevtafel!D39, IF(Settings!C$7="Vrouw",overlevtafel!G39) ) )/I$4</f>
        <v>0.99611752199300541</v>
      </c>
      <c r="J13" s="11">
        <f t="shared" si="58"/>
        <v>5.9058858572003103E-4</v>
      </c>
      <c r="K13" s="11">
        <f>IFERROR(J13/SUM(J13:J$100), 1)</f>
        <v>5.9253917066401612E-4</v>
      </c>
      <c r="M13" s="20">
        <v>22</v>
      </c>
      <c r="N13" s="73">
        <f>IF(Settings!D$7="Unisex", overlevtafel!Q29, IF(Settings!D$7="Man", overlevtafel!L29, IF(Settings!D$7="Vrouw",overlevtafel!O29) ) )</f>
        <v>97533.5</v>
      </c>
      <c r="O13" s="20">
        <f t="shared" si="59"/>
        <v>32</v>
      </c>
      <c r="P13" s="15">
        <f t="shared" si="40"/>
        <v>0.99611752199300541</v>
      </c>
      <c r="R13" s="73">
        <f>1*($H13&gt;=Settings!D$10)</f>
        <v>0</v>
      </c>
      <c r="S13" s="73">
        <f t="shared" si="41"/>
        <v>32</v>
      </c>
      <c r="T13" s="73">
        <f>1*($S13&gt;=Settings!D$10)</f>
        <v>0</v>
      </c>
      <c r="V13" s="18">
        <f t="shared" si="8"/>
        <v>32</v>
      </c>
      <c r="W13">
        <f>Grondslag!J9</f>
        <v>50</v>
      </c>
      <c r="X13" s="73">
        <f t="shared" si="12"/>
        <v>50</v>
      </c>
      <c r="Y13">
        <f>Grondslag!S9</f>
        <v>35</v>
      </c>
      <c r="AA13" s="54">
        <f t="shared" si="42"/>
        <v>9.1271254503385215</v>
      </c>
      <c r="AB13" s="14" cm="1">
        <f t="array" ref="AB13">IFERROR(Settings!O$3/NP_OP*AVERAGE(Y$6:Y$48)/SUM(Y$6:Y$48/AA$6:AA$48), 0)</f>
        <v>0.18717547021577788</v>
      </c>
      <c r="AC13" s="54">
        <f t="shared" si="43"/>
        <v>6.0718573748044822</v>
      </c>
      <c r="AD13" s="54">
        <f t="shared" si="13"/>
        <v>55.418603976403631</v>
      </c>
      <c r="AE13" s="14">
        <f t="shared" si="14"/>
        <v>0.17348163928012805</v>
      </c>
      <c r="AF13" s="52" cm="1">
        <f t="array" ref="AF13">IFERROR(AB13*SUMPRODUCT(Y13:Y$48,1/AA13:AA$48)/AVERAGE(Y$6:Y$48), 0)</f>
        <v>0.56131167854782038</v>
      </c>
      <c r="AG13" s="14" cm="1">
        <f t="array" ref="AG13">IFERROR( AB13*SUM(1/AA13:AA$48), 0)</f>
        <v>0.56131167854782049</v>
      </c>
      <c r="AI13" s="20">
        <f t="shared" si="60"/>
        <v>2.1631949427044203E-2</v>
      </c>
      <c r="AJ13" s="20">
        <f t="shared" si="44"/>
        <v>3.1259695972758834</v>
      </c>
      <c r="AK13" s="20">
        <f t="shared" si="45"/>
        <v>0.31990074403520974</v>
      </c>
      <c r="AL13" s="5">
        <f>IFERROR( Settings!O$3*AVERAGE(Y$6:Y$48)/SUMPRODUCT(Y$6:Y$48, AK$6:AK$48), 0)</f>
        <v>3.9159687171057347E-2</v>
      </c>
      <c r="AM13" s="52">
        <f>IFERROR( AL13*SUMPRODUCT(Y13:Y$48, AK13:AK$48)/AVERAGE(Y$6:Y$48), 0)</f>
        <v>0.40905699598391071</v>
      </c>
      <c r="AN13" s="14">
        <f>IFERROR(AL13*SUM(AK13:AK$48),0)</f>
        <v>0.4090569959839106</v>
      </c>
      <c r="AO13" s="5">
        <f t="shared" si="46"/>
        <v>8.5777122104791024E-3</v>
      </c>
      <c r="AQ13" s="5">
        <f>NP_OP*NPuitkering_leeftijd!F14*AJ13/Y13</f>
        <v>3.634848368925446E-2</v>
      </c>
      <c r="AR13" s="5">
        <f>NP_OP*SUM(NPuitkering_leeftijd!F14:F$49)/AVERAGE(Y13:Y$48)</f>
        <v>0.41860465116279033</v>
      </c>
      <c r="AS13" s="50">
        <f>IFERROR( AQ13*SUM(AK13:AK$48), 0)</f>
        <v>0.37969153026038172</v>
      </c>
      <c r="AT13" s="5">
        <f t="shared" si="15"/>
        <v>8.8037003482156571E-3</v>
      </c>
      <c r="AX13" s="20" cm="1">
        <f t="array" ref="AX13">IFERROR( $K13*SUMPRODUCT($P13:$P88, $C$6:$C$81, 1-$T13:$T88)/MIN($P12,1), 0)</f>
        <v>1.6210917065988619E-2</v>
      </c>
      <c r="AY13" s="5">
        <f t="shared" si="16"/>
        <v>0</v>
      </c>
      <c r="BC13" s="20" cm="1">
        <f t="array" ref="BC13">IFERROR($K13*SUMPRODUCT($P13:$P88, $C$6:$C$81, 1-$T13:$T88)/MIN($P13,1), 0)</f>
        <v>1.622052836422587E-2</v>
      </c>
      <c r="BD13" s="5">
        <f>BC13*Settings!$I$3*$W13/$Y13</f>
        <v>1.1586091688732765E-2</v>
      </c>
      <c r="BG13" s="20">
        <f t="shared" si="47"/>
        <v>5.4242464394796391E-3</v>
      </c>
      <c r="BH13" s="5">
        <f>BG13*Settings!I$7*W13/$Y13</f>
        <v>3.874461742485456E-3</v>
      </c>
      <c r="BI13" s="5">
        <f>BG13*Settings!I$7*$X13/$Y13</f>
        <v>3.874461742485456E-3</v>
      </c>
      <c r="BJ13" s="5">
        <f>BG13*Settings!I$7*MAX(W13-voltijdfranchise/1000, 0)/$Y13</f>
        <v>2.7121232197398195E-3</v>
      </c>
      <c r="BM13" s="15" cm="1">
        <f t="array" ref="BM13">IFERROR( $K13*SUMPRODUCT($P13:$P88, $C$6:$C$81, 1-$T13:$T88)/MIN($P13,1), 0)</f>
        <v>1.622052836422587E-2</v>
      </c>
      <c r="BN13" s="5">
        <f>BM13*Settings!I$3*$W13/$Y13</f>
        <v>1.1586091688732765E-2</v>
      </c>
      <c r="BQ13" s="15"/>
      <c r="BR13" s="15">
        <f t="shared" si="48"/>
        <v>0.10347021707829666</v>
      </c>
      <c r="BS13" s="15">
        <f>BM13*(Settings!I$4*$W13/$Y13  - BR13)</f>
        <v>9.9077500977616459E-3</v>
      </c>
      <c r="BV13" s="20">
        <f t="shared" si="49"/>
        <v>5.4242464394796391E-3</v>
      </c>
      <c r="BW13" s="20">
        <f t="shared" si="50"/>
        <v>2.511304912333566</v>
      </c>
      <c r="BX13" s="20">
        <f t="shared" si="51"/>
        <v>0.39819935647351379</v>
      </c>
      <c r="BY13" s="5">
        <f>IFERROR(Settings!O$5*AVERAGE(Y$6:Y$48)/SUMPRODUCT(Y$6:Y$48, BX$6:BX$48), 0)</f>
        <v>3.4197010420295985E-2</v>
      </c>
      <c r="BZ13" s="14">
        <f>IFERROR(BY13*SUMPRODUCT(Y13:Y$48, BX13:BX$48)/AVERAGE(Y13:Y$48), 0)</f>
        <v>0.39914531635745787</v>
      </c>
      <c r="CA13" s="5">
        <f t="shared" si="52"/>
        <v>2.0911993630729495E-3</v>
      </c>
      <c r="CB13" s="5"/>
      <c r="CC13" s="5"/>
      <c r="CD13" s="20">
        <f t="shared" si="53"/>
        <v>2.1644774803705507E-2</v>
      </c>
      <c r="CE13" s="20">
        <f t="shared" si="54"/>
        <v>1.626371536257665</v>
      </c>
      <c r="CF13" s="73">
        <f t="shared" si="55"/>
        <v>0.61486565505261692</v>
      </c>
      <c r="CG13" s="5" cm="1">
        <f t="array" ref="CG13">IFERROR(Settings!O$6*AVERAGE(Y$6:Y$48)/SUMPRODUCT(Y$6:Y$48,1/CE$6:CE$48), 0)</f>
        <v>2.3794373702957207E-2</v>
      </c>
      <c r="CI13" s="18">
        <f t="shared" si="9"/>
        <v>32</v>
      </c>
      <c r="CJ13" s="90">
        <f t="shared" si="17"/>
        <v>3.634848368925446E-2</v>
      </c>
      <c r="CK13" s="104">
        <f t="shared" si="18"/>
        <v>8.8037003482156571E-3</v>
      </c>
      <c r="CL13" s="106">
        <f t="shared" si="19"/>
        <v>0</v>
      </c>
      <c r="CM13" s="89">
        <f t="shared" si="20"/>
        <v>3.9159687171057347E-2</v>
      </c>
      <c r="CN13" s="104">
        <f t="shared" si="21"/>
        <v>8.5777122104791024E-3</v>
      </c>
      <c r="CO13" s="106">
        <f t="shared" si="22"/>
        <v>0</v>
      </c>
      <c r="CP13" s="89">
        <f t="shared" si="23"/>
        <v>2.3794373702957207E-2</v>
      </c>
      <c r="CQ13" s="87">
        <f t="shared" si="24"/>
        <v>1.1586091688732765E-2</v>
      </c>
      <c r="CR13" s="95">
        <f t="shared" si="25"/>
        <v>3.874461742485456E-3</v>
      </c>
      <c r="CS13" s="96">
        <f t="shared" si="26"/>
        <v>3.874461742485456E-3</v>
      </c>
      <c r="CT13" s="97">
        <f t="shared" si="27"/>
        <v>2.7121232197398195E-3</v>
      </c>
      <c r="CU13" s="89">
        <f t="shared" si="28"/>
        <v>3.4197010420295985E-2</v>
      </c>
      <c r="CV13" s="87">
        <f t="shared" si="29"/>
        <v>1.1586091688732765E-2</v>
      </c>
      <c r="CW13" s="92">
        <f t="shared" si="30"/>
        <v>2.0911993630729495E-3</v>
      </c>
      <c r="CX13" s="89">
        <f t="shared" si="31"/>
        <v>3.9159687171057347E-2</v>
      </c>
      <c r="CY13" s="87">
        <f t="shared" si="32"/>
        <v>9.9077500977616459E-3</v>
      </c>
      <c r="CZ13" s="115">
        <f t="shared" si="33"/>
        <v>2.0911993630729495E-3</v>
      </c>
      <c r="DA13" s="11"/>
      <c r="DB13">
        <f t="shared" si="10"/>
        <v>32</v>
      </c>
      <c r="DC13" s="11">
        <f t="shared" si="56"/>
        <v>4.5152184037470115E-2</v>
      </c>
      <c r="DD13" s="11">
        <f t="shared" si="57"/>
        <v>4.7737399381536448E-2</v>
      </c>
      <c r="DE13" s="11">
        <f t="shared" si="34"/>
        <v>3.925492713417543E-2</v>
      </c>
      <c r="DF13" s="11">
        <f t="shared" si="35"/>
        <v>3.925492713417543E-2</v>
      </c>
      <c r="DG13" s="11">
        <f t="shared" si="36"/>
        <v>3.8092588611429792E-2</v>
      </c>
      <c r="DH13" s="11">
        <f t="shared" si="37"/>
        <v>4.7874301472101699E-2</v>
      </c>
      <c r="DI13" s="11">
        <f t="shared" si="38"/>
        <v>5.1158636631891942E-2</v>
      </c>
      <c r="DL13">
        <f>H18</f>
        <v>37</v>
      </c>
      <c r="DM13" s="15">
        <f t="shared" si="62"/>
        <v>4.7278422764142777E-2</v>
      </c>
      <c r="DN13" s="15">
        <f t="shared" si="62"/>
        <v>4.806295993879052E-2</v>
      </c>
      <c r="DO13" s="15">
        <f t="shared" si="62"/>
        <v>4.276128139180059E-2</v>
      </c>
      <c r="DP13" s="15">
        <f t="shared" si="62"/>
        <v>4.276128139180059E-2</v>
      </c>
      <c r="DQ13" s="15">
        <f t="shared" si="62"/>
        <v>4.1117094184987255E-2</v>
      </c>
      <c r="DR13" s="15">
        <f t="shared" si="62"/>
        <v>5.0140218070316669E-2</v>
      </c>
      <c r="DS13" s="15">
        <f t="shared" si="62"/>
        <v>5.1998016918940904E-2</v>
      </c>
      <c r="DV13">
        <f t="shared" si="39"/>
        <v>32</v>
      </c>
      <c r="DW13" s="11">
        <f>SUMPRODUCT($B13:$B$48, $Y13:$Y$48, CK13:CK$48)/$B13/$Y13</f>
        <v>0.25280399300221934</v>
      </c>
      <c r="DX13" s="11">
        <f>SUMPRODUCT($B13:$B$48, $Y13:$Y$48, CN13:CN$48)/$B13/$Y13</f>
        <v>0.24250358453731841</v>
      </c>
      <c r="DY13" s="11" cm="1">
        <f t="array" ref="DY13">SUMPRODUCT($B13:$B$48, $Y13:$Y$48, $CQ13:$CQ$48 + CR13:CR$48)/$B13/$Y13</f>
        <v>1.2163973630357132</v>
      </c>
      <c r="DZ13" s="11" cm="1">
        <f t="array" ref="DZ13">SUMPRODUCT($B13:$B$48, $Y13:$Y$48, $CQ13:$CQ$48 + CS13:CS$48)/$B13/$Y13</f>
        <v>1.2163973630357132</v>
      </c>
      <c r="EA13" s="11" cm="1">
        <f t="array" ref="EA13">SUMPRODUCT($B13:$B$48, $Y13:$Y$48, $CQ13:$CQ$48 + CT13:CT$48)/$B13/$Y13</f>
        <v>1.0057263926889952</v>
      </c>
      <c r="EB13" s="11" cm="1">
        <f t="array" ref="EB13">SUMPRODUCT($B13:$B$48, $Y13:$Y$48, $CV13:$CV$48 + CW13:CW$48)/$B13/$Y13</f>
        <v>0.60804749695882976</v>
      </c>
      <c r="EC13" s="11" cm="1">
        <f t="array" ref="EC13">SUMPRODUCT($B13:$B$48, $Y13:$Y$48, $CY13:$CY$48 + CZ13:CZ$48)/$B13/$Y13</f>
        <v>0.38723106142312153</v>
      </c>
      <c r="EE13" s="73">
        <f>Settings!T21</f>
        <v>32</v>
      </c>
      <c r="EF13" s="14">
        <f>SUMPRODUCT($B13:$B$48, $Y13:$Y$48, CK13:CK$48)/$B13/$AD12</f>
        <v>0.18389862975654975</v>
      </c>
      <c r="EG13" s="14">
        <f>SUMPRODUCT($B13:$B$48, $Y13:$Y$48, CN13:CN$48)/$B13/$AD12</f>
        <v>0.17640574572361672</v>
      </c>
      <c r="EH13" s="14" cm="1">
        <f t="array" ref="EH13">SUMPRODUCT($B13:$B$48, $Y13:$Y$48, $CQ13:$CQ$48 + CR13:CR$48)/$B13/$AD12</f>
        <v>0.88485077171935445</v>
      </c>
      <c r="EI13" s="14" cm="1">
        <f t="array" ref="EI13">SUMPRODUCT($B13:$B$48, $Y13:$Y$48, $CQ13:$CQ$48 + CS13:CS$48)/$B13/$AD12</f>
        <v>0.88485077171935445</v>
      </c>
      <c r="EJ13" s="14" cm="1">
        <f t="array" ref="EJ13">SUMPRODUCT($B13:$B$48, $Y13:$Y$48, $CQ13:$CQ$48 + CT13:CT$48)/$B13/$AD12</f>
        <v>0.73160120348209934</v>
      </c>
      <c r="EK13" s="14" cm="1">
        <f t="array" ref="EK13">SUMPRODUCT($B13:$B$48, $Y13:$Y$48, $CV13:$CV$48 + CW13:CW$48)/$B13/$AD12</f>
        <v>0.44231540882602677</v>
      </c>
      <c r="EL13" s="14" cm="1">
        <f t="array" ref="EL13">SUMPRODUCT($B13:$B$48, $Y13:$Y$48, $CY13:$CY$48 + CZ13:CZ$48)/$B13/$AD12</f>
        <v>0.28168566781404136</v>
      </c>
    </row>
    <row r="14" spans="1:142" x14ac:dyDescent="0.25">
      <c r="A14">
        <v>8</v>
      </c>
      <c r="B14">
        <f>B13/(1+Settings!O$14)</f>
        <v>0.88771112380098705</v>
      </c>
      <c r="C14" s="73">
        <f>C13/(1+Settings!$O$15)</f>
        <v>0.88771112380098705</v>
      </c>
      <c r="D14" s="73">
        <f>D13/(1+Settings!$O$16)</f>
        <v>0.88771112380098705</v>
      </c>
      <c r="E14" s="73">
        <f>E13/(1+Settings!$O$17)</f>
        <v>0.88771112380098705</v>
      </c>
      <c r="F14" s="73">
        <f>F13/(1+Settings!$O$18)</f>
        <v>0.88771112380098705</v>
      </c>
      <c r="H14">
        <f>Grondslag!A10</f>
        <v>33</v>
      </c>
      <c r="I14" s="15">
        <f>IF(Settings!C$7="Unisex", overlevtafel!I40, IF(Settings!C$7="Man", overlevtafel!D40, IF(Settings!C$7="Vrouw",overlevtafel!G40) ) )/I$4</f>
        <v>0.9954704423251729</v>
      </c>
      <c r="J14" s="11">
        <f t="shared" si="58"/>
        <v>6.4707966783250637E-4</v>
      </c>
      <c r="K14" s="11">
        <f>IFERROR(J14/SUM(J14:J$100), 1)</f>
        <v>6.4960174494599831E-4</v>
      </c>
      <c r="M14" s="20">
        <v>23</v>
      </c>
      <c r="N14" s="73">
        <f>IF(Settings!D$7="Unisex", overlevtafel!Q30, IF(Settings!D$7="Man", overlevtafel!L30, IF(Settings!D$7="Vrouw",overlevtafel!O30) ) )</f>
        <v>97478</v>
      </c>
      <c r="O14" s="20">
        <f t="shared" si="59"/>
        <v>33</v>
      </c>
      <c r="P14" s="15">
        <f t="shared" si="40"/>
        <v>0.9954704423251729</v>
      </c>
      <c r="R14" s="73">
        <f>1*($H14&gt;=Settings!D$10)</f>
        <v>0</v>
      </c>
      <c r="S14" s="73">
        <f t="shared" si="41"/>
        <v>33</v>
      </c>
      <c r="T14" s="73">
        <f>1*($S14&gt;=Settings!D$10)</f>
        <v>0</v>
      </c>
      <c r="V14" s="18">
        <f t="shared" si="8"/>
        <v>33</v>
      </c>
      <c r="W14">
        <f>Grondslag!J10</f>
        <v>50</v>
      </c>
      <c r="X14" s="73">
        <f t="shared" si="12"/>
        <v>50</v>
      </c>
      <c r="Y14">
        <f>Grondslag!S10</f>
        <v>35</v>
      </c>
      <c r="AA14" s="54">
        <f t="shared" si="42"/>
        <v>9.2702931912651607</v>
      </c>
      <c r="AB14" s="14" cm="1">
        <f t="array" ref="AB14">IFERROR(Settings!O$3/NP_OP*AVERAGE(Y$6:Y$48)/SUM(Y$6:Y$48/AA$6:AA$48), 0)</f>
        <v>0.18717547021577788</v>
      </c>
      <c r="AC14" s="54">
        <f t="shared" si="43"/>
        <v>6.7785385252696013</v>
      </c>
      <c r="AD14" s="54">
        <f t="shared" si="13"/>
        <v>62.839039537535371</v>
      </c>
      <c r="AE14" s="14">
        <f t="shared" si="14"/>
        <v>0.19367252929341719</v>
      </c>
      <c r="AF14" s="52" cm="1">
        <f t="array" ref="AF14">IFERROR(AB14*SUMPRODUCT(Y14:Y$48,1/AA14:AA$48)/AVERAGE(Y$6:Y$48), 0)</f>
        <v>0.54080407500558614</v>
      </c>
      <c r="AG14" s="14" cm="1">
        <f t="array" ref="AG14">IFERROR( AB14*SUM(1/AA14:AA$48), 0)</f>
        <v>0.54080407500558625</v>
      </c>
      <c r="AI14" s="20">
        <f t="shared" si="60"/>
        <v>2.3425870969519161E-2</v>
      </c>
      <c r="AJ14" s="20">
        <f t="shared" si="44"/>
        <v>3.1550004485793783</v>
      </c>
      <c r="AK14" s="20">
        <f t="shared" si="45"/>
        <v>0.31695716571142685</v>
      </c>
      <c r="AL14" s="5">
        <f>IFERROR( Settings!O$3*AVERAGE(Y$6:Y$48)/SUMPRODUCT(Y$6:Y$48, AK$6:AK$48), 0)</f>
        <v>3.9159687171057347E-2</v>
      </c>
      <c r="AM14" s="52">
        <f>IFERROR( AL14*SUMPRODUCT(Y14:Y$48, AK14:AK$48)/AVERAGE(Y$6:Y$48), 0)</f>
        <v>0.39652978292170354</v>
      </c>
      <c r="AN14" s="14">
        <f>IFERROR(AL14*SUM(AK14:AK$48),0)</f>
        <v>0.39652978292170332</v>
      </c>
      <c r="AO14" s="5">
        <f t="shared" si="46"/>
        <v>8.9982949444167501E-3</v>
      </c>
      <c r="AQ14" s="5">
        <f>NP_OP*NPuitkering_leeftijd!F15*AJ14/Y14</f>
        <v>3.6686051727667188E-2</v>
      </c>
      <c r="AR14" s="5">
        <f>NP_OP*SUM(NPuitkering_leeftijd!F15:F$49)/AVERAGE(Y14:Y$48)</f>
        <v>0.40697674418604618</v>
      </c>
      <c r="AS14" s="50">
        <f>IFERROR( AQ14*SUM(AK14:AK$48), 0)</f>
        <v>0.37148182681545833</v>
      </c>
      <c r="AT14" s="5">
        <f t="shared" si="15"/>
        <v>9.2613908484145448E-3</v>
      </c>
      <c r="AX14" s="20" cm="1">
        <f t="array" ref="AX14">IFERROR( $K14*SUMPRODUCT($P14:$P89, $C$6:$C$81, 1-$T14:$T89)/MIN($P13,1), 0)</f>
        <v>1.7389987187412075E-2</v>
      </c>
      <c r="AY14" s="5">
        <f t="shared" si="16"/>
        <v>0</v>
      </c>
      <c r="BC14" s="20" cm="1">
        <f t="array" ref="BC14">IFERROR($K14*SUMPRODUCT($P14:$P89, $C$6:$C$81, 1-$T14:$T89)/MIN($P14,1), 0)</f>
        <v>1.7401291096251957E-2</v>
      </c>
      <c r="BD14" s="5">
        <f>BC14*Settings!$I$3*$W14/$Y14</f>
        <v>1.242949364017997E-2</v>
      </c>
      <c r="BG14" s="20">
        <f t="shared" si="47"/>
        <v>6.0398072513601518E-3</v>
      </c>
      <c r="BH14" s="5">
        <f>BG14*Settings!I$7*W14/$Y14</f>
        <v>4.3141480366858231E-3</v>
      </c>
      <c r="BI14" s="5">
        <f>BG14*Settings!I$7*$X14/$Y14</f>
        <v>4.3141480366858231E-3</v>
      </c>
      <c r="BJ14" s="5">
        <f>BG14*Settings!I$7*MAX(W14-voltijdfranchise/1000, 0)/$Y14</f>
        <v>3.0199036256800759E-3</v>
      </c>
      <c r="BM14" s="15" cm="1">
        <f t="array" ref="BM14">IFERROR( $K14*SUMPRODUCT($P14:$P89, $C$6:$C$81, 1-$T14:$T89)/MIN($P14,1), 0)</f>
        <v>1.7401291096251957E-2</v>
      </c>
      <c r="BN14" s="5">
        <f>BM14*Settings!I$3*$W14/$Y14</f>
        <v>1.242949364017997E-2</v>
      </c>
      <c r="BQ14" s="15"/>
      <c r="BR14" s="15">
        <f t="shared" si="48"/>
        <v>0.11588216053418113</v>
      </c>
      <c r="BS14" s="15">
        <f>BM14*(Settings!I$4*$W14/$Y14  - BR14)</f>
        <v>1.0412994431862084E-2</v>
      </c>
      <c r="BV14" s="20">
        <f t="shared" si="49"/>
        <v>6.0398072513601518E-3</v>
      </c>
      <c r="BW14" s="20">
        <f t="shared" si="50"/>
        <v>2.5467766621040711</v>
      </c>
      <c r="BX14" s="20">
        <f t="shared" si="51"/>
        <v>0.39265319762033229</v>
      </c>
      <c r="BY14" s="5">
        <f>IFERROR(Settings!O$5*AVERAGE(Y$6:Y$48)/SUMPRODUCT(Y$6:Y$48, BX$6:BX$48), 0)</f>
        <v>3.4197010420295985E-2</v>
      </c>
      <c r="BZ14" s="14">
        <f>IFERROR(BY14*SUMPRODUCT(Y14:Y$48, BX14:BX$48)/AVERAGE(Y14:Y$48), 0)</f>
        <v>0.38552808881477796</v>
      </c>
      <c r="CA14" s="5">
        <f t="shared" si="52"/>
        <v>2.2474154390083674E-3</v>
      </c>
      <c r="CB14" s="5"/>
      <c r="CC14" s="5"/>
      <c r="CD14" s="20">
        <f t="shared" si="53"/>
        <v>2.3441098347612113E-2</v>
      </c>
      <c r="CE14" s="20">
        <f t="shared" si="54"/>
        <v>1.652914044045481</v>
      </c>
      <c r="CF14" s="73">
        <f t="shared" si="55"/>
        <v>0.60499213713044375</v>
      </c>
      <c r="CG14" s="5" cm="1">
        <f t="array" ref="CG14">IFERROR(Settings!O$6*AVERAGE(Y$6:Y$48)/SUMPRODUCT(Y$6:Y$48,1/CE$6:CE$48), 0)</f>
        <v>2.3794373702957207E-2</v>
      </c>
      <c r="CI14" s="18">
        <f t="shared" si="9"/>
        <v>33</v>
      </c>
      <c r="CJ14" s="90">
        <f t="shared" si="17"/>
        <v>3.6686051727667188E-2</v>
      </c>
      <c r="CK14" s="104">
        <f t="shared" si="18"/>
        <v>9.2613908484145448E-3</v>
      </c>
      <c r="CL14" s="106">
        <f t="shared" si="19"/>
        <v>0</v>
      </c>
      <c r="CM14" s="89">
        <f t="shared" si="20"/>
        <v>3.9159687171057347E-2</v>
      </c>
      <c r="CN14" s="104">
        <f t="shared" si="21"/>
        <v>8.9982949444167501E-3</v>
      </c>
      <c r="CO14" s="106">
        <f t="shared" si="22"/>
        <v>0</v>
      </c>
      <c r="CP14" s="89">
        <f t="shared" si="23"/>
        <v>2.3794373702957207E-2</v>
      </c>
      <c r="CQ14" s="87">
        <f t="shared" si="24"/>
        <v>1.242949364017997E-2</v>
      </c>
      <c r="CR14" s="95">
        <f t="shared" si="25"/>
        <v>4.3141480366858231E-3</v>
      </c>
      <c r="CS14" s="96">
        <f t="shared" si="26"/>
        <v>4.3141480366858231E-3</v>
      </c>
      <c r="CT14" s="97">
        <f t="shared" si="27"/>
        <v>3.0199036256800759E-3</v>
      </c>
      <c r="CU14" s="89">
        <f t="shared" si="28"/>
        <v>3.4197010420295985E-2</v>
      </c>
      <c r="CV14" s="87">
        <f t="shared" si="29"/>
        <v>1.242949364017997E-2</v>
      </c>
      <c r="CW14" s="92">
        <f t="shared" si="30"/>
        <v>2.2474154390083674E-3</v>
      </c>
      <c r="CX14" s="89">
        <f t="shared" si="31"/>
        <v>3.9159687171057347E-2</v>
      </c>
      <c r="CY14" s="87">
        <f t="shared" si="32"/>
        <v>1.0412994431862084E-2</v>
      </c>
      <c r="CZ14" s="115">
        <f t="shared" si="33"/>
        <v>2.2474154390083674E-3</v>
      </c>
      <c r="DA14" s="11"/>
      <c r="DB14">
        <f t="shared" si="10"/>
        <v>33</v>
      </c>
      <c r="DC14" s="11">
        <f t="shared" ref="DC14:DC48" si="63">SUM(CJ14:CL14)</f>
        <v>4.5947442576081729E-2</v>
      </c>
      <c r="DD14" s="11">
        <f t="shared" ref="DD14:DD48" si="64">SUM(CM14:CO14)</f>
        <v>4.8157982115474098E-2</v>
      </c>
      <c r="DE14" s="11">
        <f t="shared" si="34"/>
        <v>4.0538015379823003E-2</v>
      </c>
      <c r="DF14" s="11">
        <f t="shared" si="35"/>
        <v>4.0538015379823003E-2</v>
      </c>
      <c r="DG14" s="11">
        <f t="shared" si="36"/>
        <v>3.9243770968817253E-2</v>
      </c>
      <c r="DH14" s="11">
        <f t="shared" si="37"/>
        <v>4.8873919499484324E-2</v>
      </c>
      <c r="DI14" s="11">
        <f t="shared" si="38"/>
        <v>5.1820097041927797E-2</v>
      </c>
      <c r="DL14">
        <f>H28</f>
        <v>47</v>
      </c>
      <c r="DM14" s="15">
        <f t="shared" si="62"/>
        <v>5.1298006132302787E-2</v>
      </c>
      <c r="DN14" s="15">
        <f t="shared" si="62"/>
        <v>4.9029616125772266E-2</v>
      </c>
      <c r="DO14" s="15">
        <f t="shared" si="62"/>
        <v>5.5776553833945343E-2</v>
      </c>
      <c r="DP14" s="15">
        <f t="shared" si="62"/>
        <v>5.5776553833945343E-2</v>
      </c>
      <c r="DQ14" s="15">
        <f t="shared" si="62"/>
        <v>5.196735359900069E-2</v>
      </c>
      <c r="DR14" s="15">
        <f t="shared" si="62"/>
        <v>5.7074794433689083E-2</v>
      </c>
      <c r="DS14" s="15">
        <f t="shared" si="62"/>
        <v>5.4498642998523687E-2</v>
      </c>
      <c r="DV14">
        <f t="shared" si="39"/>
        <v>33</v>
      </c>
      <c r="DW14" s="11">
        <f>SUMPRODUCT($B14:$B$48, $Y14:$Y$48, CK14:CK$48)/$B14/$Y14</f>
        <v>0.24766029704381368</v>
      </c>
      <c r="DX14" s="11">
        <f>SUMPRODUCT($B14:$B$48, $Y14:$Y$48, CN14:CN$48)/$B14/$Y14</f>
        <v>0.23743476041174191</v>
      </c>
      <c r="DY14" s="11" cm="1">
        <f t="array" ref="DY14">SUMPRODUCT($B14:$B$48, $Y14:$Y$48, $CQ14:$CQ$48 + CR14:CR$48)/$B14/$Y14</f>
        <v>1.218950861748562</v>
      </c>
      <c r="DZ14" s="11" cm="1">
        <f t="array" ref="DZ14">SUMPRODUCT($B14:$B$48, $Y14:$Y$48, $CQ14:$CQ$48 + CS14:CS$48)/$B14/$Y14</f>
        <v>1.218950861748562</v>
      </c>
      <c r="EA14" s="11" cm="1">
        <f t="array" ref="EA14">SUMPRODUCT($B14:$B$48, $Y14:$Y$48, $CQ14:$CQ$48 + CT14:CT$48)/$B14/$Y14</f>
        <v>1.0062996004472302</v>
      </c>
      <c r="EB14" s="11" cm="1">
        <f t="array" ref="EB14">SUMPRODUCT($B14:$B$48, $Y14:$Y$48, $CV14:$CV$48 + CW14:CW$48)/$B14/$Y14</f>
        <v>0.6032857589956292</v>
      </c>
      <c r="EC14" s="11" cm="1">
        <f t="array" ref="EC14">SUMPRODUCT($B14:$B$48, $Y14:$Y$48, $CY14:$CY$48 + CZ14:CZ$48)/$B14/$Y14</f>
        <v>0.38086059364172109</v>
      </c>
      <c r="EE14" s="73">
        <f>Settings!T22</f>
        <v>33</v>
      </c>
      <c r="EF14" s="14">
        <f>SUMPRODUCT($B14:$B$48, $Y14:$Y$48, CK14:CK$48)/$B14/$AD13</f>
        <v>0.15641156172436649</v>
      </c>
      <c r="EG14" s="14">
        <f>SUMPRODUCT($B14:$B$48, $Y14:$Y$48, CN14:CN$48)/$B14/$AD13</f>
        <v>0.14995355382732714</v>
      </c>
      <c r="EH14" s="14" cm="1">
        <f t="array" ref="EH14">SUMPRODUCT($B14:$B$48, $Y14:$Y$48, $CQ14:$CQ$48 + CR14:CR$48)/$B14/$AD13</f>
        <v>0.76983678945368283</v>
      </c>
      <c r="EI14" s="14" cm="1">
        <f t="array" ref="EI14">SUMPRODUCT($B14:$B$48, $Y14:$Y$48, $CQ14:$CQ$48 + CS14:CS$48)/$B14/$AD13</f>
        <v>0.76983678945368283</v>
      </c>
      <c r="EJ14" s="14" cm="1">
        <f t="array" ref="EJ14">SUMPRODUCT($B14:$B$48, $Y14:$Y$48, $CQ14:$CQ$48 + CT14:CT$48)/$B14/$AD13</f>
        <v>0.63553542472216351</v>
      </c>
      <c r="EK14" s="14" cm="1">
        <f t="array" ref="EK14">SUMPRODUCT($B14:$B$48, $Y14:$Y$48, $CV14:$CV$48 + CW14:CW$48)/$B14/$AD13</f>
        <v>0.3810092649363282</v>
      </c>
      <c r="EL14" s="14" cm="1">
        <f t="array" ref="EL14">SUMPRODUCT($B14:$B$48, $Y14:$Y$48, $CY14:$CY$48 + CZ14:CZ$48)/$B14/$AD13</f>
        <v>0.24053512396551874</v>
      </c>
    </row>
    <row r="15" spans="1:142" x14ac:dyDescent="0.25">
      <c r="A15">
        <v>9</v>
      </c>
      <c r="B15">
        <f>B14/(1+Settings!O$14)</f>
        <v>0.87459224019801685</v>
      </c>
      <c r="C15" s="73">
        <f>C14/(1+Settings!$O$15)</f>
        <v>0.87459224019801685</v>
      </c>
      <c r="D15" s="73">
        <f>D14/(1+Settings!$O$16)</f>
        <v>0.87459224019801685</v>
      </c>
      <c r="E15" s="73">
        <f>E14/(1+Settings!$O$17)</f>
        <v>0.87459224019801685</v>
      </c>
      <c r="F15" s="73">
        <f>F14/(1+Settings!$O$18)</f>
        <v>0.87459224019801685</v>
      </c>
      <c r="H15">
        <f>Grondslag!A11</f>
        <v>34</v>
      </c>
      <c r="I15" s="15">
        <f>IF(Settings!C$7="Unisex", overlevtafel!I41, IF(Settings!C$7="Man", overlevtafel!D41, IF(Settings!C$7="Vrouw",overlevtafel!G41) ) )/I$4</f>
        <v>0.99481822710442125</v>
      </c>
      <c r="J15" s="11">
        <f t="shared" si="58"/>
        <v>6.5221522075165073E-4</v>
      </c>
      <c r="K15" s="11">
        <f>IFERROR(J15/SUM(J15:J$100), 1)</f>
        <v>6.5518292231976757E-4</v>
      </c>
      <c r="M15" s="20">
        <v>24</v>
      </c>
      <c r="N15" s="73">
        <f>IF(Settings!D$7="Unisex", overlevtafel!Q31, IF(Settings!D$7="Man", overlevtafel!L31, IF(Settings!D$7="Vrouw",overlevtafel!O31) ) )</f>
        <v>97419.5</v>
      </c>
      <c r="O15" s="20">
        <f t="shared" si="59"/>
        <v>34</v>
      </c>
      <c r="P15" s="15">
        <f t="shared" si="40"/>
        <v>0.99481822710442125</v>
      </c>
      <c r="R15" s="73">
        <f>1*($H15&gt;=Settings!D$10)</f>
        <v>0</v>
      </c>
      <c r="S15" s="73">
        <f t="shared" si="41"/>
        <v>34</v>
      </c>
      <c r="T15" s="73">
        <f>1*($S15&gt;=Settings!D$10)</f>
        <v>0</v>
      </c>
      <c r="V15" s="18">
        <f t="shared" si="8"/>
        <v>34</v>
      </c>
      <c r="W15">
        <f>Grondslag!J11</f>
        <v>50</v>
      </c>
      <c r="X15" s="73">
        <f t="shared" si="12"/>
        <v>50</v>
      </c>
      <c r="Y15">
        <f>Grondslag!S11</f>
        <v>35</v>
      </c>
      <c r="AA15" s="54">
        <f t="shared" si="42"/>
        <v>9.4156308651983043</v>
      </c>
      <c r="AB15" s="14" cm="1">
        <f t="array" ref="AB15">IFERROR(Settings!O$3/NP_OP*AVERAGE(Y$6:Y$48)/SUM(Y$6:Y$48/AA$6:AA$48), 0)</f>
        <v>0.18717547021577788</v>
      </c>
      <c r="AC15" s="54">
        <f t="shared" si="43"/>
        <v>7.4743114959121</v>
      </c>
      <c r="AD15" s="54">
        <f t="shared" si="13"/>
        <v>70.375358017016481</v>
      </c>
      <c r="AE15" s="14">
        <f t="shared" si="14"/>
        <v>0.21355175702606</v>
      </c>
      <c r="AF15" s="52" cm="1">
        <f t="array" ref="AF15">IFERROR(AB15*SUMPRODUCT(Y15:Y$48,1/AA15:AA$48)/AVERAGE(Y$6:Y$48), 0)</f>
        <v>0.52061318499229703</v>
      </c>
      <c r="AG15" s="14" cm="1">
        <f t="array" ref="AG15">IFERROR( AB15*SUM(1/AA15:AA$48), 0)</f>
        <v>0.52061318499229725</v>
      </c>
      <c r="AI15" s="20">
        <f t="shared" si="60"/>
        <v>2.3332158078126313E-2</v>
      </c>
      <c r="AJ15" s="20">
        <f t="shared" si="44"/>
        <v>3.1827173718768274</v>
      </c>
      <c r="AK15" s="20">
        <f t="shared" si="45"/>
        <v>0.3141969214219944</v>
      </c>
      <c r="AL15" s="5">
        <f>IFERROR( Settings!O$3*AVERAGE(Y$6:Y$48)/SUMPRODUCT(Y$6:Y$48, AK$6:AK$48), 0)</f>
        <v>3.9159687171057347E-2</v>
      </c>
      <c r="AM15" s="52">
        <f>IFERROR( AL15*SUMPRODUCT(Y15:Y$48, AK15:AK$48)/AVERAGE(Y$6:Y$48), 0)</f>
        <v>0.38411783946581896</v>
      </c>
      <c r="AN15" s="14">
        <f>IFERROR(AL15*SUM(AK15:AK$48),0)</f>
        <v>0.38411783946581896</v>
      </c>
      <c r="AO15" s="5">
        <f t="shared" si="46"/>
        <v>8.6752227043091108E-3</v>
      </c>
      <c r="AQ15" s="5">
        <f>NP_OP*NPuitkering_leeftijd!F16*AJ15/Y15</f>
        <v>3.7008341533451485E-2</v>
      </c>
      <c r="AR15" s="5">
        <f>NP_OP*SUM(NPuitkering_leeftijd!F16:F$49)/AVERAGE(Y15:Y$48)</f>
        <v>0.39534883720930203</v>
      </c>
      <c r="AS15" s="50">
        <f>IFERROR( AQ15*SUM(AK15:AK$48), 0)</f>
        <v>0.3630152643953995</v>
      </c>
      <c r="AT15" s="5">
        <f t="shared" si="15"/>
        <v>8.9530374020717167E-3</v>
      </c>
      <c r="AX15" s="20" cm="1">
        <f t="array" ref="AX15">IFERROR( $K15*SUMPRODUCT($P15:$P90, $C$6:$C$81, 1-$T15:$T90)/MIN($P14,1), 0)</f>
        <v>1.7149048907884885E-2</v>
      </c>
      <c r="AY15" s="5">
        <f t="shared" si="16"/>
        <v>0</v>
      </c>
      <c r="BC15" s="20" cm="1">
        <f t="array" ref="BC15">IFERROR($K15*SUMPRODUCT($P15:$P90, $C$6:$C$81, 1-$T15:$T90)/MIN($P15,1), 0)</f>
        <v>1.7160292037950657E-2</v>
      </c>
      <c r="BD15" s="5">
        <f>BC15*Settings!$I$3*$W15/$Y15</f>
        <v>1.2257351455679041E-2</v>
      </c>
      <c r="BG15" s="20">
        <f t="shared" si="47"/>
        <v>6.1871628936278058E-3</v>
      </c>
      <c r="BH15" s="5">
        <f>BG15*Settings!I$7*W15/$Y15</f>
        <v>4.4194020668770042E-3</v>
      </c>
      <c r="BI15" s="5">
        <f>BG15*Settings!I$7*$X15/$Y15</f>
        <v>4.4194020668770042E-3</v>
      </c>
      <c r="BJ15" s="5">
        <f>BG15*Settings!I$7*MAX(W15-voltijdfranchise/1000, 0)/$Y15</f>
        <v>3.0935814468139029E-3</v>
      </c>
      <c r="BM15" s="15" cm="1">
        <f t="array" ref="BM15">IFERROR( $K15*SUMPRODUCT($P15:$P90, $C$6:$C$81, 1-$T15:$T90)/MIN($P15,1), 0)</f>
        <v>1.7160292037950657E-2</v>
      </c>
      <c r="BN15" s="5">
        <f>BM15*Settings!I$3*$W15/$Y15</f>
        <v>1.2257351455679041E-2</v>
      </c>
      <c r="BQ15" s="15"/>
      <c r="BR15" s="15">
        <f t="shared" si="48"/>
        <v>0.12818601368717572</v>
      </c>
      <c r="BS15" s="15">
        <f>BM15*(Settings!I$4*$W15/$Y15  - BR15)</f>
        <v>1.0057642025626366E-2</v>
      </c>
      <c r="BV15" s="20">
        <f t="shared" si="49"/>
        <v>6.1871628936278058E-3</v>
      </c>
      <c r="BW15" s="20">
        <f t="shared" si="50"/>
        <v>2.5822304835526873</v>
      </c>
      <c r="BX15" s="20">
        <f t="shared" si="51"/>
        <v>0.38726210009889545</v>
      </c>
      <c r="BY15" s="5">
        <f>IFERROR(Settings!O$5*AVERAGE(Y$6:Y$48)/SUMPRODUCT(Y$6:Y$48, BX$6:BX$48), 0)</f>
        <v>3.4197010420295985E-2</v>
      </c>
      <c r="BZ15" s="14">
        <f>IFERROR(BY15*SUMPRODUCT(Y15:Y$48, BX15:BX$48)/AVERAGE(Y15:Y$48), 0)</f>
        <v>0.37210052332419291</v>
      </c>
      <c r="CA15" s="5">
        <f t="shared" si="52"/>
        <v>2.2203086774066965E-3</v>
      </c>
      <c r="CB15" s="5"/>
      <c r="CC15" s="5"/>
      <c r="CD15" s="20">
        <f t="shared" si="53"/>
        <v>2.3347454931578457E-2</v>
      </c>
      <c r="CE15" s="20">
        <f t="shared" si="54"/>
        <v>1.6799083652542606</v>
      </c>
      <c r="CF15" s="73">
        <f t="shared" si="55"/>
        <v>0.59527056396831868</v>
      </c>
      <c r="CG15" s="5" cm="1">
        <f t="array" ref="CG15">IFERROR(Settings!O$6*AVERAGE(Y$6:Y$48)/SUMPRODUCT(Y$6:Y$48,1/CE$6:CE$48), 0)</f>
        <v>2.3794373702957207E-2</v>
      </c>
      <c r="CI15" s="18">
        <f t="shared" si="9"/>
        <v>34</v>
      </c>
      <c r="CJ15" s="90">
        <f t="shared" si="17"/>
        <v>3.7008341533451485E-2</v>
      </c>
      <c r="CK15" s="104">
        <f t="shared" si="18"/>
        <v>8.9530374020717167E-3</v>
      </c>
      <c r="CL15" s="106">
        <f t="shared" si="19"/>
        <v>0</v>
      </c>
      <c r="CM15" s="89">
        <f t="shared" si="20"/>
        <v>3.9159687171057347E-2</v>
      </c>
      <c r="CN15" s="104">
        <f t="shared" si="21"/>
        <v>8.6752227043091108E-3</v>
      </c>
      <c r="CO15" s="106">
        <f t="shared" si="22"/>
        <v>0</v>
      </c>
      <c r="CP15" s="89">
        <f t="shared" si="23"/>
        <v>2.3794373702957207E-2</v>
      </c>
      <c r="CQ15" s="87">
        <f t="shared" si="24"/>
        <v>1.2257351455679041E-2</v>
      </c>
      <c r="CR15" s="95">
        <f t="shared" si="25"/>
        <v>4.4194020668770042E-3</v>
      </c>
      <c r="CS15" s="96">
        <f t="shared" si="26"/>
        <v>4.4194020668770042E-3</v>
      </c>
      <c r="CT15" s="97">
        <f t="shared" si="27"/>
        <v>3.0935814468139029E-3</v>
      </c>
      <c r="CU15" s="89">
        <f t="shared" si="28"/>
        <v>3.4197010420295985E-2</v>
      </c>
      <c r="CV15" s="87">
        <f t="shared" si="29"/>
        <v>1.2257351455679041E-2</v>
      </c>
      <c r="CW15" s="92">
        <f t="shared" si="30"/>
        <v>2.2203086774066965E-3</v>
      </c>
      <c r="CX15" s="89">
        <f t="shared" si="31"/>
        <v>3.9159687171057347E-2</v>
      </c>
      <c r="CY15" s="87">
        <f t="shared" si="32"/>
        <v>1.0057642025626366E-2</v>
      </c>
      <c r="CZ15" s="115">
        <f t="shared" si="33"/>
        <v>2.2203086774066965E-3</v>
      </c>
      <c r="DA15" s="11"/>
      <c r="DB15">
        <f t="shared" si="10"/>
        <v>34</v>
      </c>
      <c r="DC15" s="11">
        <f t="shared" si="63"/>
        <v>4.5961378935523198E-2</v>
      </c>
      <c r="DD15" s="11">
        <f t="shared" si="64"/>
        <v>4.7834909875366455E-2</v>
      </c>
      <c r="DE15" s="11">
        <f t="shared" si="34"/>
        <v>4.0471127225513256E-2</v>
      </c>
      <c r="DF15" s="11">
        <f t="shared" si="35"/>
        <v>4.0471127225513256E-2</v>
      </c>
      <c r="DG15" s="11">
        <f t="shared" si="36"/>
        <v>3.9145306605450153E-2</v>
      </c>
      <c r="DH15" s="11">
        <f t="shared" si="37"/>
        <v>4.8674670553381726E-2</v>
      </c>
      <c r="DI15" s="11">
        <f t="shared" si="38"/>
        <v>5.1437637874090412E-2</v>
      </c>
      <c r="DL15">
        <f>H38</f>
        <v>57</v>
      </c>
      <c r="DM15" s="15">
        <f t="shared" si="62"/>
        <v>5.2955320902140793E-2</v>
      </c>
      <c r="DN15" s="15">
        <f t="shared" si="62"/>
        <v>4.9600506192326421E-2</v>
      </c>
      <c r="DO15" s="15">
        <f t="shared" si="62"/>
        <v>9.0857982043931348E-2</v>
      </c>
      <c r="DP15" s="15">
        <f t="shared" si="62"/>
        <v>9.0857982043931348E-2</v>
      </c>
      <c r="DQ15" s="15">
        <f t="shared" si="62"/>
        <v>7.9163196841398331E-2</v>
      </c>
      <c r="DR15" s="15">
        <f t="shared" si="62"/>
        <v>6.7603393151398697E-2</v>
      </c>
      <c r="DS15" s="15">
        <f t="shared" si="62"/>
        <v>5.7298317370303456E-2</v>
      </c>
      <c r="DV15">
        <f t="shared" si="39"/>
        <v>34</v>
      </c>
      <c r="DW15" s="11">
        <f>SUMPRODUCT($B15:$B$48, $Y15:$Y$48, CK15:CK$48)/$B15/$Y15</f>
        <v>0.24197488978833012</v>
      </c>
      <c r="DX15" s="11">
        <f>SUMPRODUCT($B15:$B$48, $Y15:$Y$48, CN15:CN$48)/$B15/$Y15</f>
        <v>0.23186301244933502</v>
      </c>
      <c r="DY15" s="11" cm="1">
        <f t="array" ref="DY15">SUMPRODUCT($B15:$B$48, $Y15:$Y$48, $CQ15:$CQ$48 + CR15:CR$48)/$B15/$Y15</f>
        <v>1.2202403283727714</v>
      </c>
      <c r="DZ15" s="11" cm="1">
        <f t="array" ref="DZ15">SUMPRODUCT($B15:$B$48, $Y15:$Y$48, $CQ15:$CQ$48 + CS15:CS$48)/$B15/$Y15</f>
        <v>1.2202403283727714</v>
      </c>
      <c r="EA15" s="11" cm="1">
        <f t="array" ref="EA15">SUMPRODUCT($B15:$B$48, $Y15:$Y$48, $CQ15:$CQ$48 + CT15:CT$48)/$B15/$Y15</f>
        <v>1.0057129562290907</v>
      </c>
      <c r="EB15" s="11" cm="1">
        <f t="array" ref="EB15">SUMPRODUCT($B15:$B$48, $Y15:$Y$48, $CV15:$CV$48 + CW15:CW$48)/$B15/$Y15</f>
        <v>0.59743798266518755</v>
      </c>
      <c r="EC15" s="11" cm="1">
        <f t="array" ref="EC15">SUMPRODUCT($B15:$B$48, $Y15:$Y$48, $CY15:$CY$48 + CZ15:CZ$48)/$B15/$Y15</f>
        <v>0.37372318652741338</v>
      </c>
      <c r="EE15" s="73">
        <f>Settings!T23</f>
        <v>34</v>
      </c>
      <c r="EF15" s="14">
        <f>SUMPRODUCT($B15:$B$48, $Y15:$Y$48, CK15:CK$48)/$B15/$AD14</f>
        <v>0.13477483432146875</v>
      </c>
      <c r="EG15" s="14">
        <f>SUMPRODUCT($B15:$B$48, $Y15:$Y$48, CN15:CN$48)/$B15/$AD14</f>
        <v>0.12914273508078214</v>
      </c>
      <c r="EH15" s="14" cm="1">
        <f t="array" ref="EH15">SUMPRODUCT($B15:$B$48, $Y15:$Y$48, $CQ15:$CQ$48 + CR15:CR$48)/$B15/$AD14</f>
        <v>0.67964774457662058</v>
      </c>
      <c r="EI15" s="14" cm="1">
        <f t="array" ref="EI15">SUMPRODUCT($B15:$B$48, $Y15:$Y$48, $CQ15:$CQ$48 + CS15:CS$48)/$B15/$AD14</f>
        <v>0.67964774457662058</v>
      </c>
      <c r="EJ15" s="14" cm="1">
        <f t="array" ref="EJ15">SUMPRODUCT($B15:$B$48, $Y15:$Y$48, $CQ15:$CQ$48 + CT15:CT$48)/$B15/$AD14</f>
        <v>0.56016059008973784</v>
      </c>
      <c r="EK15" s="14" cm="1">
        <f t="array" ref="EK15">SUMPRODUCT($B15:$B$48, $Y15:$Y$48, $CV15:$CV$48 + CW15:CW$48)/$B15/$AD14</f>
        <v>0.33276016863356556</v>
      </c>
      <c r="EL15" s="14" cm="1">
        <f t="array" ref="EL15">SUMPRODUCT($B15:$B$48, $Y15:$Y$48, $CY15:$CY$48 + CZ15:CZ$48)/$B15/$AD14</f>
        <v>0.20815581563187741</v>
      </c>
    </row>
    <row r="16" spans="1:142" x14ac:dyDescent="0.25">
      <c r="A16">
        <v>10</v>
      </c>
      <c r="B16">
        <f>B15/(1+Settings!O$14)</f>
        <v>0.86166723172218418</v>
      </c>
      <c r="C16" s="73">
        <f>C15/(1+Settings!$O$15)</f>
        <v>0.86166723172218418</v>
      </c>
      <c r="D16" s="73">
        <f>D15/(1+Settings!$O$16)</f>
        <v>0.86166723172218418</v>
      </c>
      <c r="E16" s="73">
        <f>E15/(1+Settings!$O$17)</f>
        <v>0.86166723172218418</v>
      </c>
      <c r="F16" s="73">
        <f>F15/(1+Settings!$O$18)</f>
        <v>0.86166723172218418</v>
      </c>
      <c r="H16">
        <f>Grondslag!A12</f>
        <v>35</v>
      </c>
      <c r="I16" s="15">
        <f>IF(Settings!C$7="Unisex", overlevtafel!I42, IF(Settings!C$7="Man", overlevtafel!D42, IF(Settings!C$7="Vrouw",overlevtafel!G42) ) )/I$4</f>
        <v>0.99413519856615362</v>
      </c>
      <c r="J16" s="11">
        <f t="shared" si="58"/>
        <v>6.8302853826762711E-4</v>
      </c>
      <c r="K16" s="11">
        <f>IFERROR(J16/SUM(J16:J$100), 1)</f>
        <v>6.865862858182085E-4</v>
      </c>
      <c r="M16" s="20">
        <v>25</v>
      </c>
      <c r="N16" s="73">
        <f>IF(Settings!D$7="Unisex", overlevtafel!Q32, IF(Settings!D$7="Man", overlevtafel!L32, IF(Settings!D$7="Vrouw",overlevtafel!O32) ) )</f>
        <v>97360.5</v>
      </c>
      <c r="O16" s="20">
        <f t="shared" si="59"/>
        <v>35</v>
      </c>
      <c r="P16" s="15">
        <f t="shared" si="40"/>
        <v>0.99413519856615362</v>
      </c>
      <c r="R16" s="73">
        <f>1*($H16&gt;=Settings!D$10)</f>
        <v>0</v>
      </c>
      <c r="S16" s="73">
        <f t="shared" si="41"/>
        <v>35</v>
      </c>
      <c r="T16" s="73">
        <f>1*($S16&gt;=Settings!D$10)</f>
        <v>0</v>
      </c>
      <c r="V16" s="18">
        <f t="shared" si="8"/>
        <v>35</v>
      </c>
      <c r="W16">
        <f>Grondslag!J12</f>
        <v>50</v>
      </c>
      <c r="X16" s="73">
        <f t="shared" si="12"/>
        <v>50</v>
      </c>
      <c r="Y16">
        <f>Grondslag!S12</f>
        <v>35</v>
      </c>
      <c r="AA16" s="54">
        <f t="shared" si="42"/>
        <v>9.563484262768684</v>
      </c>
      <c r="AB16" s="14" cm="1">
        <f t="array" ref="AB16">IFERROR(Settings!O$3/NP_OP*AVERAGE(Y$6:Y$48)/SUM(Y$6:Y$48/AA$6:AA$48), 0)</f>
        <v>0.18717547021577788</v>
      </c>
      <c r="AC16" s="54">
        <f t="shared" si="43"/>
        <v>8.1593276759518663</v>
      </c>
      <c r="AD16" s="54">
        <f t="shared" si="13"/>
        <v>78.031601823738654</v>
      </c>
      <c r="AE16" s="14">
        <f t="shared" si="14"/>
        <v>0.23312364788433904</v>
      </c>
      <c r="AF16" s="52" cm="1">
        <f t="array" ref="AF16">IFERROR(AB16*SUMPRODUCT(Y16:Y$48,1/AA16:AA$48)/AVERAGE(Y$6:Y$48), 0)</f>
        <v>0.50073395725965431</v>
      </c>
      <c r="AG16" s="14" cm="1">
        <f t="array" ref="AG16">IFERROR( AB16*SUM(1/AA16:AA$48), 0)</f>
        <v>0.50073395725965431</v>
      </c>
      <c r="AI16" s="20">
        <f t="shared" si="60"/>
        <v>2.4136643021695652E-2</v>
      </c>
      <c r="AJ16" s="20">
        <f t="shared" si="44"/>
        <v>3.2111839916326397</v>
      </c>
      <c r="AK16" s="20">
        <f t="shared" si="45"/>
        <v>0.31141161721212274</v>
      </c>
      <c r="AL16" s="5">
        <f>IFERROR( Settings!O$3*AVERAGE(Y$6:Y$48)/SUMPRODUCT(Y$6:Y$48, AK$6:AK$48), 0)</f>
        <v>3.9159687171057347E-2</v>
      </c>
      <c r="AM16" s="52">
        <f>IFERROR( AL16*SUMPRODUCT(Y16:Y$48, AK16:AK$48)/AVERAGE(Y$6:Y$48), 0)</f>
        <v>0.37181398631282442</v>
      </c>
      <c r="AN16" s="14">
        <f>IFERROR(AL16*SUM(AK16:AK$48),0)</f>
        <v>0.37181398631282431</v>
      </c>
      <c r="AO16" s="5">
        <f t="shared" si="46"/>
        <v>8.6800003700365971E-3</v>
      </c>
      <c r="AQ16" s="5">
        <f>NP_OP*NPuitkering_leeftijd!F17*AJ16/Y16</f>
        <v>3.7339348739914416E-2</v>
      </c>
      <c r="AR16" s="5">
        <f>NP_OP*SUM(NPuitkering_leeftijd!F17:F$49)/AVERAGE(Y16:Y$48)</f>
        <v>0.38372093023255782</v>
      </c>
      <c r="AS16" s="50">
        <f>IFERROR( AQ16*SUM(AK16:AK$48), 0)</f>
        <v>0.3545302096175415</v>
      </c>
      <c r="AT16" s="5">
        <f t="shared" si="15"/>
        <v>8.9810764731890723E-3</v>
      </c>
      <c r="AX16" s="20" cm="1">
        <f t="array" ref="AX16">IFERROR( $K16*SUMPRODUCT($P16:$P91, $C$6:$C$81, 1-$T16:$T91)/MIN($P15,1), 0)</f>
        <v>1.7555653385273103E-2</v>
      </c>
      <c r="AY16" s="5">
        <f t="shared" si="16"/>
        <v>0</v>
      </c>
      <c r="BC16" s="20" cm="1">
        <f t="array" ref="BC16">IFERROR($K16*SUMPRODUCT($P16:$P91, $C$6:$C$81, 1-$T16:$T91)/MIN($P16,1), 0)</f>
        <v>1.75677151373239E-2</v>
      </c>
      <c r="BD16" s="5">
        <f>BC16*Settings!$I$3*$W16/$Y16</f>
        <v>1.2548367955231357E-2</v>
      </c>
      <c r="BG16" s="20">
        <f t="shared" si="47"/>
        <v>6.5855111579803914E-3</v>
      </c>
      <c r="BH16" s="5">
        <f>BG16*Settings!I$7*W16/$Y16</f>
        <v>4.7039365414145657E-3</v>
      </c>
      <c r="BI16" s="5">
        <f>BG16*Settings!I$7*$X16/$Y16</f>
        <v>4.7039365414145657E-3</v>
      </c>
      <c r="BJ16" s="5">
        <f>BG16*Settings!I$7*MAX(W16-voltijdfranchise/1000, 0)/$Y16</f>
        <v>3.2927555789901957E-3</v>
      </c>
      <c r="BM16" s="15" cm="1">
        <f t="array" ref="BM16">IFERROR( $K16*SUMPRODUCT($P16:$P91, $C$6:$C$81, 1-$T16:$T91)/MIN($P16,1), 0)</f>
        <v>1.75677151373239E-2</v>
      </c>
      <c r="BN16" s="5">
        <f>BM16*Settings!I$3*$W16/$Y16</f>
        <v>1.2548367955231357E-2</v>
      </c>
      <c r="BQ16" s="15"/>
      <c r="BR16" s="15">
        <f t="shared" si="48"/>
        <v>0.1403807951986355</v>
      </c>
      <c r="BS16" s="15">
        <f>BM16*(Settings!I$4*$W16/$Y16  - BR16)</f>
        <v>1.0082198134430724E-2</v>
      </c>
      <c r="BV16" s="20">
        <f t="shared" si="49"/>
        <v>6.5855111579803914E-3</v>
      </c>
      <c r="BW16" s="20">
        <f t="shared" si="50"/>
        <v>2.6182780874828513</v>
      </c>
      <c r="BX16" s="20">
        <f t="shared" si="51"/>
        <v>0.38193040104512949</v>
      </c>
      <c r="BY16" s="5">
        <f>IFERROR(Settings!O$5*AVERAGE(Y$6:Y$48)/SUMPRODUCT(Y$6:Y$48, BX$6:BX$48), 0)</f>
        <v>3.4197010420295985E-2</v>
      </c>
      <c r="BZ16" s="14">
        <f>IFERROR(BY16*SUMPRODUCT(Y16:Y$48, BX16:BX$48)/AVERAGE(Y16:Y$48), 0)</f>
        <v>0.35885731725172532</v>
      </c>
      <c r="CA16" s="5">
        <f t="shared" si="52"/>
        <v>2.2772463097119099E-3</v>
      </c>
      <c r="CB16" s="5"/>
      <c r="CC16" s="5"/>
      <c r="CD16" s="20">
        <f t="shared" si="53"/>
        <v>2.4153226295304284E-2</v>
      </c>
      <c r="CE16" s="20">
        <f t="shared" si="54"/>
        <v>1.7074508184194805</v>
      </c>
      <c r="CF16" s="73">
        <f t="shared" si="55"/>
        <v>0.58566840649949747</v>
      </c>
      <c r="CG16" s="5" cm="1">
        <f t="array" ref="CG16">IFERROR(Settings!O$6*AVERAGE(Y$6:Y$48)/SUMPRODUCT(Y$6:Y$48,1/CE$6:CE$48), 0)</f>
        <v>2.3794373702957207E-2</v>
      </c>
      <c r="CI16" s="18">
        <f t="shared" si="9"/>
        <v>35</v>
      </c>
      <c r="CJ16" s="90">
        <f t="shared" si="17"/>
        <v>3.7339348739914416E-2</v>
      </c>
      <c r="CK16" s="104">
        <f t="shared" si="18"/>
        <v>8.9810764731890723E-3</v>
      </c>
      <c r="CL16" s="106">
        <f t="shared" si="19"/>
        <v>0</v>
      </c>
      <c r="CM16" s="89">
        <f t="shared" si="20"/>
        <v>3.9159687171057347E-2</v>
      </c>
      <c r="CN16" s="104">
        <f t="shared" si="21"/>
        <v>8.6800003700365971E-3</v>
      </c>
      <c r="CO16" s="106">
        <f t="shared" si="22"/>
        <v>0</v>
      </c>
      <c r="CP16" s="89">
        <f t="shared" si="23"/>
        <v>2.3794373702957207E-2</v>
      </c>
      <c r="CQ16" s="87">
        <f t="shared" si="24"/>
        <v>1.2548367955231357E-2</v>
      </c>
      <c r="CR16" s="95">
        <f t="shared" si="25"/>
        <v>4.7039365414145657E-3</v>
      </c>
      <c r="CS16" s="96">
        <f t="shared" si="26"/>
        <v>4.7039365414145657E-3</v>
      </c>
      <c r="CT16" s="97">
        <f t="shared" si="27"/>
        <v>3.2927555789901957E-3</v>
      </c>
      <c r="CU16" s="89">
        <f t="shared" si="28"/>
        <v>3.4197010420295985E-2</v>
      </c>
      <c r="CV16" s="87">
        <f t="shared" si="29"/>
        <v>1.2548367955231357E-2</v>
      </c>
      <c r="CW16" s="92">
        <f t="shared" si="30"/>
        <v>2.2772463097119099E-3</v>
      </c>
      <c r="CX16" s="89">
        <f t="shared" si="31"/>
        <v>3.9159687171057347E-2</v>
      </c>
      <c r="CY16" s="87">
        <f t="shared" si="32"/>
        <v>1.0082198134430724E-2</v>
      </c>
      <c r="CZ16" s="115">
        <f t="shared" si="33"/>
        <v>2.2772463097119099E-3</v>
      </c>
      <c r="DA16" s="11"/>
      <c r="DB16">
        <f t="shared" si="10"/>
        <v>35</v>
      </c>
      <c r="DC16" s="11">
        <f t="shared" si="63"/>
        <v>4.6320425213103492E-2</v>
      </c>
      <c r="DD16" s="11">
        <f t="shared" si="64"/>
        <v>4.7839687541093946E-2</v>
      </c>
      <c r="DE16" s="11">
        <f t="shared" si="34"/>
        <v>4.1046678199603129E-2</v>
      </c>
      <c r="DF16" s="11">
        <f t="shared" si="35"/>
        <v>4.1046678199603129E-2</v>
      </c>
      <c r="DG16" s="11">
        <f t="shared" si="36"/>
        <v>3.9635497237178761E-2</v>
      </c>
      <c r="DH16" s="11">
        <f t="shared" si="37"/>
        <v>4.9022624685239255E-2</v>
      </c>
      <c r="DI16" s="11">
        <f t="shared" si="38"/>
        <v>5.1519131615199984E-2</v>
      </c>
      <c r="DL16" s="3">
        <v>67</v>
      </c>
      <c r="DM16" s="16">
        <f t="shared" si="62"/>
        <v>3.923089489069613E-2</v>
      </c>
      <c r="DN16" s="16">
        <f t="shared" si="62"/>
        <v>3.9159687171057347E-2</v>
      </c>
      <c r="DO16" s="16">
        <f t="shared" si="62"/>
        <v>0.12988037774277333</v>
      </c>
      <c r="DP16" s="16">
        <f t="shared" si="62"/>
        <v>0.12988037774277333</v>
      </c>
      <c r="DQ16" s="16">
        <f t="shared" si="62"/>
        <v>9.9817916122801012E-2</v>
      </c>
      <c r="DR16" s="16">
        <f t="shared" si="62"/>
        <v>4.0074809060204344E-2</v>
      </c>
      <c r="DS16" s="16">
        <f t="shared" si="62"/>
        <v>4.0923026763029856E-2</v>
      </c>
      <c r="DV16">
        <f t="shared" si="39"/>
        <v>35</v>
      </c>
      <c r="DW16" s="11">
        <f>SUMPRODUCT($B16:$B$48, $Y16:$Y$48, CK16:CK$48)/$B16/$Y16</f>
        <v>0.23651718017205223</v>
      </c>
      <c r="DX16" s="11">
        <f>SUMPRODUCT($B16:$B$48, $Y16:$Y$48, CN16:CN$48)/$B16/$Y16</f>
        <v>0.22653560659120126</v>
      </c>
      <c r="DY16" s="11" cm="1">
        <f t="array" ref="DY16">SUMPRODUCT($B16:$B$48, $Y16:$Y$48, $CQ16:$CQ$48 + CR16:CR$48)/$B16/$Y16</f>
        <v>1.2216170284729688</v>
      </c>
      <c r="DZ16" s="11" cm="1">
        <f t="array" ref="DZ16">SUMPRODUCT($B16:$B$48, $Y16:$Y$48, $CQ16:$CQ$48 + CS16:CS$48)/$B16/$Y16</f>
        <v>1.2216170284729688</v>
      </c>
      <c r="EA16" s="11" cm="1">
        <f t="array" ref="EA16">SUMPRODUCT($B16:$B$48, $Y16:$Y$48, $CQ16:$CQ$48 + CT16:CT$48)/$B16/$Y16</f>
        <v>1.0052174536764968</v>
      </c>
      <c r="EB16" s="11" cm="1">
        <f t="array" ref="EB16">SUMPRODUCT($B16:$B$48, $Y16:$Y$48, $CV16:$CV$48 + CW16:CW$48)/$B16/$Y16</f>
        <v>0.59170472737008328</v>
      </c>
      <c r="EC16" s="11" cm="1">
        <f t="array" ref="EC16">SUMPRODUCT($B16:$B$48, $Y16:$Y$48, $CY16:$CY$48 + CZ16:CZ$48)/$B16/$Y16</f>
        <v>0.36686691436174601</v>
      </c>
      <c r="EE16" s="73">
        <f>Settings!T24</f>
        <v>35</v>
      </c>
      <c r="EF16" s="14">
        <f>SUMPRODUCT($B16:$B$48, $Y16:$Y$48, CK16:CK$48)/$B16/$AD15</f>
        <v>0.11762783933575466</v>
      </c>
      <c r="EG16" s="14">
        <f>SUMPRODUCT($B16:$B$48, $Y16:$Y$48, CN16:CN$48)/$B16/$AD15</f>
        <v>0.11266367168995296</v>
      </c>
      <c r="EH16" s="14" cm="1">
        <f t="array" ref="EH16">SUMPRODUCT($B16:$B$48, $Y16:$Y$48, $CQ16:$CQ$48 + CR16:CR$48)/$B16/$AD15</f>
        <v>0.60755067116270345</v>
      </c>
      <c r="EI16" s="14" cm="1">
        <f t="array" ref="EI16">SUMPRODUCT($B16:$B$48, $Y16:$Y$48, $CQ16:$CQ$48 + CS16:CS$48)/$B16/$AD15</f>
        <v>0.60755067116270345</v>
      </c>
      <c r="EJ16" s="14" cm="1">
        <f t="array" ref="EJ16">SUMPRODUCT($B16:$B$48, $Y16:$Y$48, $CQ16:$CQ$48 + CT16:CT$48)/$B16/$AD15</f>
        <v>0.49992798431192881</v>
      </c>
      <c r="EK16" s="14" cm="1">
        <f t="array" ref="EK16">SUMPRODUCT($B16:$B$48, $Y16:$Y$48, $CV16:$CV$48 + CW16:CW$48)/$B16/$AD15</f>
        <v>0.29427438867089528</v>
      </c>
      <c r="EL16" s="14" cm="1">
        <f t="array" ref="EL16">SUMPRODUCT($B16:$B$48, $Y16:$Y$48, $CY16:$CY$48 + CZ16:CZ$48)/$B16/$AD15</f>
        <v>0.18245508604810745</v>
      </c>
    </row>
    <row r="17" spans="1:142" x14ac:dyDescent="0.25">
      <c r="A17">
        <v>11</v>
      </c>
      <c r="B17">
        <f>B16/(1+Settings!O$14)</f>
        <v>0.84893323322382686</v>
      </c>
      <c r="C17" s="73">
        <f>C16/(1+Settings!$O$15)</f>
        <v>0.84893323322382686</v>
      </c>
      <c r="D17" s="73">
        <f>D16/(1+Settings!$O$16)</f>
        <v>0.84893323322382686</v>
      </c>
      <c r="E17" s="73">
        <f>E16/(1+Settings!$O$17)</f>
        <v>0.84893323322382686</v>
      </c>
      <c r="F17" s="73">
        <f>F16/(1+Settings!$O$18)</f>
        <v>0.84893323322382686</v>
      </c>
      <c r="H17">
        <f>Grondslag!A13</f>
        <v>36</v>
      </c>
      <c r="I17" s="15">
        <f>IF(Settings!C$7="Unisex", overlevtafel!I43, IF(Settings!C$7="Man", overlevtafel!D43, IF(Settings!C$7="Vrouw",overlevtafel!G43) ) )/I$4</f>
        <v>0.99349325445124048</v>
      </c>
      <c r="J17" s="11">
        <f t="shared" si="58"/>
        <v>6.4194411491313996E-4</v>
      </c>
      <c r="K17" s="11">
        <f>IFERROR(J17/SUM(J17:J$100), 1)</f>
        <v>6.4573121280609206E-4</v>
      </c>
      <c r="M17" s="20">
        <v>26</v>
      </c>
      <c r="N17" s="73">
        <f>IF(Settings!D$7="Unisex", overlevtafel!Q33, IF(Settings!D$7="Man", overlevtafel!L33, IF(Settings!D$7="Vrouw",overlevtafel!O33) ) )</f>
        <v>97309.5</v>
      </c>
      <c r="O17" s="20">
        <f t="shared" si="59"/>
        <v>36</v>
      </c>
      <c r="P17" s="15">
        <f t="shared" si="40"/>
        <v>0.99349325445124048</v>
      </c>
      <c r="R17" s="73">
        <f>1*($H17&gt;=Settings!D$10)</f>
        <v>0</v>
      </c>
      <c r="S17" s="73">
        <f t="shared" si="41"/>
        <v>36</v>
      </c>
      <c r="T17" s="73">
        <f>1*($S17&gt;=Settings!D$10)</f>
        <v>0</v>
      </c>
      <c r="V17" s="18">
        <f t="shared" si="8"/>
        <v>36</v>
      </c>
      <c r="W17">
        <f>Grondslag!J13</f>
        <v>50</v>
      </c>
      <c r="X17" s="73">
        <f t="shared" si="12"/>
        <v>50</v>
      </c>
      <c r="Y17">
        <f>Grondslag!S13</f>
        <v>35</v>
      </c>
      <c r="AA17" s="54">
        <f t="shared" si="42"/>
        <v>9.7132322499450368</v>
      </c>
      <c r="AB17" s="14" cm="1">
        <f t="array" ref="AB17">IFERROR(Settings!O$3/NP_OP*AVERAGE(Y$6:Y$48)/SUM(Y$6:Y$48/AA$6:AA$48), 0)</f>
        <v>0.18717547021577788</v>
      </c>
      <c r="AC17" s="54">
        <f t="shared" si="43"/>
        <v>8.8337830260326076</v>
      </c>
      <c r="AD17" s="54">
        <f t="shared" si="13"/>
        <v>85.804586177476978</v>
      </c>
      <c r="AE17" s="14">
        <f t="shared" si="14"/>
        <v>0.25239380074378881</v>
      </c>
      <c r="AF17" s="52" cm="1">
        <f t="array" ref="AF17">IFERROR(AB17*SUMPRODUCT(Y17:Y$48,1/AA17:AA$48)/AVERAGE(Y$6:Y$48), 0)</f>
        <v>0.48116206640137521</v>
      </c>
      <c r="AG17" s="14" cm="1">
        <f t="array" ref="AG17">IFERROR( AB17*SUM(1/AA17:AA$48), 0)</f>
        <v>0.48116206640137532</v>
      </c>
      <c r="AI17" s="20">
        <f t="shared" si="60"/>
        <v>2.2401326471139984E-2</v>
      </c>
      <c r="AJ17" s="20">
        <f t="shared" si="44"/>
        <v>3.2390348006405048</v>
      </c>
      <c r="AK17" s="20">
        <f t="shared" si="45"/>
        <v>0.30873394747171423</v>
      </c>
      <c r="AL17" s="5">
        <f>IFERROR( Settings!O$3*AVERAGE(Y$6:Y$48)/SUMPRODUCT(Y$6:Y$48, AK$6:AK$48), 0)</f>
        <v>3.9159687171057347E-2</v>
      </c>
      <c r="AM17" s="52">
        <f>IFERROR( AL17*SUMPRODUCT(Y17:Y$48, AK17:AK$48)/AVERAGE(Y$6:Y$48), 0)</f>
        <v>0.35961920480136461</v>
      </c>
      <c r="AN17" s="14">
        <f>IFERROR(AL17*SUM(AK17:AK$48),0)</f>
        <v>0.35961920480136461</v>
      </c>
      <c r="AO17" s="5">
        <f t="shared" si="46"/>
        <v>7.7851168595442378E-3</v>
      </c>
      <c r="AQ17" s="5">
        <f>NP_OP*NPuitkering_leeftijd!F18*AJ17/Y17</f>
        <v>3.7663195356284943E-2</v>
      </c>
      <c r="AR17" s="5">
        <f>NP_OP*SUM(NPuitkering_leeftijd!F18:F$49)/AVERAGE(Y17:Y$48)</f>
        <v>0.37209302325581367</v>
      </c>
      <c r="AS17" s="50">
        <f>IFERROR( AQ17*SUM(AK17:AK$48), 0)</f>
        <v>0.34587631676271963</v>
      </c>
      <c r="AT17" s="5">
        <f t="shared" si="15"/>
        <v>8.074896751224872E-3</v>
      </c>
      <c r="AX17" s="20" cm="1">
        <f t="array" ref="AX17">IFERROR( $K17*SUMPRODUCT($P17:$P92, $C$6:$C$81, 1-$T17:$T92)/MIN($P16,1), 0)</f>
        <v>1.6114772625753386E-2</v>
      </c>
      <c r="AY17" s="5">
        <f t="shared" si="16"/>
        <v>0</v>
      </c>
      <c r="BC17" s="20" cm="1">
        <f t="array" ref="BC17">IFERROR($K17*SUMPRODUCT($P17:$P92, $C$6:$C$81, 1-$T17:$T92)/MIN($P17,1), 0)</f>
        <v>1.6125185160920503E-2</v>
      </c>
      <c r="BD17" s="5">
        <f>BC17*Settings!$I$3*$W17/$Y17</f>
        <v>1.1517989400657503E-2</v>
      </c>
      <c r="BG17" s="20">
        <f t="shared" si="47"/>
        <v>6.2906158923366363E-3</v>
      </c>
      <c r="BH17" s="5">
        <f>BG17*Settings!I$7*W17/$Y17</f>
        <v>4.4932970659547402E-3</v>
      </c>
      <c r="BI17" s="5">
        <f>BG17*Settings!I$7*$X17/$Y17</f>
        <v>4.4932970659547402E-3</v>
      </c>
      <c r="BJ17" s="5">
        <f>BG17*Settings!I$7*MAX(W17-voltijdfranchise/1000, 0)/$Y17</f>
        <v>3.1453079461683181E-3</v>
      </c>
      <c r="BM17" s="15" cm="1">
        <f t="array" ref="BM17">IFERROR( $K17*SUMPRODUCT($P17:$P92, $C$6:$C$81, 1-$T17:$T92)/MIN($P17,1), 0)</f>
        <v>1.6125185160920503E-2</v>
      </c>
      <c r="BN17" s="5">
        <f>BM17*Settings!I$3*$W17/$Y17</f>
        <v>1.1517989400657503E-2</v>
      </c>
      <c r="BQ17" s="15"/>
      <c r="BR17" s="15">
        <f t="shared" si="48"/>
        <v>0.15247072000071349</v>
      </c>
      <c r="BS17" s="15">
        <f>BM17*(Settings!I$4*$W17/$Y17  - BR17)</f>
        <v>9.0593708090271324E-3</v>
      </c>
      <c r="BV17" s="20">
        <f t="shared" si="49"/>
        <v>6.2906158923366363E-3</v>
      </c>
      <c r="BW17" s="20">
        <f t="shared" si="50"/>
        <v>2.6542947808388742</v>
      </c>
      <c r="BX17" s="20">
        <f t="shared" si="51"/>
        <v>0.3767479057785571</v>
      </c>
      <c r="BY17" s="5">
        <f>IFERROR(Settings!O$5*AVERAGE(Y$6:Y$48)/SUMPRODUCT(Y$6:Y$48, BX$6:BX$48), 0)</f>
        <v>3.4197010420295985E-2</v>
      </c>
      <c r="BZ17" s="14">
        <f>IFERROR(BY17*SUMPRODUCT(Y17:Y$48, BX17:BX$48)/AVERAGE(Y17:Y$48), 0)</f>
        <v>0.3457964393473571</v>
      </c>
      <c r="CA17" s="5">
        <f t="shared" si="52"/>
        <v>2.0942264704736078E-3</v>
      </c>
      <c r="CB17" s="5"/>
      <c r="CC17" s="5"/>
      <c r="CD17" s="20">
        <f t="shared" si="53"/>
        <v>2.2415801053257141E-2</v>
      </c>
      <c r="CE17" s="20">
        <f t="shared" si="54"/>
        <v>1.7353029372340327</v>
      </c>
      <c r="CF17" s="73">
        <f t="shared" si="55"/>
        <v>0.57626825757232858</v>
      </c>
      <c r="CG17" s="5" cm="1">
        <f t="array" ref="CG17">IFERROR(Settings!O$6*AVERAGE(Y$6:Y$48)/SUMPRODUCT(Y$6:Y$48,1/CE$6:CE$48), 0)</f>
        <v>2.3794373702957207E-2</v>
      </c>
      <c r="CI17" s="18">
        <f t="shared" si="9"/>
        <v>36</v>
      </c>
      <c r="CJ17" s="90">
        <f t="shared" si="17"/>
        <v>3.7663195356284943E-2</v>
      </c>
      <c r="CK17" s="104">
        <f t="shared" si="18"/>
        <v>8.074896751224872E-3</v>
      </c>
      <c r="CL17" s="106">
        <f t="shared" si="19"/>
        <v>0</v>
      </c>
      <c r="CM17" s="89">
        <f t="shared" si="20"/>
        <v>3.9159687171057347E-2</v>
      </c>
      <c r="CN17" s="104">
        <f t="shared" si="21"/>
        <v>7.7851168595442378E-3</v>
      </c>
      <c r="CO17" s="106">
        <f t="shared" si="22"/>
        <v>0</v>
      </c>
      <c r="CP17" s="89">
        <f t="shared" si="23"/>
        <v>2.3794373702957207E-2</v>
      </c>
      <c r="CQ17" s="87">
        <f t="shared" si="24"/>
        <v>1.1517989400657503E-2</v>
      </c>
      <c r="CR17" s="95">
        <f t="shared" si="25"/>
        <v>4.4932970659547402E-3</v>
      </c>
      <c r="CS17" s="96">
        <f t="shared" si="26"/>
        <v>4.4932970659547402E-3</v>
      </c>
      <c r="CT17" s="97">
        <f t="shared" si="27"/>
        <v>3.1453079461683181E-3</v>
      </c>
      <c r="CU17" s="89">
        <f t="shared" si="28"/>
        <v>3.4197010420295985E-2</v>
      </c>
      <c r="CV17" s="87">
        <f t="shared" si="29"/>
        <v>1.1517989400657503E-2</v>
      </c>
      <c r="CW17" s="92">
        <f t="shared" si="30"/>
        <v>2.0942264704736078E-3</v>
      </c>
      <c r="CX17" s="89">
        <f t="shared" si="31"/>
        <v>3.9159687171057347E-2</v>
      </c>
      <c r="CY17" s="87">
        <f t="shared" si="32"/>
        <v>9.0593708090271324E-3</v>
      </c>
      <c r="CZ17" s="115">
        <f t="shared" si="33"/>
        <v>2.0942264704736078E-3</v>
      </c>
      <c r="DA17" s="11"/>
      <c r="DB17">
        <f t="shared" si="10"/>
        <v>36</v>
      </c>
      <c r="DC17" s="11">
        <f t="shared" si="63"/>
        <v>4.5738092107509815E-2</v>
      </c>
      <c r="DD17" s="11">
        <f t="shared" si="64"/>
        <v>4.6944804030601583E-2</v>
      </c>
      <c r="DE17" s="11">
        <f t="shared" si="34"/>
        <v>3.9805660169569455E-2</v>
      </c>
      <c r="DF17" s="11">
        <f t="shared" si="35"/>
        <v>3.9805660169569455E-2</v>
      </c>
      <c r="DG17" s="11">
        <f t="shared" si="36"/>
        <v>3.8457671049783031E-2</v>
      </c>
      <c r="DH17" s="11">
        <f t="shared" si="37"/>
        <v>4.7809226291427101E-2</v>
      </c>
      <c r="DI17" s="11">
        <f t="shared" si="38"/>
        <v>5.0313284450558091E-2</v>
      </c>
      <c r="DV17">
        <f t="shared" si="39"/>
        <v>36</v>
      </c>
      <c r="DW17" s="11">
        <f>SUMPRODUCT($B17:$B$48, $Y17:$Y$48, CK17:CK$48)/$B17/$Y17</f>
        <v>0.23094914525434607</v>
      </c>
      <c r="DX17" s="11">
        <f>SUMPRODUCT($B17:$B$48, $Y17:$Y$48, CN17:CN$48)/$B17/$Y17</f>
        <v>0.22112344031448211</v>
      </c>
      <c r="DY17" s="11" cm="1">
        <f t="array" ref="DY17">SUMPRODUCT($B17:$B$48, $Y17:$Y$48, $CQ17:$CQ$48 + CR17:CR$48)/$B17/$Y17</f>
        <v>1.2224301948359673</v>
      </c>
      <c r="DZ17" s="11" cm="1">
        <f t="array" ref="DZ17">SUMPRODUCT($B17:$B$48, $Y17:$Y$48, $CQ17:$CQ$48 + CS17:CS$48)/$B17/$Y17</f>
        <v>1.2224301948359673</v>
      </c>
      <c r="EA17" s="11" cm="1">
        <f t="array" ref="EA17">SUMPRODUCT($B17:$B$48, $Y17:$Y$48, $CQ17:$CQ$48 + CT17:CT$48)/$B17/$Y17</f>
        <v>1.0042169750944092</v>
      </c>
      <c r="EB17" s="11" cm="1">
        <f t="array" ref="EB17">SUMPRODUCT($B17:$B$48, $Y17:$Y$48, $CV17:$CV$48 + CW17:CW$48)/$B17/$Y17</f>
        <v>0.58553229980171706</v>
      </c>
      <c r="EC17" s="11" cm="1">
        <f t="array" ref="EC17">SUMPRODUCT($B17:$B$48, $Y17:$Y$48, $CY17:$CY$48 + CZ17:CZ$48)/$B17/$Y17</f>
        <v>0.35982508196636737</v>
      </c>
      <c r="EE17" s="73">
        <f>Settings!T25</f>
        <v>36</v>
      </c>
      <c r="EF17" s="14">
        <f>SUMPRODUCT($B17:$B$48, $Y17:$Y$48, CK17:CK$48)/$B17/$AD16</f>
        <v>0.10358905744573665</v>
      </c>
      <c r="EG17" s="14">
        <f>SUMPRODUCT($B17:$B$48, $Y17:$Y$48, CN17:CN$48)/$B17/$AD16</f>
        <v>9.9181872858240233E-2</v>
      </c>
      <c r="EH17" s="14" cm="1">
        <f t="array" ref="EH17">SUMPRODUCT($B17:$B$48, $Y17:$Y$48, $CQ17:$CQ$48 + CR17:CR$48)/$B17/$AD16</f>
        <v>0.54830422315184169</v>
      </c>
      <c r="EI17" s="14" cm="1">
        <f t="array" ref="EI17">SUMPRODUCT($B17:$B$48, $Y17:$Y$48, $CQ17:$CQ$48 + CS17:CS$48)/$B17/$AD16</f>
        <v>0.54830422315184169</v>
      </c>
      <c r="EJ17" s="14" cm="1">
        <f t="array" ref="EJ17">SUMPRODUCT($B17:$B$48, $Y17:$Y$48, $CQ17:$CQ$48 + CT17:CT$48)/$B17/$AD16</f>
        <v>0.45042768963909408</v>
      </c>
      <c r="EK17" s="14" cm="1">
        <f t="array" ref="EK17">SUMPRODUCT($B17:$B$48, $Y17:$Y$48, $CV17:$CV$48 + CW17:CW$48)/$B17/$AD16</f>
        <v>0.26263244652278245</v>
      </c>
      <c r="EL17" s="14" cm="1">
        <f t="array" ref="EL17">SUMPRODUCT($B17:$B$48, $Y17:$Y$48, $CY17:$CY$48 + CZ17:CZ$48)/$B17/$AD16</f>
        <v>0.16139458340571405</v>
      </c>
    </row>
    <row r="18" spans="1:142" x14ac:dyDescent="0.25">
      <c r="A18">
        <v>12</v>
      </c>
      <c r="B18">
        <f>B17/(1+Settings!O$14)</f>
        <v>0.83638742189539594</v>
      </c>
      <c r="C18" s="73">
        <f>C17/(1+Settings!$O$15)</f>
        <v>0.83638742189539594</v>
      </c>
      <c r="D18" s="73">
        <f>D17/(1+Settings!$O$16)</f>
        <v>0.83638742189539594</v>
      </c>
      <c r="E18" s="73">
        <f>E17/(1+Settings!$O$17)</f>
        <v>0.83638742189539594</v>
      </c>
      <c r="F18" s="73">
        <f>F17/(1+Settings!$O$18)</f>
        <v>0.83638742189539594</v>
      </c>
      <c r="H18">
        <f>Grondslag!A14</f>
        <v>37</v>
      </c>
      <c r="I18" s="15">
        <f>IF(Settings!C$7="Unisex", overlevtafel!I44, IF(Settings!C$7="Man", overlevtafel!D44, IF(Settings!C$7="Vrouw",overlevtafel!G44) ) )/I$4</f>
        <v>0.99272292151334474</v>
      </c>
      <c r="J18" s="11">
        <f t="shared" si="58"/>
        <v>7.7033293789574575E-4</v>
      </c>
      <c r="K18" s="11">
        <f>IFERROR(J18/SUM(J18:J$100), 1)</f>
        <v>7.7537814123481092E-4</v>
      </c>
      <c r="M18" s="20">
        <v>27</v>
      </c>
      <c r="N18" s="73">
        <f>IF(Settings!D$7="Unisex", overlevtafel!Q34, IF(Settings!D$7="Man", overlevtafel!L34, IF(Settings!D$7="Vrouw",overlevtafel!O34) ) )</f>
        <v>97257</v>
      </c>
      <c r="O18" s="20">
        <f t="shared" si="59"/>
        <v>37</v>
      </c>
      <c r="P18" s="15">
        <f t="shared" si="40"/>
        <v>0.99272292151334474</v>
      </c>
      <c r="R18" s="73">
        <f>1*($H18&gt;=Settings!D$10)</f>
        <v>0</v>
      </c>
      <c r="S18" s="73">
        <f t="shared" si="41"/>
        <v>37</v>
      </c>
      <c r="T18" s="73">
        <f>1*($S18&gt;=Settings!D$10)</f>
        <v>0</v>
      </c>
      <c r="V18" s="18">
        <f t="shared" si="8"/>
        <v>37</v>
      </c>
      <c r="W18">
        <f>Grondslag!J14</f>
        <v>50</v>
      </c>
      <c r="X18" s="73">
        <f t="shared" si="12"/>
        <v>50</v>
      </c>
      <c r="Y18">
        <f>Grondslag!S14</f>
        <v>35</v>
      </c>
      <c r="AA18" s="54">
        <f t="shared" si="42"/>
        <v>9.8665913105238801</v>
      </c>
      <c r="AB18" s="14" cm="1">
        <f t="array" ref="AB18">IFERROR(Settings!O$3/NP_OP*AVERAGE(Y$6:Y$48)/SUM(Y$6:Y$48/AA$6:AA$48), 0)</f>
        <v>0.18717547021577788</v>
      </c>
      <c r="AC18" s="54">
        <f t="shared" si="43"/>
        <v>9.4977551367011284</v>
      </c>
      <c r="AD18" s="54">
        <f t="shared" si="13"/>
        <v>93.710468301258899</v>
      </c>
      <c r="AE18" s="14">
        <f t="shared" si="14"/>
        <v>0.27136443247717512</v>
      </c>
      <c r="AF18" s="52" cm="1">
        <f t="array" ref="AF18">IFERROR(AB18*SUMPRODUCT(Y18:Y$48,1/AA18:AA$48)/AVERAGE(Y$6:Y$48), 0)</f>
        <v>0.46189191354192544</v>
      </c>
      <c r="AG18" s="14" cm="1">
        <f t="array" ref="AG18">IFERROR( AB18*SUM(1/AA18:AA$48), 0)</f>
        <v>0.46189191354192555</v>
      </c>
      <c r="AI18" s="20">
        <f t="shared" si="60"/>
        <v>2.6533081628903266E-2</v>
      </c>
      <c r="AJ18" s="20">
        <f t="shared" si="44"/>
        <v>3.269951908849182</v>
      </c>
      <c r="AK18" s="20">
        <f t="shared" si="45"/>
        <v>0.3058148951040498</v>
      </c>
      <c r="AL18" s="5">
        <f>IFERROR( Settings!O$3*AVERAGE(Y$6:Y$48)/SUMPRODUCT(Y$6:Y$48, AK$6:AK$48), 0)</f>
        <v>3.9159687171057347E-2</v>
      </c>
      <c r="AM18" s="52">
        <f>IFERROR( AL18*SUMPRODUCT(Y18:Y$48, AK18:AK$48)/AVERAGE(Y$6:Y$48), 0)</f>
        <v>0.34752927999928662</v>
      </c>
      <c r="AN18" s="14">
        <f>IFERROR(AL18*SUM(AK18:AK$48),0)</f>
        <v>0.34752927999928657</v>
      </c>
      <c r="AO18" s="5">
        <f t="shared" si="46"/>
        <v>8.9032727677331759E-3</v>
      </c>
      <c r="AQ18" s="5">
        <f>NP_OP*NPuitkering_leeftijd!F19*AJ18/Y18</f>
        <v>3.802269661452537E-2</v>
      </c>
      <c r="AR18" s="5">
        <f>NP_OP*SUM(NPuitkering_leeftijd!F19:F$49)/AVERAGE(Y18:Y$48)</f>
        <v>0.36046511627906952</v>
      </c>
      <c r="AS18" s="50">
        <f>IFERROR( AQ18*SUM(AK18:AK$48), 0)</f>
        <v>0.33743886462514155</v>
      </c>
      <c r="AT18" s="5">
        <f t="shared" si="15"/>
        <v>9.2557261496174111E-3</v>
      </c>
      <c r="AX18" s="20" cm="1">
        <f t="array" ref="AX18">IFERROR( $K18*SUMPRODUCT($P18:$P93, $C$6:$C$81, 1-$T18:$T93)/MIN($P17,1), 0)</f>
        <v>1.886615737548587E-2</v>
      </c>
      <c r="AY18" s="5">
        <f t="shared" si="16"/>
        <v>0</v>
      </c>
      <c r="BA18" s="122"/>
      <c r="BC18" s="20" cm="1">
        <f t="array" ref="BC18">IFERROR($K18*SUMPRODUCT($P18:$P93, $C$6:$C$81, 1-$T18:$T93)/MIN($P18,1), 0)</f>
        <v>1.888079713258517E-2</v>
      </c>
      <c r="BD18" s="5">
        <f>BC18*Settings!$I$3*$W18/$Y18</f>
        <v>1.3486283666132264E-2</v>
      </c>
      <c r="BG18" s="20">
        <f t="shared" si="47"/>
        <v>7.6728736317955735E-3</v>
      </c>
      <c r="BH18" s="5">
        <f>BG18*Settings!I$7*W18/$Y18</f>
        <v>5.4806240227111237E-3</v>
      </c>
      <c r="BI18" s="5">
        <f>BG18*Settings!I$7*$X18/$Y18</f>
        <v>5.4806240227111237E-3</v>
      </c>
      <c r="BJ18" s="5">
        <f>BG18*Settings!I$7*MAX(W18-voltijdfranchise/1000, 0)/$Y18</f>
        <v>3.8364368158977868E-3</v>
      </c>
      <c r="BM18" s="15" cm="1">
        <f t="array" ref="BM18">IFERROR( $K18*SUMPRODUCT($P18:$P93, $C$6:$C$81, 1-$T18:$T93)/MIN($P18,1), 0)</f>
        <v>1.888079713258517E-2</v>
      </c>
      <c r="BN18" s="5">
        <f>BM18*Settings!I$3*$W18/$Y18</f>
        <v>1.3486283666132264E-2</v>
      </c>
      <c r="BQ18" s="15"/>
      <c r="BR18" s="15">
        <f t="shared" si="48"/>
        <v>0.16444633562523781</v>
      </c>
      <c r="BS18" s="15">
        <f>BM18*(Settings!I$4*$W18/$Y18  - BR18)</f>
        <v>1.0381405763995136E-2</v>
      </c>
      <c r="BV18" s="20">
        <f t="shared" si="49"/>
        <v>7.6728736317955735E-3</v>
      </c>
      <c r="BW18" s="20">
        <f t="shared" si="50"/>
        <v>2.6918970853894972</v>
      </c>
      <c r="BX18" s="20">
        <f t="shared" si="51"/>
        <v>0.37148522706443199</v>
      </c>
      <c r="BY18" s="5">
        <f>IFERROR(Settings!O$5*AVERAGE(Y$6:Y$48)/SUMPRODUCT(Y$6:Y$48, BX$6:BX$48), 0)</f>
        <v>3.4197010420295985E-2</v>
      </c>
      <c r="BZ18" s="14">
        <f>IFERROR(BY18*SUMPRODUCT(Y18:Y$48, BX18:BX$48)/AVERAGE(Y18:Y$48), 0)</f>
        <v>0.33291278728762308</v>
      </c>
      <c r="CA18" s="5">
        <f t="shared" si="52"/>
        <v>2.456923983888421E-3</v>
      </c>
      <c r="CB18" s="5"/>
      <c r="CC18" s="5"/>
      <c r="CD18" s="20">
        <f t="shared" si="53"/>
        <v>2.655367076438073E-2</v>
      </c>
      <c r="CE18" s="20">
        <f t="shared" si="54"/>
        <v>1.7640670590416343</v>
      </c>
      <c r="CF18" s="73">
        <f t="shared" si="55"/>
        <v>0.56687187421507124</v>
      </c>
      <c r="CG18" s="5" cm="1">
        <f t="array" ref="CG18">IFERROR(Settings!O$6*AVERAGE(Y$6:Y$48)/SUMPRODUCT(Y$6:Y$48,1/CE$6:CE$48), 0)</f>
        <v>2.3794373702957207E-2</v>
      </c>
      <c r="CI18" s="18">
        <f t="shared" si="9"/>
        <v>37</v>
      </c>
      <c r="CJ18" s="90">
        <f t="shared" si="17"/>
        <v>3.802269661452537E-2</v>
      </c>
      <c r="CK18" s="104">
        <f t="shared" si="18"/>
        <v>9.2557261496174111E-3</v>
      </c>
      <c r="CL18" s="106">
        <f t="shared" si="19"/>
        <v>0</v>
      </c>
      <c r="CM18" s="89">
        <f t="shared" si="20"/>
        <v>3.9159687171057347E-2</v>
      </c>
      <c r="CN18" s="104">
        <f t="shared" si="21"/>
        <v>8.9032727677331759E-3</v>
      </c>
      <c r="CO18" s="106">
        <f t="shared" si="22"/>
        <v>0</v>
      </c>
      <c r="CP18" s="89">
        <f t="shared" si="23"/>
        <v>2.3794373702957207E-2</v>
      </c>
      <c r="CQ18" s="87">
        <f t="shared" si="24"/>
        <v>1.3486283666132264E-2</v>
      </c>
      <c r="CR18" s="95">
        <f t="shared" si="25"/>
        <v>5.4806240227111237E-3</v>
      </c>
      <c r="CS18" s="96">
        <f t="shared" si="26"/>
        <v>5.4806240227111237E-3</v>
      </c>
      <c r="CT18" s="97">
        <f t="shared" si="27"/>
        <v>3.8364368158977868E-3</v>
      </c>
      <c r="CU18" s="89">
        <f t="shared" si="28"/>
        <v>3.4197010420295985E-2</v>
      </c>
      <c r="CV18" s="87">
        <f t="shared" si="29"/>
        <v>1.3486283666132264E-2</v>
      </c>
      <c r="CW18" s="92">
        <f t="shared" si="30"/>
        <v>2.456923983888421E-3</v>
      </c>
      <c r="CX18" s="89">
        <f t="shared" si="31"/>
        <v>3.9159687171057347E-2</v>
      </c>
      <c r="CY18" s="87">
        <f t="shared" si="32"/>
        <v>1.0381405763995136E-2</v>
      </c>
      <c r="CZ18" s="115">
        <f t="shared" si="33"/>
        <v>2.456923983888421E-3</v>
      </c>
      <c r="DA18" s="11"/>
      <c r="DB18">
        <f t="shared" si="10"/>
        <v>37</v>
      </c>
      <c r="DC18" s="11">
        <f t="shared" si="63"/>
        <v>4.7278422764142777E-2</v>
      </c>
      <c r="DD18" s="11">
        <f t="shared" si="64"/>
        <v>4.806295993879052E-2</v>
      </c>
      <c r="DE18" s="11">
        <f t="shared" si="34"/>
        <v>4.276128139180059E-2</v>
      </c>
      <c r="DF18" s="11">
        <f t="shared" si="35"/>
        <v>4.276128139180059E-2</v>
      </c>
      <c r="DG18" s="11">
        <f t="shared" si="36"/>
        <v>4.1117094184987255E-2</v>
      </c>
      <c r="DH18" s="11">
        <f t="shared" si="37"/>
        <v>5.0140218070316669E-2</v>
      </c>
      <c r="DI18" s="11">
        <f t="shared" si="38"/>
        <v>5.1998016918940904E-2</v>
      </c>
      <c r="DV18">
        <f t="shared" si="39"/>
        <v>37</v>
      </c>
      <c r="DW18" s="11">
        <f>SUMPRODUCT($B18:$B$48, $Y18:$Y$48, CK18:CK$48)/$B18/$Y18</f>
        <v>0.22621736223066799</v>
      </c>
      <c r="DX18" s="11">
        <f>SUMPRODUCT($B18:$B$48, $Y18:$Y$48, CN18:CN$48)/$B18/$Y18</f>
        <v>0.21653839830676194</v>
      </c>
      <c r="DY18" s="11" cm="1">
        <f t="array" ref="DY18">SUMPRODUCT($B18:$B$48, $Y18:$Y$48, $CQ18:$CQ$48 + CR18:CR$48)/$B18/$Y18</f>
        <v>1.2245151919948953</v>
      </c>
      <c r="DZ18" s="11" cm="1">
        <f t="array" ref="DZ18">SUMPRODUCT($B18:$B$48, $Y18:$Y$48, $CQ18:$CQ$48 + CS18:CS$48)/$B18/$Y18</f>
        <v>1.2245151919948953</v>
      </c>
      <c r="EA18" s="11" cm="1">
        <f t="array" ref="EA18">SUMPRODUCT($B18:$B$48, $Y18:$Y$48, $CQ18:$CQ$48 + CT18:CT$48)/$B18/$Y18</f>
        <v>1.0043969829137971</v>
      </c>
      <c r="EB18" s="11" cm="1">
        <f t="array" ref="EB18">SUMPRODUCT($B18:$B$48, $Y18:$Y$48, $CV18:$CV$48 + CW18:CW$48)/$B18/$Y18</f>
        <v>0.58049888518954462</v>
      </c>
      <c r="EC18" s="11" cm="1">
        <f t="array" ref="EC18">SUMPRODUCT($B18:$B$48, $Y18:$Y$48, $CY18:$CY$48 + CZ18:CZ$48)/$B18/$Y18</f>
        <v>0.35390155695716963</v>
      </c>
      <c r="EE18" s="73">
        <f>Settings!T26</f>
        <v>37</v>
      </c>
      <c r="EF18" s="14">
        <f>SUMPRODUCT($B18:$B$48, $Y18:$Y$48, CK18:CK$48)/$B18/$AD17</f>
        <v>9.2274877495437294E-2</v>
      </c>
      <c r="EG18" s="14">
        <f>SUMPRODUCT($B18:$B$48, $Y18:$Y$48, CN18:CN$48)/$B18/$AD17</f>
        <v>8.8326793221293512E-2</v>
      </c>
      <c r="EH18" s="14" cm="1">
        <f t="array" ref="EH18">SUMPRODUCT($B18:$B$48, $Y18:$Y$48, $CQ18:$CQ$48 + CR18:CR$48)/$B18/$AD17</f>
        <v>0.4994841608020158</v>
      </c>
      <c r="EI18" s="14" cm="1">
        <f t="array" ref="EI18">SUMPRODUCT($B18:$B$48, $Y18:$Y$48, $CQ18:$CQ$48 + CS18:CS$48)/$B18/$AD17</f>
        <v>0.4994841608020158</v>
      </c>
      <c r="EJ18" s="14" cm="1">
        <f t="array" ref="EJ18">SUMPRODUCT($B18:$B$48, $Y18:$Y$48, $CQ18:$CQ$48 + CT18:CT$48)/$B18/$AD17</f>
        <v>0.40969714986179273</v>
      </c>
      <c r="EK18" s="14" cm="1">
        <f t="array" ref="EK18">SUMPRODUCT($B18:$B$48, $Y18:$Y$48, $CV18:$CV$48 + CW18:CW$48)/$B18/$AD17</f>
        <v>0.23678758778242592</v>
      </c>
      <c r="EL18" s="14" cm="1">
        <f t="array" ref="EL18">SUMPRODUCT($B18:$B$48, $Y18:$Y$48, $CY18:$CY$48 + CZ18:CZ$48)/$B18/$AD17</f>
        <v>0.14435772078523593</v>
      </c>
    </row>
    <row r="19" spans="1:142" x14ac:dyDescent="0.25">
      <c r="A19">
        <v>13</v>
      </c>
      <c r="B19">
        <f>B18/(1+Settings!O$14)</f>
        <v>0.82402701664571032</v>
      </c>
      <c r="C19" s="73">
        <f>C18/(1+Settings!$O$15)</f>
        <v>0.82402701664571032</v>
      </c>
      <c r="D19" s="73">
        <f>D18/(1+Settings!$O$16)</f>
        <v>0.82402701664571032</v>
      </c>
      <c r="E19" s="73">
        <f>E18/(1+Settings!$O$17)</f>
        <v>0.82402701664571032</v>
      </c>
      <c r="F19" s="73">
        <f>F18/(1+Settings!$O$18)</f>
        <v>0.82402701664571032</v>
      </c>
      <c r="H19">
        <f>Grondslag!A15</f>
        <v>38</v>
      </c>
      <c r="I19" s="15">
        <f>IF(Settings!C$7="Unisex", overlevtafel!I45, IF(Settings!C$7="Man", overlevtafel!D45, IF(Settings!C$7="Vrouw",overlevtafel!G45) ) )/I$4</f>
        <v>0.991885826387498</v>
      </c>
      <c r="J19" s="11">
        <f t="shared" si="58"/>
        <v>8.3709512584673185E-4</v>
      </c>
      <c r="K19" s="11">
        <f>IFERROR(J19/SUM(J19:J$100), 1)</f>
        <v>8.4323140334000219E-4</v>
      </c>
      <c r="M19" s="20">
        <v>28</v>
      </c>
      <c r="N19" s="73">
        <f>IF(Settings!D$7="Unisex", overlevtafel!Q35, IF(Settings!D$7="Man", overlevtafel!L35, IF(Settings!D$7="Vrouw",overlevtafel!O35) ) )</f>
        <v>97204.5</v>
      </c>
      <c r="O19" s="20">
        <f t="shared" si="59"/>
        <v>38</v>
      </c>
      <c r="P19" s="15">
        <f t="shared" si="40"/>
        <v>0.991885826387498</v>
      </c>
      <c r="R19" s="73">
        <f>1*($H19&gt;=Settings!D$10)</f>
        <v>0</v>
      </c>
      <c r="S19" s="73">
        <f t="shared" si="41"/>
        <v>38</v>
      </c>
      <c r="T19" s="73">
        <f>1*($S19&gt;=Settings!D$10)</f>
        <v>0</v>
      </c>
      <c r="V19" s="18">
        <f t="shared" si="8"/>
        <v>38</v>
      </c>
      <c r="W19">
        <f>Grondslag!J15</f>
        <v>50</v>
      </c>
      <c r="X19" s="73">
        <f t="shared" si="12"/>
        <v>50</v>
      </c>
      <c r="Y19">
        <f>Grondslag!S15</f>
        <v>35</v>
      </c>
      <c r="AA19" s="54">
        <f t="shared" si="42"/>
        <v>10.023046259086025</v>
      </c>
      <c r="AB19" s="14" cm="1">
        <f t="array" ref="AB19">IFERROR(Settings!O$3/NP_OP*AVERAGE(Y$6:Y$48)/SUM(Y$6:Y$48/AA$6:AA$48), 0)</f>
        <v>0.18717547021577788</v>
      </c>
      <c r="AC19" s="54">
        <f t="shared" si="43"/>
        <v>10.151362960930566</v>
      </c>
      <c r="AD19" s="54">
        <f t="shared" si="13"/>
        <v>101.74758055017953</v>
      </c>
      <c r="AE19" s="14">
        <f t="shared" si="14"/>
        <v>0.2900389417408733</v>
      </c>
      <c r="AF19" s="52" cm="1">
        <f t="array" ref="AF19">IFERROR(AB19*SUMPRODUCT(Y19:Y$48,1/AA19:AA$48)/AVERAGE(Y$6:Y$48), 0)</f>
        <v>0.44292128180853912</v>
      </c>
      <c r="AG19" s="14" cm="1">
        <f t="array" ref="AG19">IFERROR( AB19*SUM(1/AA19:AA$48), 0)</f>
        <v>0.44292128180853924</v>
      </c>
      <c r="AI19" s="20">
        <f t="shared" si="60"/>
        <v>2.8454662105203615E-2</v>
      </c>
      <c r="AJ19" s="20">
        <f t="shared" si="44"/>
        <v>3.297629093616063</v>
      </c>
      <c r="AK19" s="20">
        <f t="shared" si="45"/>
        <v>0.30324817364570117</v>
      </c>
      <c r="AL19" s="5">
        <f>IFERROR( Settings!O$3*AVERAGE(Y$6:Y$48)/SUMPRODUCT(Y$6:Y$48, AK$6:AK$48), 0)</f>
        <v>3.9159687171057347E-2</v>
      </c>
      <c r="AM19" s="52">
        <f>IFERROR( AL19*SUMPRODUCT(Y19:Y$48, AK19:AK$48)/AVERAGE(Y$6:Y$48), 0)</f>
        <v>0.33555366437476231</v>
      </c>
      <c r="AN19" s="14">
        <f>IFERROR(AL19*SUM(AK19:AK$48),0)</f>
        <v>0.33555366437476225</v>
      </c>
      <c r="AO19" s="5">
        <f t="shared" si="46"/>
        <v>9.210164077113097E-3</v>
      </c>
      <c r="AQ19" s="5">
        <f>NP_OP*NPuitkering_leeftijd!F20*AJ19/Y19</f>
        <v>3.8344524344372827E-2</v>
      </c>
      <c r="AR19" s="5">
        <f>NP_OP*SUM(NPuitkering_leeftijd!F20:F$49)/AVERAGE(Y19:Y$48)</f>
        <v>0.34883720930232531</v>
      </c>
      <c r="AS19" s="50">
        <f>IFERROR( AQ19*SUM(AK19:AK$48), 0)</f>
        <v>0.32856865266204754</v>
      </c>
      <c r="AT19" s="5">
        <f t="shared" si="15"/>
        <v>9.5951767564058637E-3</v>
      </c>
      <c r="AX19" s="20" cm="1">
        <f t="array" ref="AX19">IFERROR( $K19*SUMPRODUCT($P19:$P94, $C$6:$C$81, 1-$T19:$T94)/MIN($P18,1), 0)</f>
        <v>1.9985169697225681E-2</v>
      </c>
      <c r="AY19" s="5">
        <f t="shared" si="16"/>
        <v>0</v>
      </c>
      <c r="BC19" s="20" cm="1">
        <f t="array" ref="BC19">IFERROR($K19*SUMPRODUCT($P19:$P94, $C$6:$C$81, 1-$T19:$T94)/MIN($P19,1), 0)</f>
        <v>2.0002036041816669E-2</v>
      </c>
      <c r="BD19" s="5">
        <f>BC19*Settings!$I$3*$W19/$Y19</f>
        <v>1.428716860129762E-2</v>
      </c>
      <c r="BG19" s="20">
        <f t="shared" si="47"/>
        <v>8.4766401770300821E-3</v>
      </c>
      <c r="BH19" s="5">
        <f>BG19*Settings!I$7*W19/$Y19</f>
        <v>6.0547429835929164E-3</v>
      </c>
      <c r="BI19" s="5">
        <f>BG19*Settings!I$7*$X19/$Y19</f>
        <v>6.0547429835929164E-3</v>
      </c>
      <c r="BJ19" s="5">
        <f>BG19*Settings!I$7*MAX(W19-voltijdfranchise/1000, 0)/$Y19</f>
        <v>4.2383200885150411E-3</v>
      </c>
      <c r="BM19" s="15" cm="1">
        <f t="array" ref="BM19">IFERROR( $K19*SUMPRODUCT($P19:$P94, $C$6:$C$81, 1-$T19:$T94)/MIN($P19,1), 0)</f>
        <v>2.0002036041816669E-2</v>
      </c>
      <c r="BN19" s="5">
        <f>BM19*Settings!I$3*$W19/$Y19</f>
        <v>1.428716860129762E-2</v>
      </c>
      <c r="BQ19" s="15"/>
      <c r="BR19" s="15">
        <f t="shared" si="48"/>
        <v>0.17632143924039795</v>
      </c>
      <c r="BS19" s="15">
        <f>BM19*(Settings!I$4*$W19/$Y19  - BR19)</f>
        <v>1.0760380818666194E-2</v>
      </c>
      <c r="BV19" s="20">
        <f t="shared" si="49"/>
        <v>8.4766401770300821E-3</v>
      </c>
      <c r="BW19" s="20">
        <f t="shared" si="50"/>
        <v>2.7290881400228932</v>
      </c>
      <c r="BX19" s="20">
        <f t="shared" si="51"/>
        <v>0.36642275686691872</v>
      </c>
      <c r="BY19" s="5">
        <f>IFERROR(Settings!O$5*AVERAGE(Y$6:Y$48)/SUMPRODUCT(Y$6:Y$48, BX$6:BX$48), 0)</f>
        <v>3.4197010420295985E-2</v>
      </c>
      <c r="BZ19" s="14">
        <f>IFERROR(BY19*SUMPRODUCT(Y19:Y$48, BX19:BX$48)/AVERAGE(Y19:Y$48), 0)</f>
        <v>0.32020910310671469</v>
      </c>
      <c r="CA19" s="5">
        <f t="shared" si="52"/>
        <v>2.6080802760787814E-3</v>
      </c>
      <c r="CB19" s="5"/>
      <c r="CC19" s="5"/>
      <c r="CD19" s="20">
        <f t="shared" si="53"/>
        <v>2.8478676218846748E-2</v>
      </c>
      <c r="CE19" s="20">
        <f t="shared" si="54"/>
        <v>1.7935515476144586</v>
      </c>
      <c r="CF19" s="73">
        <f t="shared" si="55"/>
        <v>0.55755297433746231</v>
      </c>
      <c r="CG19" s="5" cm="1">
        <f t="array" ref="CG19">IFERROR(Settings!O$6*AVERAGE(Y$6:Y$48)/SUMPRODUCT(Y$6:Y$48,1/CE$6:CE$48), 0)</f>
        <v>2.3794373702957207E-2</v>
      </c>
      <c r="CI19" s="18">
        <f t="shared" si="9"/>
        <v>38</v>
      </c>
      <c r="CJ19" s="90">
        <f t="shared" si="17"/>
        <v>3.8344524344372827E-2</v>
      </c>
      <c r="CK19" s="104">
        <f t="shared" si="18"/>
        <v>9.5951767564058637E-3</v>
      </c>
      <c r="CL19" s="106">
        <f t="shared" si="19"/>
        <v>0</v>
      </c>
      <c r="CM19" s="89">
        <f t="shared" si="20"/>
        <v>3.9159687171057347E-2</v>
      </c>
      <c r="CN19" s="104">
        <f t="shared" si="21"/>
        <v>9.210164077113097E-3</v>
      </c>
      <c r="CO19" s="106">
        <f t="shared" si="22"/>
        <v>0</v>
      </c>
      <c r="CP19" s="89">
        <f t="shared" si="23"/>
        <v>2.3794373702957207E-2</v>
      </c>
      <c r="CQ19" s="87">
        <f t="shared" si="24"/>
        <v>1.428716860129762E-2</v>
      </c>
      <c r="CR19" s="95">
        <f t="shared" si="25"/>
        <v>6.0547429835929164E-3</v>
      </c>
      <c r="CS19" s="96">
        <f t="shared" si="26"/>
        <v>6.0547429835929164E-3</v>
      </c>
      <c r="CT19" s="97">
        <f t="shared" si="27"/>
        <v>4.2383200885150411E-3</v>
      </c>
      <c r="CU19" s="89">
        <f t="shared" si="28"/>
        <v>3.4197010420295985E-2</v>
      </c>
      <c r="CV19" s="87">
        <f t="shared" si="29"/>
        <v>1.428716860129762E-2</v>
      </c>
      <c r="CW19" s="92">
        <f t="shared" si="30"/>
        <v>2.6080802760787814E-3</v>
      </c>
      <c r="CX19" s="89">
        <f t="shared" si="31"/>
        <v>3.9159687171057347E-2</v>
      </c>
      <c r="CY19" s="87">
        <f t="shared" si="32"/>
        <v>1.0760380818666194E-2</v>
      </c>
      <c r="CZ19" s="115">
        <f t="shared" si="33"/>
        <v>2.6080802760787814E-3</v>
      </c>
      <c r="DA19" s="11"/>
      <c r="DB19">
        <f t="shared" si="10"/>
        <v>38</v>
      </c>
      <c r="DC19" s="11">
        <f t="shared" si="63"/>
        <v>4.7939701100778692E-2</v>
      </c>
      <c r="DD19" s="11">
        <f t="shared" si="64"/>
        <v>4.8369851248170448E-2</v>
      </c>
      <c r="DE19" s="11">
        <f t="shared" si="34"/>
        <v>4.4136285287847743E-2</v>
      </c>
      <c r="DF19" s="11">
        <f t="shared" si="35"/>
        <v>4.4136285287847743E-2</v>
      </c>
      <c r="DG19" s="11">
        <f t="shared" si="36"/>
        <v>4.2319862392769865E-2</v>
      </c>
      <c r="DH19" s="11">
        <f t="shared" si="37"/>
        <v>5.1092259297672388E-2</v>
      </c>
      <c r="DI19" s="11">
        <f t="shared" si="38"/>
        <v>5.2528148265802321E-2</v>
      </c>
      <c r="DV19">
        <f t="shared" si="39"/>
        <v>38</v>
      </c>
      <c r="DW19" s="11">
        <f>SUMPRODUCT($B19:$B$48, $Y19:$Y$48, CK19:CK$48)/$B19/$Y19</f>
        <v>0.22021606062226634</v>
      </c>
      <c r="DX19" s="11">
        <f>SUMPRODUCT($B19:$B$48, $Y19:$Y$48, CN19:CN$48)/$B19/$Y19</f>
        <v>0.21074965242211421</v>
      </c>
      <c r="DY19" s="11" cm="1">
        <f t="array" ref="DY19">SUMPRODUCT($B19:$B$48, $Y19:$Y$48, $CQ19:$CQ$48 + CR19:CR$48)/$B19/$Y19</f>
        <v>1.2236315085706426</v>
      </c>
      <c r="DZ19" s="11" cm="1">
        <f t="array" ref="DZ19">SUMPRODUCT($B19:$B$48, $Y19:$Y$48, $CQ19:$CQ$48 + CS19:CS$48)/$B19/$Y19</f>
        <v>1.2236315085706426</v>
      </c>
      <c r="EA19" s="11" cm="1">
        <f t="array" ref="EA19">SUMPRODUCT($B19:$B$48, $Y19:$Y$48, $CQ19:$CQ$48 + CT19:CT$48)/$B19/$Y19</f>
        <v>1.0018803763682433</v>
      </c>
      <c r="EB19" s="11" cm="1">
        <f t="array" ref="EB19">SUMPRODUCT($B19:$B$48, $Y19:$Y$48, $CV19:$CV$48 + CW19:CW$48)/$B19/$Y19</f>
        <v>0.57302401270261694</v>
      </c>
      <c r="EC19" s="11" cm="1">
        <f t="array" ref="EC19">SUMPRODUCT($B19:$B$48, $Y19:$Y$48, $CY19:$CY$48 + CZ19:CZ$48)/$B19/$Y19</f>
        <v>0.34617917561742539</v>
      </c>
      <c r="EE19" s="73">
        <f>Settings!T27</f>
        <v>38</v>
      </c>
      <c r="EF19" s="14">
        <f>SUMPRODUCT($B19:$B$48, $Y19:$Y$48, CK19:CK$48)/$B19/$AD18</f>
        <v>8.2248677885176882E-2</v>
      </c>
      <c r="EG19" s="14">
        <f>SUMPRODUCT($B19:$B$48, $Y19:$Y$48, CN19:CN$48)/$B19/$AD18</f>
        <v>7.8713061288531685E-2</v>
      </c>
      <c r="EH19" s="14" cm="1">
        <f t="array" ref="EH19">SUMPRODUCT($B19:$B$48, $Y19:$Y$48, $CQ19:$CQ$48 + CR19:CR$48)/$B19/$AD18</f>
        <v>0.45701514010465316</v>
      </c>
      <c r="EI19" s="14" cm="1">
        <f t="array" ref="EI19">SUMPRODUCT($B19:$B$48, $Y19:$Y$48, $CQ19:$CQ$48 + CS19:CS$48)/$B19/$AD18</f>
        <v>0.45701514010465316</v>
      </c>
      <c r="EJ19" s="14" cm="1">
        <f t="array" ref="EJ19">SUMPRODUCT($B19:$B$48, $Y19:$Y$48, $CQ19:$CQ$48 + CT19:CT$48)/$B19/$AD18</f>
        <v>0.37419312707049451</v>
      </c>
      <c r="EK19" s="14" cm="1">
        <f t="array" ref="EK19">SUMPRODUCT($B19:$B$48, $Y19:$Y$48, $CV19:$CV$48 + CW19:CW$48)/$B19/$AD18</f>
        <v>0.21401921053383705</v>
      </c>
      <c r="EL19" s="14" cm="1">
        <f t="array" ref="EL19">SUMPRODUCT($B19:$B$48, $Y19:$Y$48, $CY19:$CY$48 + CZ19:CZ$48)/$B19/$AD18</f>
        <v>0.12929474546705599</v>
      </c>
    </row>
    <row r="20" spans="1:142" x14ac:dyDescent="0.25">
      <c r="A20">
        <v>14</v>
      </c>
      <c r="B20">
        <f>B19/(1+Settings!O$14)</f>
        <v>0.81184927748345848</v>
      </c>
      <c r="C20" s="73">
        <f>C19/(1+Settings!$O$15)</f>
        <v>0.81184927748345848</v>
      </c>
      <c r="D20" s="73">
        <f>D19/(1+Settings!$O$16)</f>
        <v>0.81184927748345848</v>
      </c>
      <c r="E20" s="73">
        <f>E19/(1+Settings!$O$17)</f>
        <v>0.81184927748345848</v>
      </c>
      <c r="F20" s="73">
        <f>F19/(1+Settings!$O$18)</f>
        <v>0.81184927748345848</v>
      </c>
      <c r="H20">
        <f>Grondslag!A16</f>
        <v>39</v>
      </c>
      <c r="I20" s="15">
        <f>IF(Settings!C$7="Unisex", overlevtafel!I46, IF(Settings!C$7="Man", overlevtafel!D46, IF(Settings!C$7="Vrouw",overlevtafel!G46) ) )/I$4</f>
        <v>0.99108468013208639</v>
      </c>
      <c r="J20" s="11">
        <f t="shared" si="58"/>
        <v>8.0114625541161111E-4</v>
      </c>
      <c r="K20" s="11">
        <f>IFERROR(J20/SUM(J20:J$100), 1)</f>
        <v>8.0770008986579401E-4</v>
      </c>
      <c r="M20" s="20">
        <v>29</v>
      </c>
      <c r="N20" s="73">
        <f>IF(Settings!D$7="Unisex", overlevtafel!Q36, IF(Settings!D$7="Man", overlevtafel!L36, IF(Settings!D$7="Vrouw",overlevtafel!O36) ) )</f>
        <v>97156.5</v>
      </c>
      <c r="O20" s="20">
        <f t="shared" si="59"/>
        <v>39</v>
      </c>
      <c r="P20" s="15">
        <f t="shared" si="40"/>
        <v>0.99108468013208639</v>
      </c>
      <c r="R20" s="73">
        <f>1*($H20&gt;=Settings!D$10)</f>
        <v>0</v>
      </c>
      <c r="S20" s="73">
        <f t="shared" si="41"/>
        <v>39</v>
      </c>
      <c r="T20" s="73">
        <f>1*($S20&gt;=Settings!D$10)</f>
        <v>0</v>
      </c>
      <c r="V20" s="18">
        <f t="shared" si="8"/>
        <v>39</v>
      </c>
      <c r="W20">
        <f>Grondslag!J16</f>
        <v>50</v>
      </c>
      <c r="X20" s="73">
        <f t="shared" si="12"/>
        <v>50</v>
      </c>
      <c r="Y20">
        <f>Grondslag!S16</f>
        <v>35</v>
      </c>
      <c r="AA20" s="54">
        <f t="shared" si="42"/>
        <v>10.181617438473788</v>
      </c>
      <c r="AB20" s="14" cm="1">
        <f t="array" ref="AB20">IFERROR(Settings!O$3/NP_OP*AVERAGE(Y$6:Y$48)/SUM(Y$6:Y$48/AA$6:AA$48), 0)</f>
        <v>0.18717547021577788</v>
      </c>
      <c r="AC20" s="54">
        <f t="shared" si="43"/>
        <v>10.794791325543549</v>
      </c>
      <c r="AD20" s="54">
        <f t="shared" si="13"/>
        <v>109.90843560483978</v>
      </c>
      <c r="AE20" s="14">
        <f t="shared" si="14"/>
        <v>0.30842260930124427</v>
      </c>
      <c r="AF20" s="52" cm="1">
        <f t="array" ref="AF20">IFERROR(AB20*SUMPRODUCT(Y20:Y$48,1/AA20:AA$48)/AVERAGE(Y$6:Y$48), 0)</f>
        <v>0.42424677254484094</v>
      </c>
      <c r="AG20" s="14" cm="1">
        <f t="array" ref="AG20">IFERROR( AB20*SUM(1/AA20:AA$48), 0)</f>
        <v>0.424246772544841</v>
      </c>
      <c r="AI20" s="20">
        <f t="shared" si="60"/>
        <v>2.6868032820649208E-2</v>
      </c>
      <c r="AJ20" s="20">
        <f t="shared" si="44"/>
        <v>3.3235787894216431</v>
      </c>
      <c r="AK20" s="20">
        <f t="shared" si="45"/>
        <v>0.3008804855726066</v>
      </c>
      <c r="AL20" s="5">
        <f>IFERROR( Settings!O$3*AVERAGE(Y$6:Y$48)/SUMPRODUCT(Y$6:Y$48, AK$6:AK$48), 0)</f>
        <v>3.9159687171057347E-2</v>
      </c>
      <c r="AM20" s="52">
        <f>IFERROR( AL20*SUMPRODUCT(Y20:Y$48, AK20:AK$48)/AVERAGE(Y$6:Y$48), 0)</f>
        <v>0.32367856075960211</v>
      </c>
      <c r="AN20" s="14">
        <f>IFERROR(AL20*SUM(AK20:AK$48),0)</f>
        <v>0.32367856075960216</v>
      </c>
      <c r="AO20" s="5">
        <f t="shared" si="46"/>
        <v>8.380036668380865E-3</v>
      </c>
      <c r="AQ20" s="5">
        <f>NP_OP*NPuitkering_leeftijd!F21*AJ20/Y20</f>
        <v>3.864626499327492E-2</v>
      </c>
      <c r="AR20" s="5">
        <f>NP_OP*SUM(NPuitkering_leeftijd!F21:F$49)/AVERAGE(Y20:Y$48)</f>
        <v>0.33720930232558116</v>
      </c>
      <c r="AS20" s="50">
        <f>IFERROR( AQ20*SUM(AK20:AK$48), 0)</f>
        <v>0.31943481512290306</v>
      </c>
      <c r="AT20" s="5">
        <f t="shared" si="15"/>
        <v>8.7477316160253175E-3</v>
      </c>
      <c r="AX20" s="20" cm="1">
        <f t="array" ref="AX20">IFERROR( $K20*SUMPRODUCT($P20:$P95, $C$6:$C$81, 1-$T20:$T95)/MIN($P19,1), 0)</f>
        <v>1.8626781082189989E-2</v>
      </c>
      <c r="AY20" s="5">
        <f t="shared" si="16"/>
        <v>0</v>
      </c>
      <c r="BC20" s="20" cm="1">
        <f t="array" ref="BC20">IFERROR($K20*SUMPRODUCT($P20:$P95, $C$6:$C$81, 1-$T20:$T95)/MIN($P20,1), 0)</f>
        <v>1.8641838096200517E-2</v>
      </c>
      <c r="BD20" s="5">
        <f>BC20*Settings!$I$3*$W20/$Y20</f>
        <v>1.3315598640143228E-2</v>
      </c>
      <c r="BG20" s="20">
        <f t="shared" si="47"/>
        <v>8.2479135788675415E-3</v>
      </c>
      <c r="BH20" s="5">
        <f>BG20*Settings!I$7*W20/$Y20</f>
        <v>5.8913668420482439E-3</v>
      </c>
      <c r="BI20" s="5">
        <f>BG20*Settings!I$7*$X20/$Y20</f>
        <v>5.8913668420482439E-3</v>
      </c>
      <c r="BJ20" s="5">
        <f>BG20*Settings!I$7*MAX(W20-voltijdfranchise/1000, 0)/$Y20</f>
        <v>4.1239567894337708E-3</v>
      </c>
      <c r="BM20" s="15" cm="1">
        <f t="array" ref="BM20">IFERROR( $K20*SUMPRODUCT($P20:$P95, $C$6:$C$81, 1-$T20:$T95)/MIN($P20,1), 0)</f>
        <v>1.8641838096200517E-2</v>
      </c>
      <c r="BN20" s="5">
        <f>BM20*Settings!I$3*$W20/$Y20</f>
        <v>1.3315598640143228E-2</v>
      </c>
      <c r="BQ20" s="15"/>
      <c r="BR20" s="15">
        <f t="shared" si="48"/>
        <v>0.18810382493129707</v>
      </c>
      <c r="BS20" s="15">
        <f>BM20*(Settings!I$4*$W20/$Y20  - BR20)</f>
        <v>9.8089975904979403E-3</v>
      </c>
      <c r="BV20" s="20">
        <f t="shared" si="49"/>
        <v>8.2479135788675415E-3</v>
      </c>
      <c r="BW20" s="20">
        <f t="shared" si="50"/>
        <v>2.7658868820185827</v>
      </c>
      <c r="BX20" s="20">
        <f t="shared" si="51"/>
        <v>0.36154768530164405</v>
      </c>
      <c r="BY20" s="5">
        <f>IFERROR(Settings!O$5*AVERAGE(Y$6:Y$48)/SUMPRODUCT(Y$6:Y$48, BX$6:BX$48), 0)</f>
        <v>3.4197010420295985E-2</v>
      </c>
      <c r="BZ20" s="14">
        <f>IFERROR(BY20*SUMPRODUCT(Y20:Y$48, BX20:BX$48)/AVERAGE(Y20:Y$48), 0)</f>
        <v>0.30767854027190306</v>
      </c>
      <c r="CA20" s="5">
        <f t="shared" si="52"/>
        <v>2.4357300442486339E-3</v>
      </c>
      <c r="CB20" s="5"/>
      <c r="CC20" s="5"/>
      <c r="CD20" s="20">
        <f t="shared" si="53"/>
        <v>2.6889751675068053E-2</v>
      </c>
      <c r="CE20" s="20">
        <f t="shared" si="54"/>
        <v>1.8233991505478628</v>
      </c>
      <c r="CF20" s="73">
        <f t="shared" si="55"/>
        <v>0.54842627282103185</v>
      </c>
      <c r="CG20" s="5" cm="1">
        <f t="array" ref="CG20">IFERROR(Settings!O$6*AVERAGE(Y$6:Y$48)/SUMPRODUCT(Y$6:Y$48,1/CE$6:CE$48), 0)</f>
        <v>2.3794373702957207E-2</v>
      </c>
      <c r="CI20" s="18">
        <f t="shared" si="9"/>
        <v>39</v>
      </c>
      <c r="CJ20" s="90">
        <f t="shared" si="17"/>
        <v>3.864626499327492E-2</v>
      </c>
      <c r="CK20" s="104">
        <f t="shared" si="18"/>
        <v>8.7477316160253175E-3</v>
      </c>
      <c r="CL20" s="106">
        <f t="shared" si="19"/>
        <v>0</v>
      </c>
      <c r="CM20" s="89">
        <f t="shared" si="20"/>
        <v>3.9159687171057347E-2</v>
      </c>
      <c r="CN20" s="104">
        <f t="shared" si="21"/>
        <v>8.380036668380865E-3</v>
      </c>
      <c r="CO20" s="106">
        <f t="shared" si="22"/>
        <v>0</v>
      </c>
      <c r="CP20" s="89">
        <f t="shared" si="23"/>
        <v>2.3794373702957207E-2</v>
      </c>
      <c r="CQ20" s="87">
        <f t="shared" si="24"/>
        <v>1.3315598640143228E-2</v>
      </c>
      <c r="CR20" s="95">
        <f t="shared" si="25"/>
        <v>5.8913668420482439E-3</v>
      </c>
      <c r="CS20" s="96">
        <f t="shared" si="26"/>
        <v>5.8913668420482439E-3</v>
      </c>
      <c r="CT20" s="97">
        <f t="shared" si="27"/>
        <v>4.1239567894337708E-3</v>
      </c>
      <c r="CU20" s="89">
        <f t="shared" si="28"/>
        <v>3.4197010420295985E-2</v>
      </c>
      <c r="CV20" s="87">
        <f t="shared" si="29"/>
        <v>1.3315598640143228E-2</v>
      </c>
      <c r="CW20" s="92">
        <f t="shared" si="30"/>
        <v>2.4357300442486339E-3</v>
      </c>
      <c r="CX20" s="89">
        <f t="shared" si="31"/>
        <v>3.9159687171057347E-2</v>
      </c>
      <c r="CY20" s="87">
        <f t="shared" si="32"/>
        <v>9.8089975904979403E-3</v>
      </c>
      <c r="CZ20" s="115">
        <f t="shared" si="33"/>
        <v>2.4357300442486339E-3</v>
      </c>
      <c r="DA20" s="11"/>
      <c r="DB20">
        <f t="shared" si="10"/>
        <v>39</v>
      </c>
      <c r="DC20" s="11">
        <f t="shared" si="63"/>
        <v>4.7393996609300236E-2</v>
      </c>
      <c r="DD20" s="11">
        <f t="shared" si="64"/>
        <v>4.7539723839438212E-2</v>
      </c>
      <c r="DE20" s="11">
        <f t="shared" si="34"/>
        <v>4.3001339185148681E-2</v>
      </c>
      <c r="DF20" s="11">
        <f t="shared" si="35"/>
        <v>4.3001339185148681E-2</v>
      </c>
      <c r="DG20" s="11">
        <f t="shared" si="36"/>
        <v>4.1233929132534208E-2</v>
      </c>
      <c r="DH20" s="11">
        <f t="shared" si="37"/>
        <v>4.994833910468785E-2</v>
      </c>
      <c r="DI20" s="11">
        <f t="shared" si="38"/>
        <v>5.1404414805803926E-2</v>
      </c>
      <c r="DV20">
        <f t="shared" si="39"/>
        <v>39</v>
      </c>
      <c r="DW20" s="11">
        <f>SUMPRODUCT($B20:$B$48, $Y20:$Y$48, CK20:CK$48)/$B20/$Y20</f>
        <v>0.21378019712384838</v>
      </c>
      <c r="DX20" s="11">
        <f>SUMPRODUCT($B20:$B$48, $Y20:$Y$48, CN20:CN$48)/$B20/$Y20</f>
        <v>0.2045625806701761</v>
      </c>
      <c r="DY20" s="11" cm="1">
        <f t="array" ref="DY20">SUMPRODUCT($B20:$B$48, $Y20:$Y$48, $CQ20:$CQ$48 + CR20:CR$48)/$B20/$Y20</f>
        <v>1.2213389409405384</v>
      </c>
      <c r="DZ20" s="11" cm="1">
        <f t="array" ref="DZ20">SUMPRODUCT($B20:$B$48, $Y20:$Y$48, $CQ20:$CQ$48 + CS20:CS$48)/$B20/$Y20</f>
        <v>1.2213389409405384</v>
      </c>
      <c r="EA20" s="11" cm="1">
        <f t="array" ref="EA20">SUMPRODUCT($B20:$B$48, $Y20:$Y$48, $CQ20:$CQ$48 + CT20:CT$48)/$B20/$Y20</f>
        <v>0.99810521099360727</v>
      </c>
      <c r="EB20" s="11" cm="1">
        <f t="array" ref="EB20">SUMPRODUCT($B20:$B$48, $Y20:$Y$48, $CV20:$CV$48 + CW20:CW$48)/$B20/$Y20</f>
        <v>0.56447069528261895</v>
      </c>
      <c r="EC20" s="11" cm="1">
        <f t="array" ref="EC20">SUMPRODUCT($B20:$B$48, $Y20:$Y$48, $CY20:$CY$48 + CZ20:CZ$48)/$B20/$Y20</f>
        <v>0.33780287524052061</v>
      </c>
      <c r="EE20" s="73">
        <f>Settings!T28</f>
        <v>39</v>
      </c>
      <c r="EF20" s="14">
        <f>SUMPRODUCT($B20:$B$48, $Y20:$Y$48, CK20:CK$48)/$B20/$AD19</f>
        <v>7.353793435554562E-2</v>
      </c>
      <c r="EG20" s="14">
        <f>SUMPRODUCT($B20:$B$48, $Y20:$Y$48, CN20:CN$48)/$B20/$AD19</f>
        <v>7.036718008174328E-2</v>
      </c>
      <c r="EH20" s="14" cm="1">
        <f t="array" ref="EH20">SUMPRODUCT($B20:$B$48, $Y20:$Y$48, $CQ20:$CQ$48 + CR20:CR$48)/$B20/$AD19</f>
        <v>0.42012657894933519</v>
      </c>
      <c r="EI20" s="14" cm="1">
        <f t="array" ref="EI20">SUMPRODUCT($B20:$B$48, $Y20:$Y$48, $CQ20:$CQ$48 + CS20:CS$48)/$B20/$AD19</f>
        <v>0.42012657894933519</v>
      </c>
      <c r="EJ20" s="14" cm="1">
        <f t="array" ref="EJ20">SUMPRODUCT($B20:$B$48, $Y20:$Y$48, $CQ20:$CQ$48 + CT20:CT$48)/$B20/$AD19</f>
        <v>0.34333673779641155</v>
      </c>
      <c r="EK20" s="14" cm="1">
        <f t="array" ref="EK20">SUMPRODUCT($B20:$B$48, $Y20:$Y$48, $CV20:$CV$48 + CW20:CW$48)/$B20/$AD19</f>
        <v>0.19417144101179123</v>
      </c>
      <c r="EL20" s="14" cm="1">
        <f t="array" ref="EL20">SUMPRODUCT($B20:$B$48, $Y20:$Y$48, $CY20:$CY$48 + CZ20:CZ$48)/$B20/$AD19</f>
        <v>0.11620031227757149</v>
      </c>
    </row>
    <row r="21" spans="1:142" x14ac:dyDescent="0.25">
      <c r="A21">
        <v>15</v>
      </c>
      <c r="B21">
        <f>B20/(1+Settings!O$14)</f>
        <v>0.79985150490981138</v>
      </c>
      <c r="C21" s="73">
        <f>C20/(1+Settings!$O$15)</f>
        <v>0.79985150490981138</v>
      </c>
      <c r="D21" s="73">
        <f>D20/(1+Settings!$O$16)</f>
        <v>0.79985150490981138</v>
      </c>
      <c r="E21" s="73">
        <f>E20/(1+Settings!$O$17)</f>
        <v>0.79985150490981138</v>
      </c>
      <c r="F21" s="73">
        <f>F20/(1+Settings!$O$18)</f>
        <v>0.79985150490981138</v>
      </c>
      <c r="H21">
        <f>Grondslag!A17</f>
        <v>40</v>
      </c>
      <c r="I21" s="15">
        <f>IF(Settings!C$7="Unisex", overlevtafel!I47, IF(Settings!C$7="Man", overlevtafel!D47, IF(Settings!C$7="Vrouw",overlevtafel!G47) ) )/I$4</f>
        <v>0.99018595837120804</v>
      </c>
      <c r="J21" s="11">
        <f t="shared" si="58"/>
        <v>8.9872176087835154E-4</v>
      </c>
      <c r="K21" s="11">
        <f>IFERROR(J21/SUM(J21:J$100), 1)</f>
        <v>9.0680624624622991E-4</v>
      </c>
      <c r="M21" s="20">
        <v>30</v>
      </c>
      <c r="N21" s="73">
        <f>IF(Settings!D$7="Unisex", overlevtafel!Q37, IF(Settings!D$7="Man", overlevtafel!L37, IF(Settings!D$7="Vrouw",overlevtafel!O37) ) )</f>
        <v>97095.5</v>
      </c>
      <c r="O21" s="20">
        <f t="shared" si="59"/>
        <v>40</v>
      </c>
      <c r="P21" s="15">
        <f t="shared" si="40"/>
        <v>0.99018595837120804</v>
      </c>
      <c r="R21" s="73">
        <f>1*($H21&gt;=Settings!D$10)</f>
        <v>0</v>
      </c>
      <c r="S21" s="73">
        <f t="shared" si="41"/>
        <v>40</v>
      </c>
      <c r="T21" s="73">
        <f>1*($S21&gt;=Settings!D$10)</f>
        <v>0</v>
      </c>
      <c r="V21" s="18">
        <f t="shared" si="8"/>
        <v>40</v>
      </c>
      <c r="W21">
        <f>Grondslag!J17</f>
        <v>50</v>
      </c>
      <c r="X21" s="73">
        <f t="shared" si="12"/>
        <v>50</v>
      </c>
      <c r="Y21">
        <f>Grondslag!S17</f>
        <v>35</v>
      </c>
      <c r="AA21" s="54">
        <f t="shared" si="42"/>
        <v>10.343722179153868</v>
      </c>
      <c r="AB21" s="14" cm="1">
        <f t="array" ref="AB21">IFERROR(Settings!O$3/NP_OP*AVERAGE(Y$6:Y$48)/SUM(Y$6:Y$48/AA$6:AA$48), 0)</f>
        <v>0.18717547021577788</v>
      </c>
      <c r="AC21" s="54">
        <f t="shared" si="43"/>
        <v>11.428136009796091</v>
      </c>
      <c r="AD21" s="54">
        <f t="shared" si="13"/>
        <v>118.20946391091482</v>
      </c>
      <c r="AE21" s="14">
        <f t="shared" si="14"/>
        <v>0.32651817170845976</v>
      </c>
      <c r="AF21" s="52" cm="1">
        <f t="array" ref="AF21">IFERROR(AB21*SUMPRODUCT(Y21:Y$48,1/AA21:AA$48)/AVERAGE(Y$6:Y$48), 0)</f>
        <v>0.40586310498446992</v>
      </c>
      <c r="AG21" s="14" cm="1">
        <f t="array" ref="AG21">IFERROR( AB21*SUM(1/AA21:AA$48), 0)</f>
        <v>0.40586310498446998</v>
      </c>
      <c r="AI21" s="20">
        <f t="shared" si="60"/>
        <v>2.9721598788314395E-2</v>
      </c>
      <c r="AJ21" s="20">
        <f t="shared" si="44"/>
        <v>3.3522383225937715</v>
      </c>
      <c r="AK21" s="20">
        <f t="shared" si="45"/>
        <v>0.29830814630931635</v>
      </c>
      <c r="AL21" s="5">
        <f>IFERROR( Settings!O$3*AVERAGE(Y$6:Y$48)/SUMPRODUCT(Y$6:Y$48, AK$6:AK$48), 0)</f>
        <v>3.9159687171057347E-2</v>
      </c>
      <c r="AM21" s="52">
        <f>IFERROR( AL21*SUMPRODUCT(Y21:Y$48, AK21:AK$48)/AVERAGE(Y$6:Y$48), 0)</f>
        <v>0.3118961750687031</v>
      </c>
      <c r="AN21" s="14">
        <f>IFERROR(AL21*SUM(AK21:AK$48),0)</f>
        <v>0.31189617506870304</v>
      </c>
      <c r="AO21" s="5">
        <f t="shared" si="46"/>
        <v>8.9228555548421361E-3</v>
      </c>
      <c r="AQ21" s="5">
        <f>NP_OP*NPuitkering_leeftijd!F22*AJ21/Y21</f>
        <v>3.897951537899734E-2</v>
      </c>
      <c r="AR21" s="5">
        <f>NP_OP*SUM(NPuitkering_leeftijd!F22:F$49)/AVERAGE(Y21:Y$48)</f>
        <v>0.32558139534883695</v>
      </c>
      <c r="AS21" s="50">
        <f>IFERROR( AQ21*SUM(AK21:AK$48), 0)</f>
        <v>0.31046115612809405</v>
      </c>
      <c r="AT21" s="5">
        <f t="shared" si="15"/>
        <v>9.331199619587071E-3</v>
      </c>
      <c r="AX21" s="20" cm="1">
        <f t="array" ref="AX21">IFERROR( $K21*SUMPRODUCT($P21:$P96, $C$6:$C$81, 1-$T21:$T96)/MIN($P20,1), 0)</f>
        <v>2.0322752916119492E-2</v>
      </c>
      <c r="AY21" s="5">
        <f t="shared" si="16"/>
        <v>0</v>
      </c>
      <c r="BC21" s="20" cm="1">
        <f t="array" ref="BC21">IFERROR($K21*SUMPRODUCT($P21:$P96, $C$6:$C$81, 1-$T21:$T96)/MIN($P21,1), 0)</f>
        <v>2.0341198441560709E-2</v>
      </c>
      <c r="BD21" s="5">
        <f>BC21*Settings!$I$3*$W21/$Y21</f>
        <v>1.4529427458257648E-2</v>
      </c>
      <c r="BG21" s="20">
        <f t="shared" si="47"/>
        <v>9.4073765398347171E-3</v>
      </c>
      <c r="BH21" s="5">
        <f>BG21*Settings!I$7*W21/$Y21</f>
        <v>6.7195546713105124E-3</v>
      </c>
      <c r="BI21" s="5">
        <f>BG21*Settings!I$7*$X21/$Y21</f>
        <v>6.7195546713105124E-3</v>
      </c>
      <c r="BJ21" s="5">
        <f>BG21*Settings!I$7*MAX(W21-voltijdfranchise/1000, 0)/$Y21</f>
        <v>4.7036882699173586E-3</v>
      </c>
      <c r="BM21" s="15" cm="1">
        <f t="array" ref="BM21">IFERROR( $K21*SUMPRODUCT($P21:$P96, $C$6:$C$81, 1-$T21:$T96)/MIN($P21,1), 0)</f>
        <v>2.0341198441560709E-2</v>
      </c>
      <c r="BN21" s="5">
        <f>BM21*Settings!I$3*$W21/$Y21</f>
        <v>1.4529427458257648E-2</v>
      </c>
      <c r="BQ21" s="15"/>
      <c r="BR21" s="15">
        <f t="shared" si="48"/>
        <v>0.19978547862134791</v>
      </c>
      <c r="BS21" s="15">
        <f>BM21*(Settings!I$4*$W21/$Y21  - BR21)</f>
        <v>1.0465551391878629E-2</v>
      </c>
      <c r="BV21" s="20">
        <f t="shared" si="49"/>
        <v>9.4073765398347171E-3</v>
      </c>
      <c r="BW21" s="20">
        <f t="shared" si="50"/>
        <v>2.8040867738767057</v>
      </c>
      <c r="BX21" s="20">
        <f t="shared" si="51"/>
        <v>0.3566223446849614</v>
      </c>
      <c r="BY21" s="5">
        <f>IFERROR(Settings!O$5*AVERAGE(Y$6:Y$48)/SUMPRODUCT(Y$6:Y$48, BX$6:BX$48), 0)</f>
        <v>3.4197010420295985E-2</v>
      </c>
      <c r="BZ21" s="14">
        <f>IFERROR(BY21*SUMPRODUCT(Y21:Y$48, BX21:BX$48)/AVERAGE(Y21:Y$48), 0)</f>
        <v>0.29531469031020879</v>
      </c>
      <c r="CA21" s="5">
        <f t="shared" si="52"/>
        <v>2.663409599955222E-3</v>
      </c>
      <c r="CB21" s="5"/>
      <c r="CC21" s="5"/>
      <c r="CD21" s="20">
        <f t="shared" si="53"/>
        <v>2.974857498139543E-2</v>
      </c>
      <c r="CE21" s="20">
        <f t="shared" si="54"/>
        <v>1.8541112524404844</v>
      </c>
      <c r="CF21" s="73">
        <f t="shared" si="55"/>
        <v>0.53934196164536752</v>
      </c>
      <c r="CG21" s="5" cm="1">
        <f t="array" ref="CG21">IFERROR(Settings!O$6*AVERAGE(Y$6:Y$48)/SUMPRODUCT(Y$6:Y$48,1/CE$6:CE$48), 0)</f>
        <v>2.3794373702957207E-2</v>
      </c>
      <c r="CI21" s="18">
        <f t="shared" si="9"/>
        <v>40</v>
      </c>
      <c r="CJ21" s="90">
        <f t="shared" si="17"/>
        <v>3.897951537899734E-2</v>
      </c>
      <c r="CK21" s="104">
        <f t="shared" si="18"/>
        <v>9.331199619587071E-3</v>
      </c>
      <c r="CL21" s="106">
        <f t="shared" si="19"/>
        <v>0</v>
      </c>
      <c r="CM21" s="89">
        <f t="shared" si="20"/>
        <v>3.9159687171057347E-2</v>
      </c>
      <c r="CN21" s="104">
        <f t="shared" si="21"/>
        <v>8.9228555548421361E-3</v>
      </c>
      <c r="CO21" s="106">
        <f t="shared" si="22"/>
        <v>0</v>
      </c>
      <c r="CP21" s="89">
        <f t="shared" si="23"/>
        <v>2.3794373702957207E-2</v>
      </c>
      <c r="CQ21" s="87">
        <f t="shared" si="24"/>
        <v>1.4529427458257648E-2</v>
      </c>
      <c r="CR21" s="95">
        <f t="shared" si="25"/>
        <v>6.7195546713105124E-3</v>
      </c>
      <c r="CS21" s="96">
        <f t="shared" si="26"/>
        <v>6.7195546713105124E-3</v>
      </c>
      <c r="CT21" s="97">
        <f t="shared" si="27"/>
        <v>4.7036882699173586E-3</v>
      </c>
      <c r="CU21" s="89">
        <f t="shared" si="28"/>
        <v>3.4197010420295985E-2</v>
      </c>
      <c r="CV21" s="87">
        <f t="shared" si="29"/>
        <v>1.4529427458257648E-2</v>
      </c>
      <c r="CW21" s="92">
        <f t="shared" si="30"/>
        <v>2.663409599955222E-3</v>
      </c>
      <c r="CX21" s="89">
        <f t="shared" si="31"/>
        <v>3.9159687171057347E-2</v>
      </c>
      <c r="CY21" s="87">
        <f t="shared" si="32"/>
        <v>1.0465551391878629E-2</v>
      </c>
      <c r="CZ21" s="115">
        <f t="shared" si="33"/>
        <v>2.663409599955222E-3</v>
      </c>
      <c r="DA21" s="11"/>
      <c r="DB21">
        <f t="shared" si="10"/>
        <v>40</v>
      </c>
      <c r="DC21" s="11">
        <f t="shared" si="63"/>
        <v>4.8310714998584414E-2</v>
      </c>
      <c r="DD21" s="11">
        <f t="shared" si="64"/>
        <v>4.8082542725899485E-2</v>
      </c>
      <c r="DE21" s="11">
        <f t="shared" si="34"/>
        <v>4.5043355832525361E-2</v>
      </c>
      <c r="DF21" s="11">
        <f t="shared" si="35"/>
        <v>4.5043355832525361E-2</v>
      </c>
      <c r="DG21" s="11">
        <f t="shared" si="36"/>
        <v>4.3027489431132208E-2</v>
      </c>
      <c r="DH21" s="11">
        <f t="shared" si="37"/>
        <v>5.1389847478508853E-2</v>
      </c>
      <c r="DI21" s="11">
        <f t="shared" si="38"/>
        <v>5.2288648162891201E-2</v>
      </c>
      <c r="DV21">
        <f t="shared" si="39"/>
        <v>40</v>
      </c>
      <c r="DW21" s="11">
        <f>SUMPRODUCT($B21:$B$48, $Y21:$Y$48, CK21:CK$48)/$B21/$Y21</f>
        <v>0.20810795249044037</v>
      </c>
      <c r="DX21" s="11">
        <f>SUMPRODUCT($B21:$B$48, $Y21:$Y$48, CN21:CN$48)/$B21/$Y21</f>
        <v>0.19912528216182215</v>
      </c>
      <c r="DY21" s="11" cm="1">
        <f t="array" ref="DY21">SUMPRODUCT($B21:$B$48, $Y21:$Y$48, $CQ21:$CQ$48 + CR21:CR$48)/$B21/$Y21</f>
        <v>1.2201639550902221</v>
      </c>
      <c r="DZ21" s="11" cm="1">
        <f t="array" ref="DZ21">SUMPRODUCT($B21:$B$48, $Y21:$Y$48, $CQ21:$CQ$48 + CS21:CS$48)/$B21/$Y21</f>
        <v>1.2201639550902221</v>
      </c>
      <c r="EA21" s="11" cm="1">
        <f t="array" ref="EA21">SUMPRODUCT($B21:$B$48, $Y21:$Y$48, $CQ21:$CQ$48 + CT21:CT$48)/$B21/$Y21</f>
        <v>0.99537564039749049</v>
      </c>
      <c r="EB21" s="11" cm="1">
        <f t="array" ref="EB21">SUMPRODUCT($B21:$B$48, $Y21:$Y$48, $CV21:$CV$48 + CW21:CW$48)/$B21/$Y21</f>
        <v>0.55695015709720053</v>
      </c>
      <c r="EC21" s="11" cm="1">
        <f t="array" ref="EC21">SUMPRODUCT($B21:$B$48, $Y21:$Y$48, $CY21:$CY$48 + CZ21:CZ$48)/$B21/$Y21</f>
        <v>0.33044151981986059</v>
      </c>
      <c r="EE21" s="73">
        <f>Settings!T29</f>
        <v>40</v>
      </c>
      <c r="EF21" s="14">
        <f>SUMPRODUCT($B21:$B$48, $Y21:$Y$48, CK21:CK$48)/$B21/$AD20</f>
        <v>6.6271331195661878E-2</v>
      </c>
      <c r="EG21" s="14">
        <f>SUMPRODUCT($B21:$B$48, $Y21:$Y$48, CN21:CN$48)/$B21/$AD20</f>
        <v>6.3410827725009319E-2</v>
      </c>
      <c r="EH21" s="14" cm="1">
        <f t="array" ref="EH21">SUMPRODUCT($B21:$B$48, $Y21:$Y$48, $CQ21:$CQ$48 + CR21:CR$48)/$B21/$AD20</f>
        <v>0.38855742230469198</v>
      </c>
      <c r="EI21" s="14" cm="1">
        <f t="array" ref="EI21">SUMPRODUCT($B21:$B$48, $Y21:$Y$48, $CQ21:$CQ$48 + CS21:CS$48)/$B21/$AD20</f>
        <v>0.38855742230469198</v>
      </c>
      <c r="EJ21" s="14" cm="1">
        <f t="array" ref="EJ21">SUMPRODUCT($B21:$B$48, $Y21:$Y$48, $CQ21:$CQ$48 + CT21:CT$48)/$B21/$AD20</f>
        <v>0.31697428156622842</v>
      </c>
      <c r="EK21" s="14" cm="1">
        <f t="array" ref="EK21">SUMPRODUCT($B21:$B$48, $Y21:$Y$48, $CV21:$CV$48 + CW21:CW$48)/$B21/$AD20</f>
        <v>0.17735904793047239</v>
      </c>
      <c r="EL21" s="14" cm="1">
        <f t="array" ref="EL21">SUMPRODUCT($B21:$B$48, $Y21:$Y$48, $CY21:$CY$48 + CZ21:CZ$48)/$B21/$AD20</f>
        <v>0.10522807580736632</v>
      </c>
    </row>
    <row r="22" spans="1:142" x14ac:dyDescent="0.25">
      <c r="A22">
        <v>16</v>
      </c>
      <c r="B22">
        <f>B21/(1+Settings!O$14)</f>
        <v>0.78803103932001128</v>
      </c>
      <c r="C22" s="73">
        <f>C21/(1+Settings!$O$15)</f>
        <v>0.78803103932001128</v>
      </c>
      <c r="D22" s="73">
        <f>D21/(1+Settings!$O$16)</f>
        <v>0.78803103932001128</v>
      </c>
      <c r="E22" s="73">
        <f>E21/(1+Settings!$O$17)</f>
        <v>0.78803103932001128</v>
      </c>
      <c r="F22" s="73">
        <f>F21/(1+Settings!$O$18)</f>
        <v>0.78803103932001128</v>
      </c>
      <c r="H22">
        <f>Grondslag!A18</f>
        <v>41</v>
      </c>
      <c r="I22" s="15">
        <f>IF(Settings!C$7="Unisex", overlevtafel!I48, IF(Settings!C$7="Man", overlevtafel!D48, IF(Settings!C$7="Vrouw",overlevtafel!G48) ) )/I$4</f>
        <v>0.98918452555194358</v>
      </c>
      <c r="J22" s="11">
        <f t="shared" si="58"/>
        <v>1.0014328192644584E-3</v>
      </c>
      <c r="K22" s="11">
        <f>IFERROR(J22/SUM(J22:J$100), 1)</f>
        <v>1.0113583518879224E-3</v>
      </c>
      <c r="M22" s="20">
        <v>31</v>
      </c>
      <c r="N22" s="73">
        <f>IF(Settings!D$7="Unisex", overlevtafel!Q38, IF(Settings!D$7="Man", overlevtafel!L38, IF(Settings!D$7="Vrouw",overlevtafel!O38) ) )</f>
        <v>97040</v>
      </c>
      <c r="O22" s="20">
        <f t="shared" si="59"/>
        <v>41</v>
      </c>
      <c r="P22" s="15">
        <f t="shared" si="40"/>
        <v>0.98918452555194358</v>
      </c>
      <c r="R22" s="73">
        <f>1*($H22&gt;=Settings!D$10)</f>
        <v>0</v>
      </c>
      <c r="S22" s="73">
        <f t="shared" si="41"/>
        <v>41</v>
      </c>
      <c r="T22" s="73">
        <f>1*($S22&gt;=Settings!D$10)</f>
        <v>0</v>
      </c>
      <c r="V22" s="18">
        <f t="shared" si="8"/>
        <v>41</v>
      </c>
      <c r="W22">
        <f>Grondslag!J18</f>
        <v>50</v>
      </c>
      <c r="X22" s="73">
        <f t="shared" si="12"/>
        <v>50</v>
      </c>
      <c r="Y22">
        <f>Grondslag!S18</f>
        <v>35</v>
      </c>
      <c r="AA22" s="54">
        <f t="shared" si="42"/>
        <v>10.509507179894362</v>
      </c>
      <c r="AB22" s="14" cm="1">
        <f t="array" ref="AB22">IFERROR(Settings!O$3/NP_OP*AVERAGE(Y$6:Y$48)/SUM(Y$6:Y$48/AA$6:AA$48), 0)</f>
        <v>0.18717547021577788</v>
      </c>
      <c r="AC22" s="54">
        <f t="shared" si="43"/>
        <v>12.051489830809235</v>
      </c>
      <c r="AD22" s="54">
        <f t="shared" si="13"/>
        <v>126.65521890531355</v>
      </c>
      <c r="AE22" s="14">
        <f t="shared" si="14"/>
        <v>0.34432828088026385</v>
      </c>
      <c r="AF22" s="52" cm="1">
        <f t="array" ref="AF22">IFERROR(AB22*SUMPRODUCT(Y22:Y$48,1/AA22:AA$48)/AVERAGE(Y$6:Y$48), 0)</f>
        <v>0.38776754257725443</v>
      </c>
      <c r="AG22" s="14" cm="1">
        <f t="array" ref="AG22">IFERROR( AB22*SUM(1/AA22:AA$48), 0)</f>
        <v>0.38776754257725454</v>
      </c>
      <c r="AI22" s="20">
        <f t="shared" si="60"/>
        <v>3.2649647458018786E-2</v>
      </c>
      <c r="AJ22" s="20">
        <f t="shared" si="44"/>
        <v>3.3791861544222495</v>
      </c>
      <c r="AK22" s="20">
        <f t="shared" si="45"/>
        <v>0.2959292428123047</v>
      </c>
      <c r="AL22" s="5">
        <f>IFERROR( Settings!O$3*AVERAGE(Y$6:Y$48)/SUMPRODUCT(Y$6:Y$48, AK$6:AK$48), 0)</f>
        <v>3.9159687171057347E-2</v>
      </c>
      <c r="AM22" s="52">
        <f>IFERROR( AL22*SUMPRODUCT(Y22:Y$48, AK22:AK$48)/AVERAGE(Y$6:Y$48), 0)</f>
        <v>0.30021452137865218</v>
      </c>
      <c r="AN22" s="14">
        <f>IFERROR(AL22*SUM(AK22:AK$48),0)</f>
        <v>0.30021452137865223</v>
      </c>
      <c r="AO22" s="5">
        <f t="shared" si="46"/>
        <v>9.4235379571042093E-3</v>
      </c>
      <c r="AQ22" s="5">
        <f>NP_OP*NPuitkering_leeftijd!F23*AJ22/Y22</f>
        <v>3.9292862260723829E-2</v>
      </c>
      <c r="AR22" s="5">
        <f>NP_OP*SUM(NPuitkering_leeftijd!F23:F$49)/AVERAGE(Y22:Y$48)</f>
        <v>0.3139534883720928</v>
      </c>
      <c r="AS22" s="50">
        <f>IFERROR( AQ22*SUM(AK22:AK$48), 0)</f>
        <v>0.30123549725185406</v>
      </c>
      <c r="AT22" s="5">
        <f t="shared" si="15"/>
        <v>9.8708236500986962E-3</v>
      </c>
      <c r="AX22" s="20" cm="1">
        <f t="array" ref="AX22">IFERROR( $K22*SUMPRODUCT($P22:$P97, $C$6:$C$81, 1-$T22:$T97)/MIN($P21,1), 0)</f>
        <v>2.2000247534784387E-2</v>
      </c>
      <c r="AY22" s="5">
        <f t="shared" si="16"/>
        <v>0</v>
      </c>
      <c r="BC22" s="20" cm="1">
        <f t="array" ref="BC22">IFERROR($K22*SUMPRODUCT($P22:$P97, $C$6:$C$81, 1-$T22:$T97)/MIN($P22,1), 0)</f>
        <v>2.202252019407511E-2</v>
      </c>
      <c r="BD22" s="5">
        <f>BC22*Settings!$I$3*$W22/$Y22</f>
        <v>1.5730371567196508E-2</v>
      </c>
      <c r="BG22" s="20">
        <f t="shared" si="47"/>
        <v>1.0660181186298157E-2</v>
      </c>
      <c r="BH22" s="5">
        <f>BG22*Settings!I$7*W22/$Y22</f>
        <v>7.6144151330701116E-3</v>
      </c>
      <c r="BI22" s="5">
        <f>BG22*Settings!I$7*$X22/$Y22</f>
        <v>7.6144151330701116E-3</v>
      </c>
      <c r="BJ22" s="5">
        <f>BG22*Settings!I$7*MAX(W22-voltijdfranchise/1000, 0)/$Y22</f>
        <v>5.3300905931490785E-3</v>
      </c>
      <c r="BM22" s="15" cm="1">
        <f t="array" ref="BM22">IFERROR( $K22*SUMPRODUCT($P22:$P97, $C$6:$C$81, 1-$T22:$T97)/MIN($P22,1), 0)</f>
        <v>2.202252019407511E-2</v>
      </c>
      <c r="BN22" s="5">
        <f>BM22*Settings!I$3*$W22/$Y22</f>
        <v>1.5730371567196508E-2</v>
      </c>
      <c r="BQ22" s="15"/>
      <c r="BR22" s="15">
        <f t="shared" si="48"/>
        <v>0.21137397519464562</v>
      </c>
      <c r="BS22" s="15">
        <f>BM22*(Settings!I$4*$W22/$Y22  - BR22)</f>
        <v>1.1075383929970492E-2</v>
      </c>
      <c r="BV22" s="20">
        <f t="shared" si="49"/>
        <v>1.0660181186298157E-2</v>
      </c>
      <c r="BW22" s="20">
        <f t="shared" si="50"/>
        <v>2.8423459415167347</v>
      </c>
      <c r="BX22" s="20">
        <f t="shared" si="51"/>
        <v>0.35182205846005477</v>
      </c>
      <c r="BY22" s="5">
        <f>IFERROR(Settings!O$5*AVERAGE(Y$6:Y$48)/SUMPRODUCT(Y$6:Y$48, BX$6:BX$48), 0)</f>
        <v>3.4197010420295985E-2</v>
      </c>
      <c r="BZ22" s="14">
        <f>IFERROR(BY22*SUMPRODUCT(Y22:Y$48, BX22:BX$48)/AVERAGE(Y22:Y$48), 0)</f>
        <v>0.2831192722729069</v>
      </c>
      <c r="CA22" s="5">
        <f t="shared" si="52"/>
        <v>2.8898473005541459E-3</v>
      </c>
      <c r="CB22" s="5"/>
      <c r="CC22" s="5"/>
      <c r="CD22" s="20">
        <f t="shared" si="53"/>
        <v>3.2682701380373297E-2</v>
      </c>
      <c r="CE22" s="20">
        <f t="shared" si="54"/>
        <v>1.885735300627756</v>
      </c>
      <c r="CF22" s="73">
        <f t="shared" si="55"/>
        <v>0.53029712052752198</v>
      </c>
      <c r="CG22" s="5" cm="1">
        <f t="array" ref="CG22">IFERROR(Settings!O$6*AVERAGE(Y$6:Y$48)/SUMPRODUCT(Y$6:Y$48,1/CE$6:CE$48), 0)</f>
        <v>2.3794373702957207E-2</v>
      </c>
      <c r="CI22" s="18">
        <f t="shared" si="9"/>
        <v>41</v>
      </c>
      <c r="CJ22" s="90">
        <f t="shared" si="17"/>
        <v>3.9292862260723829E-2</v>
      </c>
      <c r="CK22" s="104">
        <f t="shared" si="18"/>
        <v>9.8708236500986962E-3</v>
      </c>
      <c r="CL22" s="106">
        <f t="shared" si="19"/>
        <v>0</v>
      </c>
      <c r="CM22" s="89">
        <f t="shared" si="20"/>
        <v>3.9159687171057347E-2</v>
      </c>
      <c r="CN22" s="104">
        <f t="shared" si="21"/>
        <v>9.4235379571042093E-3</v>
      </c>
      <c r="CO22" s="106">
        <f t="shared" si="22"/>
        <v>0</v>
      </c>
      <c r="CP22" s="89">
        <f t="shared" si="23"/>
        <v>2.3794373702957207E-2</v>
      </c>
      <c r="CQ22" s="87">
        <f t="shared" si="24"/>
        <v>1.5730371567196508E-2</v>
      </c>
      <c r="CR22" s="95">
        <f t="shared" si="25"/>
        <v>7.6144151330701116E-3</v>
      </c>
      <c r="CS22" s="96">
        <f t="shared" si="26"/>
        <v>7.6144151330701116E-3</v>
      </c>
      <c r="CT22" s="97">
        <f t="shared" si="27"/>
        <v>5.3300905931490785E-3</v>
      </c>
      <c r="CU22" s="89">
        <f t="shared" si="28"/>
        <v>3.4197010420295985E-2</v>
      </c>
      <c r="CV22" s="87">
        <f t="shared" si="29"/>
        <v>1.5730371567196508E-2</v>
      </c>
      <c r="CW22" s="92">
        <f t="shared" si="30"/>
        <v>2.8898473005541459E-3</v>
      </c>
      <c r="CX22" s="89">
        <f t="shared" si="31"/>
        <v>3.9159687171057347E-2</v>
      </c>
      <c r="CY22" s="87">
        <f t="shared" si="32"/>
        <v>1.1075383929970492E-2</v>
      </c>
      <c r="CZ22" s="115">
        <f t="shared" si="33"/>
        <v>2.8898473005541459E-3</v>
      </c>
      <c r="DA22" s="11"/>
      <c r="DB22">
        <f t="shared" si="10"/>
        <v>41</v>
      </c>
      <c r="DC22" s="11">
        <f t="shared" si="63"/>
        <v>4.9163685910822527E-2</v>
      </c>
      <c r="DD22" s="11">
        <f t="shared" si="64"/>
        <v>4.8583225128161558E-2</v>
      </c>
      <c r="DE22" s="11">
        <f t="shared" si="34"/>
        <v>4.7139160403223829E-2</v>
      </c>
      <c r="DF22" s="11">
        <f t="shared" si="35"/>
        <v>4.7139160403223829E-2</v>
      </c>
      <c r="DG22" s="11">
        <f t="shared" si="36"/>
        <v>4.48548358633028E-2</v>
      </c>
      <c r="DH22" s="11">
        <f t="shared" si="37"/>
        <v>5.2817229288046642E-2</v>
      </c>
      <c r="DI22" s="11">
        <f t="shared" si="38"/>
        <v>5.3124918401581983E-2</v>
      </c>
      <c r="DV22">
        <f t="shared" si="39"/>
        <v>41</v>
      </c>
      <c r="DW22" s="11">
        <f>SUMPRODUCT($B22:$B$48, $Y22:$Y$48, CK22:CK$48)/$B22/$Y22</f>
        <v>0.20175840416391611</v>
      </c>
      <c r="DX22" s="11">
        <f>SUMPRODUCT($B22:$B$48, $Y22:$Y$48, CN22:CN$48)/$B22/$Y22</f>
        <v>0.1930554630060847</v>
      </c>
      <c r="DY22" s="11" cm="1">
        <f t="array" ref="DY22">SUMPRODUCT($B22:$B$48, $Y22:$Y$48, $CQ22:$CQ$48 + CR22:CR$48)/$B22/$Y22</f>
        <v>1.2168986975550635</v>
      </c>
      <c r="DZ22" s="11" cm="1">
        <f t="array" ref="DZ22">SUMPRODUCT($B22:$B$48, $Y22:$Y$48, $CQ22:$CQ$48 + CS22:CS$48)/$B22/$Y22</f>
        <v>1.2168986975550635</v>
      </c>
      <c r="EA22" s="11" cm="1">
        <f t="array" ref="EA22">SUMPRODUCT($B22:$B$48, $Y22:$Y$48, $CQ22:$CQ$48 + CT22:CT$48)/$B22/$Y22</f>
        <v>0.99078466253935515</v>
      </c>
      <c r="EB22" s="11" cm="1">
        <f t="array" ref="EB22">SUMPRODUCT($B22:$B$48, $Y22:$Y$48, $CV22:$CV$48 + CW22:CW$48)/$B22/$Y22</f>
        <v>0.54785367983957245</v>
      </c>
      <c r="EC22" s="11" cm="1">
        <f t="array" ref="EC22">SUMPRODUCT($B22:$B$48, $Y22:$Y$48, $CY22:$CY$48 + CZ22:CZ$48)/$B22/$Y22</f>
        <v>0.32207224721044708</v>
      </c>
      <c r="EE22" s="73">
        <f>Settings!T30</f>
        <v>41</v>
      </c>
      <c r="EF22" s="14">
        <f>SUMPRODUCT($B22:$B$48, $Y22:$Y$48, CK22:CK$48)/$B22/$AD21</f>
        <v>5.9737553255962604E-2</v>
      </c>
      <c r="EG22" s="14">
        <f>SUMPRODUCT($B22:$B$48, $Y22:$Y$48, CN22:CN$48)/$B22/$AD21</f>
        <v>5.7160746539762157E-2</v>
      </c>
      <c r="EH22" s="14" cm="1">
        <f t="array" ref="EH22">SUMPRODUCT($B22:$B$48, $Y22:$Y$48, $CQ22:$CQ$48 + CR22:CR$48)/$B22/$AD21</f>
        <v>0.36030494518209688</v>
      </c>
      <c r="EI22" s="14" cm="1">
        <f t="array" ref="EI22">SUMPRODUCT($B22:$B$48, $Y22:$Y$48, $CQ22:$CQ$48 + CS22:CS$48)/$B22/$AD21</f>
        <v>0.36030494518209688</v>
      </c>
      <c r="EJ22" s="14" cm="1">
        <f t="array" ref="EJ22">SUMPRODUCT($B22:$B$48, $Y22:$Y$48, $CQ22:$CQ$48 + CT22:CT$48)/$B22/$AD21</f>
        <v>0.29335606508638862</v>
      </c>
      <c r="EK22" s="14" cm="1">
        <f t="array" ref="EK22">SUMPRODUCT($B22:$B$48, $Y22:$Y$48, $CV22:$CV$48 + CW22:CW$48)/$B22/$AD21</f>
        <v>0.16221102913414473</v>
      </c>
      <c r="EL22" s="14" cm="1">
        <f t="array" ref="EL22">SUMPRODUCT($B22:$B$48, $Y22:$Y$48, $CY22:$CY$48 + CZ22:CZ$48)/$B22/$AD21</f>
        <v>9.536062747785462E-2</v>
      </c>
    </row>
    <row r="23" spans="1:142" x14ac:dyDescent="0.25">
      <c r="A23">
        <v>17</v>
      </c>
      <c r="B23">
        <f>B22/(1+Settings!O$14)</f>
        <v>0.77638526041380429</v>
      </c>
      <c r="C23" s="73">
        <f>C22/(1+Settings!$O$15)</f>
        <v>0.77638526041380429</v>
      </c>
      <c r="D23" s="73">
        <f>D22/(1+Settings!$O$16)</f>
        <v>0.77638526041380429</v>
      </c>
      <c r="E23" s="73">
        <f>E22/(1+Settings!$O$17)</f>
        <v>0.77638526041380429</v>
      </c>
      <c r="F23" s="73">
        <f>F22/(1+Settings!$O$18)</f>
        <v>0.77638526041380429</v>
      </c>
      <c r="H23">
        <f>Grondslag!A19</f>
        <v>42</v>
      </c>
      <c r="I23" s="15">
        <f>IF(Settings!C$7="Unisex", overlevtafel!I49, IF(Settings!C$7="Man", overlevtafel!D49, IF(Settings!C$7="Vrouw",overlevtafel!G49) ) )/I$4</f>
        <v>0.98807524612137365</v>
      </c>
      <c r="J23" s="11">
        <f t="shared" si="58"/>
        <v>1.1092794305699316E-3</v>
      </c>
      <c r="K23" s="11">
        <f>IFERROR(J23/SUM(J23:J$100), 1)</f>
        <v>1.121408012065569E-3</v>
      </c>
      <c r="M23" s="20">
        <v>32</v>
      </c>
      <c r="N23" s="73">
        <f>IF(Settings!D$7="Unisex", overlevtafel!Q39, IF(Settings!D$7="Man", overlevtafel!L39, IF(Settings!D$7="Vrouw",overlevtafel!O39) ) )</f>
        <v>96982.5</v>
      </c>
      <c r="O23" s="20">
        <f t="shared" si="59"/>
        <v>42</v>
      </c>
      <c r="P23" s="15">
        <f t="shared" si="40"/>
        <v>0.98807524612137365</v>
      </c>
      <c r="R23" s="73">
        <f>1*($H23&gt;=Settings!D$10)</f>
        <v>0</v>
      </c>
      <c r="S23" s="73">
        <f t="shared" si="41"/>
        <v>42</v>
      </c>
      <c r="T23" s="73">
        <f>1*($S23&gt;=Settings!D$10)</f>
        <v>0</v>
      </c>
      <c r="V23" s="18">
        <f t="shared" si="8"/>
        <v>42</v>
      </c>
      <c r="W23">
        <f>Grondslag!J19</f>
        <v>50</v>
      </c>
      <c r="X23" s="73">
        <f t="shared" si="12"/>
        <v>50</v>
      </c>
      <c r="Y23">
        <f>Grondslag!S19</f>
        <v>35</v>
      </c>
      <c r="AA23" s="54">
        <f t="shared" si="42"/>
        <v>10.679125558655109</v>
      </c>
      <c r="AB23" s="14" cm="1">
        <f t="array" ref="AB23">IFERROR(Settings!O$3/NP_OP*AVERAGE(Y$6:Y$48)/SUM(Y$6:Y$48/AA$6:AA$48), 0)</f>
        <v>0.18717547021577788</v>
      </c>
      <c r="AC23" s="54">
        <f t="shared" si="43"/>
        <v>12.664942816409045</v>
      </c>
      <c r="AD23" s="54">
        <f t="shared" si="13"/>
        <v>135.25051452961924</v>
      </c>
      <c r="AE23" s="14">
        <f t="shared" si="14"/>
        <v>0.36185550904025843</v>
      </c>
      <c r="AF23" s="52" cm="1">
        <f t="array" ref="AF23">IFERROR(AB23*SUMPRODUCT(Y23:Y$48,1/AA23:AA$48)/AVERAGE(Y$6:Y$48), 0)</f>
        <v>0.36995743340545034</v>
      </c>
      <c r="AG23" s="14" cm="1">
        <f t="array" ref="AG23">IFERROR( AB23*SUM(1/AA23:AA$48), 0)</f>
        <v>0.36995743340545034</v>
      </c>
      <c r="AI23" s="20">
        <f t="shared" si="60"/>
        <v>3.5644383887291402E-2</v>
      </c>
      <c r="AJ23" s="20">
        <f t="shared" si="44"/>
        <v>3.4043656390459134</v>
      </c>
      <c r="AK23" s="20">
        <f t="shared" si="45"/>
        <v>0.29374048090799493</v>
      </c>
      <c r="AL23" s="5">
        <f>IFERROR( Settings!O$3*AVERAGE(Y$6:Y$48)/SUMPRODUCT(Y$6:Y$48, AK$6:AK$48), 0)</f>
        <v>3.9159687171057347E-2</v>
      </c>
      <c r="AM23" s="52">
        <f>IFERROR( AL23*SUMPRODUCT(Y23:Y$48, AK23:AK$48)/AVERAGE(Y$6:Y$48), 0)</f>
        <v>0.28862602480535449</v>
      </c>
      <c r="AN23" s="14">
        <f>IFERROR(AL23*SUM(AK23:AK$48),0)</f>
        <v>0.28862602480535449</v>
      </c>
      <c r="AO23" s="5">
        <f t="shared" si="46"/>
        <v>9.8778871315275407E-3</v>
      </c>
      <c r="AQ23" s="5">
        <f>NP_OP*NPuitkering_leeftijd!F24*AJ23/Y23</f>
        <v>3.9585646965650159E-2</v>
      </c>
      <c r="AR23" s="5">
        <f>NP_OP*SUM(NPuitkering_leeftijd!F24:F$49)/AVERAGE(Y23:Y$48)</f>
        <v>0.30232558139534865</v>
      </c>
      <c r="AS23" s="50">
        <f>IFERROR( AQ23*SUM(AK23:AK$48), 0)</f>
        <v>0.29176555658208164</v>
      </c>
      <c r="AT23" s="5">
        <f t="shared" si="15"/>
        <v>1.0361739502119589E-2</v>
      </c>
      <c r="AX23" s="20" cm="1">
        <f t="array" ref="AX23">IFERROR( $K23*SUMPRODUCT($P23:$P98, $C$6:$C$81, 1-$T23:$T98)/MIN($P22,1), 0)</f>
        <v>2.3646926400005527E-2</v>
      </c>
      <c r="AY23" s="5">
        <f t="shared" si="16"/>
        <v>0</v>
      </c>
      <c r="BC23" s="20" cm="1">
        <f t="array" ref="BC23">IFERROR($K23*SUMPRODUCT($P23:$P98, $C$6:$C$81, 1-$T23:$T98)/MIN($P23,1), 0)</f>
        <v>2.3673474022926654E-2</v>
      </c>
      <c r="BD23" s="5">
        <f>BC23*Settings!$I$3*$W23/$Y23</f>
        <v>1.6909624302090469E-2</v>
      </c>
      <c r="BG23" s="20">
        <f t="shared" si="47"/>
        <v>1.2010926636383586E-2</v>
      </c>
      <c r="BH23" s="5">
        <f>BG23*Settings!I$7*W23/$Y23</f>
        <v>8.5792333117025617E-3</v>
      </c>
      <c r="BI23" s="5">
        <f>BG23*Settings!I$7*$X23/$Y23</f>
        <v>8.5792333117025617E-3</v>
      </c>
      <c r="BJ23" s="5">
        <f>BG23*Settings!I$7*MAX(W23-voltijdfranchise/1000, 0)/$Y23</f>
        <v>6.0054633181917932E-3</v>
      </c>
      <c r="BM23" s="15" cm="1">
        <f t="array" ref="BM23">IFERROR( $K23*SUMPRODUCT($P23:$P98, $C$6:$C$81, 1-$T23:$T98)/MIN($P23,1), 0)</f>
        <v>2.3673474022926654E-2</v>
      </c>
      <c r="BN23" s="5">
        <f>BM23*Settings!I$3*$W23/$Y23</f>
        <v>1.6909624302090469E-2</v>
      </c>
      <c r="BQ23" s="15"/>
      <c r="BR23" s="15">
        <f t="shared" si="48"/>
        <v>0.22287676053647865</v>
      </c>
      <c r="BS23" s="15">
        <f>BM23*(Settings!I$4*$W23/$Y23  - BR23)</f>
        <v>1.1633357101216095E-2</v>
      </c>
      <c r="BV23" s="20">
        <f t="shared" si="49"/>
        <v>1.2010926636383586E-2</v>
      </c>
      <c r="BW23" s="20">
        <f t="shared" si="50"/>
        <v>2.880618120550384</v>
      </c>
      <c r="BX23" s="20">
        <f t="shared" si="51"/>
        <v>0.34714771557742458</v>
      </c>
      <c r="BY23" s="5">
        <f>IFERROR(Settings!O$5*AVERAGE(Y$6:Y$48)/SUMPRODUCT(Y$6:Y$48, BX$6:BX$48), 0)</f>
        <v>3.4197010420295985E-2</v>
      </c>
      <c r="BZ23" s="14">
        <f>IFERROR(BY23*SUMPRODUCT(Y23:Y$48, BX23:BX$48)/AVERAGE(Y23:Y$48), 0)</f>
        <v>0.27108800967365837</v>
      </c>
      <c r="CA23" s="5">
        <f t="shared" si="52"/>
        <v>3.1134315130051061E-3</v>
      </c>
      <c r="CB23" s="5"/>
      <c r="CC23" s="5"/>
      <c r="CD23" s="20">
        <f t="shared" si="53"/>
        <v>3.568440065931025E-2</v>
      </c>
      <c r="CE23" s="20">
        <f t="shared" si="54"/>
        <v>1.9183213595409814</v>
      </c>
      <c r="CF23" s="73">
        <f t="shared" si="55"/>
        <v>0.52128909216716501</v>
      </c>
      <c r="CG23" s="5" cm="1">
        <f t="array" ref="CG23">IFERROR(Settings!O$6*AVERAGE(Y$6:Y$48)/SUMPRODUCT(Y$6:Y$48,1/CE$6:CE$48), 0)</f>
        <v>2.3794373702957207E-2</v>
      </c>
      <c r="CI23" s="18">
        <f t="shared" si="9"/>
        <v>42</v>
      </c>
      <c r="CJ23" s="90">
        <f t="shared" si="17"/>
        <v>3.9585646965650159E-2</v>
      </c>
      <c r="CK23" s="104">
        <f t="shared" si="18"/>
        <v>1.0361739502119589E-2</v>
      </c>
      <c r="CL23" s="106">
        <f t="shared" si="19"/>
        <v>0</v>
      </c>
      <c r="CM23" s="89">
        <f t="shared" si="20"/>
        <v>3.9159687171057347E-2</v>
      </c>
      <c r="CN23" s="104">
        <f t="shared" si="21"/>
        <v>9.8778871315275407E-3</v>
      </c>
      <c r="CO23" s="106">
        <f t="shared" si="22"/>
        <v>0</v>
      </c>
      <c r="CP23" s="89">
        <f t="shared" si="23"/>
        <v>2.3794373702957207E-2</v>
      </c>
      <c r="CQ23" s="87">
        <f t="shared" si="24"/>
        <v>1.6909624302090469E-2</v>
      </c>
      <c r="CR23" s="95">
        <f t="shared" si="25"/>
        <v>8.5792333117025617E-3</v>
      </c>
      <c r="CS23" s="96">
        <f t="shared" si="26"/>
        <v>8.5792333117025617E-3</v>
      </c>
      <c r="CT23" s="97">
        <f t="shared" si="27"/>
        <v>6.0054633181917932E-3</v>
      </c>
      <c r="CU23" s="89">
        <f t="shared" si="28"/>
        <v>3.4197010420295985E-2</v>
      </c>
      <c r="CV23" s="87">
        <f t="shared" si="29"/>
        <v>1.6909624302090469E-2</v>
      </c>
      <c r="CW23" s="92">
        <f t="shared" si="30"/>
        <v>3.1134315130051061E-3</v>
      </c>
      <c r="CX23" s="89">
        <f t="shared" si="31"/>
        <v>3.9159687171057347E-2</v>
      </c>
      <c r="CY23" s="87">
        <f t="shared" si="32"/>
        <v>1.1633357101216095E-2</v>
      </c>
      <c r="CZ23" s="115">
        <f t="shared" si="33"/>
        <v>3.1134315130051061E-3</v>
      </c>
      <c r="DA23" s="11"/>
      <c r="DB23">
        <f t="shared" si="10"/>
        <v>42</v>
      </c>
      <c r="DC23" s="11">
        <f t="shared" si="63"/>
        <v>4.994738646776975E-2</v>
      </c>
      <c r="DD23" s="11">
        <f t="shared" si="64"/>
        <v>4.9037574302584888E-2</v>
      </c>
      <c r="DE23" s="11">
        <f t="shared" si="34"/>
        <v>4.9283231316750234E-2</v>
      </c>
      <c r="DF23" s="11">
        <f t="shared" si="35"/>
        <v>4.9283231316750234E-2</v>
      </c>
      <c r="DG23" s="11">
        <f t="shared" si="36"/>
        <v>4.6709461323239471E-2</v>
      </c>
      <c r="DH23" s="11">
        <f t="shared" si="37"/>
        <v>5.4220066235391558E-2</v>
      </c>
      <c r="DI23" s="11">
        <f t="shared" si="38"/>
        <v>5.3906475785278546E-2</v>
      </c>
      <c r="DV23">
        <f t="shared" si="39"/>
        <v>42</v>
      </c>
      <c r="DW23" s="11">
        <f>SUMPRODUCT($B23:$B$48, $Y23:$Y$48, CK23:CK$48)/$B23/$Y23</f>
        <v>0.19476589422152468</v>
      </c>
      <c r="DX23" s="11">
        <f>SUMPRODUCT($B23:$B$48, $Y23:$Y$48, CN23:CN$48)/$B23/$Y23</f>
        <v>0.18638640392471517</v>
      </c>
      <c r="DY23" s="11" cm="1">
        <f t="array" ref="DY23">SUMPRODUCT($B23:$B$48, $Y23:$Y$48, $CQ23:$CQ$48 + CR23:CR$48)/$B23/$Y23</f>
        <v>1.2114572195176188</v>
      </c>
      <c r="DZ23" s="11" cm="1">
        <f t="array" ref="DZ23">SUMPRODUCT($B23:$B$48, $Y23:$Y$48, $CQ23:$CQ$48 + CS23:CS$48)/$B23/$Y23</f>
        <v>1.2114572195176188</v>
      </c>
      <c r="EA23" s="11" cm="1">
        <f t="array" ref="EA23">SUMPRODUCT($B23:$B$48, $Y23:$Y$48, $CQ23:$CQ$48 + CT23:CT$48)/$B23/$Y23</f>
        <v>0.98427006338469469</v>
      </c>
      <c r="EB23" s="11" cm="1">
        <f t="array" ref="EB23">SUMPRODUCT($B23:$B$48, $Y23:$Y$48, $CV23:$CV$48 + CW23:CW$48)/$B23/$Y23</f>
        <v>0.53717196288639901</v>
      </c>
      <c r="EC23" s="11" cm="1">
        <f t="array" ref="EC23">SUMPRODUCT($B23:$B$48, $Y23:$Y$48, $CY23:$CY$48 + CZ23:CZ$48)/$B23/$Y23</f>
        <v>0.31272862121962125</v>
      </c>
      <c r="EE23" s="73">
        <f>Settings!T31</f>
        <v>42</v>
      </c>
      <c r="EF23" s="14">
        <f>SUMPRODUCT($B23:$B$48, $Y23:$Y$48, CK23:CK$48)/$B23/$AD22</f>
        <v>5.3821756076625274E-2</v>
      </c>
      <c r="EG23" s="14">
        <f>SUMPRODUCT($B23:$B$48, $Y23:$Y$48, CN23:CN$48)/$B23/$AD22</f>
        <v>5.1506161323221639E-2</v>
      </c>
      <c r="EH23" s="14" cm="1">
        <f t="array" ref="EH23">SUMPRODUCT($B23:$B$48, $Y23:$Y$48, $CQ23:$CQ$48 + CR23:CR$48)/$B23/$AD22</f>
        <v>0.33477501400724213</v>
      </c>
      <c r="EI23" s="14" cm="1">
        <f t="array" ref="EI23">SUMPRODUCT($B23:$B$48, $Y23:$Y$48, $CQ23:$CQ$48 + CS23:CS$48)/$B23/$AD22</f>
        <v>0.33477501400724213</v>
      </c>
      <c r="EJ23" s="14" cm="1">
        <f t="array" ref="EJ23">SUMPRODUCT($B23:$B$48, $Y23:$Y$48, $CQ23:$CQ$48 + CT23:CT$48)/$B23/$AD22</f>
        <v>0.27199394163313917</v>
      </c>
      <c r="EK23" s="14" cm="1">
        <f t="array" ref="EK23">SUMPRODUCT($B23:$B$48, $Y23:$Y$48, $CV23:$CV$48 + CW23:CW$48)/$B23/$AD22</f>
        <v>0.1484425108062816</v>
      </c>
      <c r="EL23" s="14" cm="1">
        <f t="array" ref="EL23">SUMPRODUCT($B23:$B$48, $Y23:$Y$48, $CY23:$CY$48 + CZ23:CZ$48)/$B23/$AD22</f>
        <v>8.6419666218961855E-2</v>
      </c>
    </row>
    <row r="24" spans="1:142" x14ac:dyDescent="0.25">
      <c r="A24">
        <v>18</v>
      </c>
      <c r="B24">
        <f>B23/(1+Settings!O$14)</f>
        <v>0.76491158661458558</v>
      </c>
      <c r="C24" s="73">
        <f>C23/(1+Settings!$O$15)</f>
        <v>0.76491158661458558</v>
      </c>
      <c r="D24" s="73">
        <f>D23/(1+Settings!$O$16)</f>
        <v>0.76491158661458558</v>
      </c>
      <c r="E24" s="73">
        <f>E23/(1+Settings!$O$17)</f>
        <v>0.76491158661458558</v>
      </c>
      <c r="F24" s="73">
        <f>F23/(1+Settings!$O$18)</f>
        <v>0.76491158661458558</v>
      </c>
      <c r="H24">
        <f>Grondslag!A20</f>
        <v>43</v>
      </c>
      <c r="I24" s="15">
        <f>IF(Settings!C$7="Unisex", overlevtafel!I50, IF(Settings!C$7="Man", overlevtafel!D50, IF(Settings!C$7="Vrouw",overlevtafel!G50) ) )/I$4</f>
        <v>0.98713030438422156</v>
      </c>
      <c r="J24" s="11">
        <f t="shared" si="58"/>
        <v>9.4494173715209406E-4</v>
      </c>
      <c r="K24" s="11">
        <f>IFERROR(J24/SUM(J24:J$100), 1)</f>
        <v>9.5634594576537589E-4</v>
      </c>
      <c r="M24" s="20">
        <v>33</v>
      </c>
      <c r="N24" s="73">
        <f>IF(Settings!D$7="Unisex", overlevtafel!Q40, IF(Settings!D$7="Man", overlevtafel!L40, IF(Settings!D$7="Vrouw",overlevtafel!O40) ) )</f>
        <v>96919.5</v>
      </c>
      <c r="O24" s="20">
        <f t="shared" si="59"/>
        <v>43</v>
      </c>
      <c r="P24" s="15">
        <f t="shared" si="40"/>
        <v>0.98713030438422156</v>
      </c>
      <c r="R24" s="73">
        <f>1*($H24&gt;=Settings!D$10)</f>
        <v>0</v>
      </c>
      <c r="S24" s="73">
        <f t="shared" si="41"/>
        <v>43</v>
      </c>
      <c r="T24" s="73">
        <f>1*($S24&gt;=Settings!D$10)</f>
        <v>0</v>
      </c>
      <c r="V24" s="18">
        <f t="shared" si="8"/>
        <v>43</v>
      </c>
      <c r="W24">
        <f>Grondslag!J20</f>
        <v>50</v>
      </c>
      <c r="X24" s="73">
        <f t="shared" si="12"/>
        <v>50</v>
      </c>
      <c r="Y24">
        <f>Grondslag!S20</f>
        <v>35</v>
      </c>
      <c r="AA24" s="54">
        <f t="shared" si="42"/>
        <v>10.849688541971791</v>
      </c>
      <c r="AB24" s="14" cm="1">
        <f t="array" ref="AB24">IFERROR(Settings!O$3/NP_OP*AVERAGE(Y$6:Y$48)/SUM(Y$6:Y$48/AA$6:AA$48), 0)</f>
        <v>0.18717547021577788</v>
      </c>
      <c r="AC24" s="54">
        <f t="shared" si="43"/>
        <v>13.268751988645581</v>
      </c>
      <c r="AD24" s="54">
        <f t="shared" si="13"/>
        <v>143.96182641747336</v>
      </c>
      <c r="AE24" s="14">
        <f t="shared" si="14"/>
        <v>0.37910719967558804</v>
      </c>
      <c r="AF24" s="52" cm="1">
        <f t="array" ref="AF24">IFERROR(AB24*SUMPRODUCT(Y24:Y$48,1/AA24:AA$48)/AVERAGE(Y$6:Y$48), 0)</f>
        <v>0.35243020524545576</v>
      </c>
      <c r="AG24" s="14" cm="1">
        <f t="array" ref="AG24">IFERROR( AB24*SUM(1/AA24:AA$48), 0)</f>
        <v>0.35243020524545576</v>
      </c>
      <c r="AI24" s="20">
        <f t="shared" si="60"/>
        <v>2.9917737538252078E-2</v>
      </c>
      <c r="AJ24" s="20">
        <f t="shared" si="44"/>
        <v>3.4258014432701076</v>
      </c>
      <c r="AK24" s="20">
        <f t="shared" si="45"/>
        <v>0.29190249830867238</v>
      </c>
      <c r="AL24" s="5">
        <f>IFERROR( Settings!O$3*AVERAGE(Y$6:Y$48)/SUMPRODUCT(Y$6:Y$48, AK$6:AK$48), 0)</f>
        <v>3.9159687171057347E-2</v>
      </c>
      <c r="AM24" s="52">
        <f>IFERROR( AL24*SUMPRODUCT(Y24:Y$48, AK24:AK$48)/AVERAGE(Y$6:Y$48), 0)</f>
        <v>0.27712323946352146</v>
      </c>
      <c r="AN24" s="14">
        <f>IFERROR(AL24*SUM(AK24:AK$48),0)</f>
        <v>0.27712323946352146</v>
      </c>
      <c r="AO24" s="5">
        <f t="shared" si="46"/>
        <v>7.9489163550862871E-3</v>
      </c>
      <c r="AQ24" s="5">
        <f>NP_OP*NPuitkering_leeftijd!F25*AJ24/Y24</f>
        <v>3.9834900503140785E-2</v>
      </c>
      <c r="AR24" s="5">
        <f>NP_OP*SUM(NPuitkering_leeftijd!F25:F$49)/AVERAGE(Y24:Y$48)</f>
        <v>0.2906976744186045</v>
      </c>
      <c r="AS24" s="50">
        <f>IFERROR( AQ24*SUM(AK24:AK$48), 0)</f>
        <v>0.28190155408842016</v>
      </c>
      <c r="AT24" s="5">
        <f t="shared" si="15"/>
        <v>8.3491360571866218E-3</v>
      </c>
      <c r="AX24" s="20" cm="1">
        <f t="array" ref="AX24">IFERROR( $K24*SUMPRODUCT($P24:$P99, $C$6:$C$81, 1-$T24:$T99)/MIN($P23,1), 0)</f>
        <v>1.9521075572903928E-2</v>
      </c>
      <c r="AY24" s="5">
        <f t="shared" si="16"/>
        <v>0</v>
      </c>
      <c r="BC24" s="20" cm="1">
        <f t="array" ref="BC24">IFERROR($K24*SUMPRODUCT($P24:$P99, $C$6:$C$81, 1-$T24:$T99)/MIN($P24,1), 0)</f>
        <v>1.9539762345036252E-2</v>
      </c>
      <c r="BD24" s="5">
        <f>BC24*Settings!$I$3*$W24/$Y24</f>
        <v>1.3956973103597323E-2</v>
      </c>
      <c r="BG24" s="20">
        <f t="shared" si="47"/>
        <v>1.0406614288536373E-2</v>
      </c>
      <c r="BH24" s="5">
        <f>BG24*Settings!I$7*W24/$Y24</f>
        <v>7.4332959203831234E-3</v>
      </c>
      <c r="BI24" s="5">
        <f>BG24*Settings!I$7*$X24/$Y24</f>
        <v>7.4332959203831234E-3</v>
      </c>
      <c r="BJ24" s="5">
        <f>BG24*Settings!I$7*MAX(W24-voltijdfranchise/1000, 0)/$Y24</f>
        <v>5.2033071442681867E-3</v>
      </c>
      <c r="BM24" s="15" cm="1">
        <f t="array" ref="BM24">IFERROR( $K24*SUMPRODUCT($P24:$P99, $C$6:$C$81, 1-$T24:$T99)/MIN($P24,1), 0)</f>
        <v>1.9539762345036252E-2</v>
      </c>
      <c r="BN24" s="5">
        <f>BM24*Settings!I$3*$W24/$Y24</f>
        <v>1.3956973103597323E-2</v>
      </c>
      <c r="BQ24" s="15"/>
      <c r="BR24" s="15">
        <f t="shared" si="48"/>
        <v>0.23430757105469635</v>
      </c>
      <c r="BS24" s="15">
        <f>BM24*(Settings!I$4*$W24/$Y24  - BR24)</f>
        <v>9.3786588495458605E-3</v>
      </c>
      <c r="BV24" s="20">
        <f t="shared" si="49"/>
        <v>1.0406614288536373E-2</v>
      </c>
      <c r="BW24" s="20">
        <f t="shared" si="50"/>
        <v>2.9172133639839721</v>
      </c>
      <c r="BX24" s="20">
        <f t="shared" si="51"/>
        <v>0.34279289007312191</v>
      </c>
      <c r="BY24" s="5">
        <f>IFERROR(Settings!O$5*AVERAGE(Y$6:Y$48)/SUMPRODUCT(Y$6:Y$48, BX$6:BX$48), 0)</f>
        <v>3.4197010420295985E-2</v>
      </c>
      <c r="BZ24" s="14">
        <f>IFERROR(BY24*SUMPRODUCT(Y24:Y$48, BX24:BX$48)/AVERAGE(Y24:Y$48), 0)</f>
        <v>0.25921659562667521</v>
      </c>
      <c r="CA24" s="5">
        <f t="shared" si="52"/>
        <v>2.5755756747777641E-3</v>
      </c>
      <c r="CB24" s="5"/>
      <c r="CC24" s="5"/>
      <c r="CD24" s="20">
        <f t="shared" si="53"/>
        <v>2.9946376633572622E-2</v>
      </c>
      <c r="CE24" s="20">
        <f t="shared" si="54"/>
        <v>1.9508257241847515</v>
      </c>
      <c r="CF24" s="73">
        <f t="shared" si="55"/>
        <v>0.51260345176035604</v>
      </c>
      <c r="CG24" s="5" cm="1">
        <f t="array" ref="CG24">IFERROR(Settings!O$6*AVERAGE(Y$6:Y$48)/SUMPRODUCT(Y$6:Y$48,1/CE$6:CE$48), 0)</f>
        <v>2.3794373702957207E-2</v>
      </c>
      <c r="CI24" s="18">
        <f t="shared" si="9"/>
        <v>43</v>
      </c>
      <c r="CJ24" s="90">
        <f t="shared" si="17"/>
        <v>3.9834900503140785E-2</v>
      </c>
      <c r="CK24" s="104">
        <f t="shared" si="18"/>
        <v>8.3491360571866218E-3</v>
      </c>
      <c r="CL24" s="106">
        <f t="shared" si="19"/>
        <v>0</v>
      </c>
      <c r="CM24" s="89">
        <f t="shared" si="20"/>
        <v>3.9159687171057347E-2</v>
      </c>
      <c r="CN24" s="104">
        <f t="shared" si="21"/>
        <v>7.9489163550862871E-3</v>
      </c>
      <c r="CO24" s="106">
        <f t="shared" si="22"/>
        <v>0</v>
      </c>
      <c r="CP24" s="89">
        <f t="shared" si="23"/>
        <v>2.3794373702957207E-2</v>
      </c>
      <c r="CQ24" s="87">
        <f t="shared" si="24"/>
        <v>1.3956973103597323E-2</v>
      </c>
      <c r="CR24" s="95">
        <f t="shared" si="25"/>
        <v>7.4332959203831234E-3</v>
      </c>
      <c r="CS24" s="96">
        <f t="shared" si="26"/>
        <v>7.4332959203831234E-3</v>
      </c>
      <c r="CT24" s="97">
        <f t="shared" si="27"/>
        <v>5.2033071442681867E-3</v>
      </c>
      <c r="CU24" s="89">
        <f t="shared" si="28"/>
        <v>3.4197010420295985E-2</v>
      </c>
      <c r="CV24" s="87">
        <f t="shared" si="29"/>
        <v>1.3956973103597323E-2</v>
      </c>
      <c r="CW24" s="92">
        <f t="shared" si="30"/>
        <v>2.5755756747777641E-3</v>
      </c>
      <c r="CX24" s="89">
        <f t="shared" si="31"/>
        <v>3.9159687171057347E-2</v>
      </c>
      <c r="CY24" s="87">
        <f t="shared" si="32"/>
        <v>9.3786588495458605E-3</v>
      </c>
      <c r="CZ24" s="115">
        <f t="shared" si="33"/>
        <v>2.5755756747777641E-3</v>
      </c>
      <c r="DA24" s="11"/>
      <c r="DB24">
        <f t="shared" si="10"/>
        <v>43</v>
      </c>
      <c r="DC24" s="11">
        <f t="shared" si="63"/>
        <v>4.8184036560327409E-2</v>
      </c>
      <c r="DD24" s="11">
        <f t="shared" si="64"/>
        <v>4.7108603526143634E-2</v>
      </c>
      <c r="DE24" s="11">
        <f t="shared" si="34"/>
        <v>4.5184642726937653E-2</v>
      </c>
      <c r="DF24" s="11">
        <f t="shared" si="35"/>
        <v>4.5184642726937653E-2</v>
      </c>
      <c r="DG24" s="11">
        <f t="shared" si="36"/>
        <v>4.2954653950822715E-2</v>
      </c>
      <c r="DH24" s="11">
        <f t="shared" si="37"/>
        <v>5.0729559198671073E-2</v>
      </c>
      <c r="DI24" s="11">
        <f t="shared" si="38"/>
        <v>5.1113921695380975E-2</v>
      </c>
      <c r="DV24">
        <f t="shared" si="39"/>
        <v>43</v>
      </c>
      <c r="DW24" s="11">
        <f>SUMPRODUCT($B24:$B$48, $Y24:$Y$48, CK24:CK$48)/$B24/$Y24</f>
        <v>0.18717021704019612</v>
      </c>
      <c r="DX24" s="11">
        <f>SUMPRODUCT($B24:$B$48, $Y24:$Y$48, CN24:CN$48)/$B24/$Y24</f>
        <v>0.17915614454508541</v>
      </c>
      <c r="DY24" s="11" cm="1">
        <f t="array" ref="DY24">SUMPRODUCT($B24:$B$48, $Y24:$Y$48, $CQ24:$CQ$48 + CR24:CR$48)/$B24/$Y24</f>
        <v>1.2037578873323831</v>
      </c>
      <c r="DZ24" s="11" cm="1">
        <f t="array" ref="DZ24">SUMPRODUCT($B24:$B$48, $Y24:$Y$48, $CQ24:$CQ$48 + CS24:CS$48)/$B24/$Y24</f>
        <v>1.2037578873323831</v>
      </c>
      <c r="EA24" s="11" cm="1">
        <f t="array" ref="EA24">SUMPRODUCT($B24:$B$48, $Y24:$Y$48, $CQ24:$CQ$48 + CT24:CT$48)/$B24/$Y24</f>
        <v>0.97577530040087845</v>
      </c>
      <c r="EB24" s="11" cm="1">
        <f t="array" ref="EB24">SUMPRODUCT($B24:$B$48, $Y24:$Y$48, $CV24:$CV$48 + CW24:CW$48)/$B24/$Y24</f>
        <v>0.52490614067737296</v>
      </c>
      <c r="EC24" s="11" cm="1">
        <f t="array" ref="EC24">SUMPRODUCT($B24:$B$48, $Y24:$Y$48, $CY24:$CY$48 + CZ24:CZ$48)/$B24/$Y24</f>
        <v>0.30245156009448099</v>
      </c>
      <c r="EE24" s="73">
        <f>Settings!T32</f>
        <v>43</v>
      </c>
      <c r="EF24" s="14">
        <f>SUMPRODUCT($B24:$B$48, $Y24:$Y$48, CK24:CK$48)/$B24/$AD23</f>
        <v>4.8435731421725831E-2</v>
      </c>
      <c r="EG24" s="14">
        <f>SUMPRODUCT($B24:$B$48, $Y24:$Y$48, CN24:CN$48)/$B24/$AD23</f>
        <v>4.6361857334781424E-2</v>
      </c>
      <c r="EH24" s="14" cm="1">
        <f t="array" ref="EH24">SUMPRODUCT($B24:$B$48, $Y24:$Y$48, $CQ24:$CQ$48 + CR24:CR$48)/$B24/$AD23</f>
        <v>0.31150732552227595</v>
      </c>
      <c r="EI24" s="14" cm="1">
        <f t="array" ref="EI24">SUMPRODUCT($B24:$B$48, $Y24:$Y$48, $CQ24:$CQ$48 + CS24:CS$48)/$B24/$AD23</f>
        <v>0.31150732552227595</v>
      </c>
      <c r="EJ24" s="14" cm="1">
        <f t="array" ref="EJ24">SUMPRODUCT($B24:$B$48, $Y24:$Y$48, $CQ24:$CQ$48 + CT24:CT$48)/$B24/$AD23</f>
        <v>0.25251020768983162</v>
      </c>
      <c r="EK24" s="14" cm="1">
        <f t="array" ref="EK24">SUMPRODUCT($B24:$B$48, $Y24:$Y$48, $CV24:$CV$48 + CW24:CW$48)/$B24/$AD23</f>
        <v>0.13583471373548625</v>
      </c>
      <c r="EL24" s="14" cm="1">
        <f t="array" ref="EL24">SUMPRODUCT($B24:$B$48, $Y24:$Y$48, $CY24:$CY$48 + CZ24:CZ$48)/$B24/$AD23</f>
        <v>7.8268128148145363E-2</v>
      </c>
    </row>
    <row r="25" spans="1:142" x14ac:dyDescent="0.25">
      <c r="A25">
        <v>19</v>
      </c>
      <c r="B25">
        <f>B24/(1+Settings!O$14)</f>
        <v>0.75360747449712873</v>
      </c>
      <c r="C25" s="73">
        <f>C24/(1+Settings!$O$15)</f>
        <v>0.75360747449712873</v>
      </c>
      <c r="D25" s="73">
        <f>D24/(1+Settings!$O$16)</f>
        <v>0.75360747449712873</v>
      </c>
      <c r="E25" s="73">
        <f>E24/(1+Settings!$O$17)</f>
        <v>0.75360747449712873</v>
      </c>
      <c r="F25" s="73">
        <f>F24/(1+Settings!$O$18)</f>
        <v>0.75360747449712873</v>
      </c>
      <c r="H25">
        <f>Grondslag!A21</f>
        <v>44</v>
      </c>
      <c r="I25" s="15">
        <f>IF(Settings!C$7="Unisex", overlevtafel!I51, IF(Settings!C$7="Man", overlevtafel!D51, IF(Settings!C$7="Vrouw",overlevtafel!G51) ) )/I$4</f>
        <v>0.98591831389526552</v>
      </c>
      <c r="J25" s="11">
        <f t="shared" si="58"/>
        <v>1.2119904889560384E-3</v>
      </c>
      <c r="K25" s="11">
        <f>IFERROR(J25/SUM(J25:J$100), 1)</f>
        <v>1.2277918198195946E-3</v>
      </c>
      <c r="M25" s="20">
        <v>34</v>
      </c>
      <c r="N25" s="73">
        <f>IF(Settings!D$7="Unisex", overlevtafel!Q41, IF(Settings!D$7="Man", overlevtafel!L41, IF(Settings!D$7="Vrouw",overlevtafel!O41) ) )</f>
        <v>96856</v>
      </c>
      <c r="O25" s="20">
        <f t="shared" si="59"/>
        <v>44</v>
      </c>
      <c r="P25" s="15">
        <f t="shared" si="40"/>
        <v>0.98591831389526552</v>
      </c>
      <c r="R25" s="73">
        <f>1*($H25&gt;=Settings!D$10)</f>
        <v>0</v>
      </c>
      <c r="S25" s="73">
        <f t="shared" si="41"/>
        <v>44</v>
      </c>
      <c r="T25" s="73">
        <f>1*($S25&gt;=Settings!D$10)</f>
        <v>0</v>
      </c>
      <c r="V25" s="18">
        <f t="shared" si="8"/>
        <v>44</v>
      </c>
      <c r="W25">
        <f>Grondslag!J21</f>
        <v>50</v>
      </c>
      <c r="X25" s="73">
        <f t="shared" si="12"/>
        <v>50</v>
      </c>
      <c r="Y25">
        <f>Grondslag!S21</f>
        <v>35</v>
      </c>
      <c r="AA25" s="54">
        <f t="shared" si="42"/>
        <v>11.025971484568766</v>
      </c>
      <c r="AB25" s="14" cm="1">
        <f t="array" ref="AB25">IFERROR(Settings!O$3/NP_OP*AVERAGE(Y$6:Y$48)/SUM(Y$6:Y$48/AA$6:AA$48), 0)</f>
        <v>0.18717547021577788</v>
      </c>
      <c r="AC25" s="54">
        <f t="shared" si="43"/>
        <v>13.862907475690037</v>
      </c>
      <c r="AD25" s="54">
        <f t="shared" si="13"/>
        <v>152.85202252017351</v>
      </c>
      <c r="AE25" s="14">
        <f t="shared" si="14"/>
        <v>0.39608307073400106</v>
      </c>
      <c r="AF25" s="52" cm="1">
        <f t="array" ref="AF25">IFERROR(AB25*SUMPRODUCT(Y25:Y$48,1/AA25:AA$48)/AVERAGE(Y$6:Y$48), 0)</f>
        <v>0.33517851461012615</v>
      </c>
      <c r="AG25" s="14" cm="1">
        <f t="array" ref="AG25">IFERROR( AB25*SUM(1/AA25:AA$48), 0)</f>
        <v>0.33517851461012615</v>
      </c>
      <c r="AI25" s="20">
        <f t="shared" si="60"/>
        <v>3.7776736065444849E-2</v>
      </c>
      <c r="AJ25" s="20">
        <f t="shared" si="44"/>
        <v>3.455301534295701</v>
      </c>
      <c r="AK25" s="20">
        <f t="shared" si="45"/>
        <v>0.28941034236070845</v>
      </c>
      <c r="AL25" s="5">
        <f>IFERROR( Settings!O$3*AVERAGE(Y$6:Y$48)/SUMPRODUCT(Y$6:Y$48, AK$6:AK$48), 0)</f>
        <v>3.9159687171057347E-2</v>
      </c>
      <c r="AM25" s="52">
        <f>IFERROR( AL25*SUMPRODUCT(Y25:Y$48, AK25:AK$48)/AVERAGE(Y$6:Y$48), 0)</f>
        <v>0.26569242894530382</v>
      </c>
      <c r="AN25" s="14">
        <f>IFERROR(AL25*SUM(AK25:AK$48),0)</f>
        <v>0.26569242894530376</v>
      </c>
      <c r="AO25" s="5">
        <f t="shared" si="46"/>
        <v>9.6088607599059579E-3</v>
      </c>
      <c r="AQ25" s="5">
        <f>NP_OP*NPuitkering_leeftijd!F26*AJ25/Y25</f>
        <v>4.0177924817391873E-2</v>
      </c>
      <c r="AR25" s="5">
        <f>NP_OP*SUM(NPuitkering_leeftijd!F26:F$49)/AVERAGE(Y25:Y$48)</f>
        <v>0.27906976744186029</v>
      </c>
      <c r="AS25" s="50">
        <f>IFERROR( AQ25*SUM(AK25:AK$48), 0)</f>
        <v>0.27260101410116583</v>
      </c>
      <c r="AT25" s="5">
        <f t="shared" si="15"/>
        <v>1.0103080575642222E-2</v>
      </c>
      <c r="AX25" s="20" cm="1">
        <f t="array" ref="AX25">IFERROR( $K25*SUMPRODUCT($P25:$P100, $C$6:$C$81, 1-$T25:$T100)/MIN($P24,1), 0)</f>
        <v>2.4215939055800224E-2</v>
      </c>
      <c r="AY25" s="5">
        <f t="shared" si="16"/>
        <v>0</v>
      </c>
      <c r="BC25" s="20" cm="1">
        <f t="array" ref="BC25">IFERROR($K25*SUMPRODUCT($P25:$P100, $C$6:$C$81, 1-$T25:$T100)/MIN($P25,1), 0)</f>
        <v>2.4245707736839133E-2</v>
      </c>
      <c r="BD25" s="5">
        <f>BC25*Settings!$I$3*$W25/$Y25</f>
        <v>1.7318362669170809E-2</v>
      </c>
      <c r="BG25" s="20">
        <f t="shared" si="47"/>
        <v>1.3577467312616723E-2</v>
      </c>
      <c r="BH25" s="5">
        <f>BG25*Settings!I$7*W25/$Y25</f>
        <v>9.6981909375833744E-3</v>
      </c>
      <c r="BI25" s="5">
        <f>BG25*Settings!I$7*$X25/$Y25</f>
        <v>9.6981909375833744E-3</v>
      </c>
      <c r="BJ25" s="5">
        <f>BG25*Settings!I$7*MAX(W25-voltijdfranchise/1000, 0)/$Y25</f>
        <v>6.7887336563083617E-3</v>
      </c>
      <c r="BM25" s="15" cm="1">
        <f t="array" ref="BM25">IFERROR( $K25*SUMPRODUCT($P25:$P100, $C$6:$C$81, 1-$T25:$T100)/MIN($P25,1), 0)</f>
        <v>2.4245707736839133E-2</v>
      </c>
      <c r="BN25" s="5">
        <f>BM25*Settings!I$3*$W25/$Y25</f>
        <v>1.7318362669170809E-2</v>
      </c>
      <c r="BQ25" s="15"/>
      <c r="BR25" s="15">
        <f t="shared" si="48"/>
        <v>0.2456407895256103</v>
      </c>
      <c r="BS25" s="15">
        <f>BM25*(Settings!I$4*$W25/$Y25  - BR25)</f>
        <v>1.1362627878086447E-2</v>
      </c>
      <c r="BV25" s="20">
        <f t="shared" si="49"/>
        <v>1.3577467312616723E-2</v>
      </c>
      <c r="BW25" s="20">
        <f t="shared" si="50"/>
        <v>2.9576671913619488</v>
      </c>
      <c r="BX25" s="20">
        <f t="shared" si="51"/>
        <v>0.33810430156596466</v>
      </c>
      <c r="BY25" s="5">
        <f>IFERROR(Settings!O$5*AVERAGE(Y$6:Y$48)/SUMPRODUCT(Y$6:Y$48, BX$6:BX$48), 0)</f>
        <v>3.4197010420295985E-2</v>
      </c>
      <c r="BZ25" s="14">
        <f>IFERROR(BY25*SUMPRODUCT(Y25:Y$48, BX25:BX$48)/AVERAGE(Y25:Y$48), 0)</f>
        <v>0.24749410359284135</v>
      </c>
      <c r="CA25" s="5">
        <f t="shared" si="52"/>
        <v>3.203358302047446E-3</v>
      </c>
      <c r="CB25" s="5"/>
      <c r="CC25" s="5"/>
      <c r="CD25" s="20">
        <f t="shared" si="53"/>
        <v>3.7823175049455836E-2</v>
      </c>
      <c r="CE25" s="20">
        <f t="shared" si="54"/>
        <v>1.984959351388152</v>
      </c>
      <c r="CF25" s="73">
        <f t="shared" si="55"/>
        <v>0.50378865406017748</v>
      </c>
      <c r="CG25" s="5" cm="1">
        <f t="array" ref="CG25">IFERROR(Settings!O$6*AVERAGE(Y$6:Y$48)/SUMPRODUCT(Y$6:Y$48,1/CE$6:CE$48), 0)</f>
        <v>2.3794373702957207E-2</v>
      </c>
      <c r="CI25" s="18">
        <f t="shared" si="9"/>
        <v>44</v>
      </c>
      <c r="CJ25" s="90">
        <f t="shared" si="17"/>
        <v>4.0177924817391873E-2</v>
      </c>
      <c r="CK25" s="104">
        <f t="shared" si="18"/>
        <v>1.0103080575642222E-2</v>
      </c>
      <c r="CL25" s="106">
        <f t="shared" si="19"/>
        <v>0</v>
      </c>
      <c r="CM25" s="89">
        <f t="shared" si="20"/>
        <v>3.9159687171057347E-2</v>
      </c>
      <c r="CN25" s="104">
        <f t="shared" si="21"/>
        <v>9.6088607599059579E-3</v>
      </c>
      <c r="CO25" s="106">
        <f t="shared" si="22"/>
        <v>0</v>
      </c>
      <c r="CP25" s="89">
        <f t="shared" si="23"/>
        <v>2.3794373702957207E-2</v>
      </c>
      <c r="CQ25" s="87">
        <f t="shared" si="24"/>
        <v>1.7318362669170809E-2</v>
      </c>
      <c r="CR25" s="95">
        <f t="shared" si="25"/>
        <v>9.6981909375833744E-3</v>
      </c>
      <c r="CS25" s="96">
        <f t="shared" si="26"/>
        <v>9.6981909375833744E-3</v>
      </c>
      <c r="CT25" s="97">
        <f t="shared" si="27"/>
        <v>6.7887336563083617E-3</v>
      </c>
      <c r="CU25" s="89">
        <f t="shared" si="28"/>
        <v>3.4197010420295985E-2</v>
      </c>
      <c r="CV25" s="87">
        <f t="shared" si="29"/>
        <v>1.7318362669170809E-2</v>
      </c>
      <c r="CW25" s="92">
        <f t="shared" si="30"/>
        <v>3.203358302047446E-3</v>
      </c>
      <c r="CX25" s="89">
        <f t="shared" si="31"/>
        <v>3.9159687171057347E-2</v>
      </c>
      <c r="CY25" s="87">
        <f t="shared" si="32"/>
        <v>1.1362627878086447E-2</v>
      </c>
      <c r="CZ25" s="115">
        <f t="shared" si="33"/>
        <v>3.203358302047446E-3</v>
      </c>
      <c r="DA25" s="11"/>
      <c r="DB25">
        <f t="shared" si="10"/>
        <v>44</v>
      </c>
      <c r="DC25" s="11">
        <f t="shared" si="63"/>
        <v>5.0281005393034095E-2</v>
      </c>
      <c r="DD25" s="11">
        <f t="shared" si="64"/>
        <v>4.8768547930963302E-2</v>
      </c>
      <c r="DE25" s="11">
        <f t="shared" si="34"/>
        <v>5.0810927309711394E-2</v>
      </c>
      <c r="DF25" s="11">
        <f t="shared" si="35"/>
        <v>5.0810927309711394E-2</v>
      </c>
      <c r="DG25" s="11">
        <f t="shared" si="36"/>
        <v>4.790147002843638E-2</v>
      </c>
      <c r="DH25" s="11">
        <f t="shared" si="37"/>
        <v>5.4718731391514244E-2</v>
      </c>
      <c r="DI25" s="11">
        <f t="shared" si="38"/>
        <v>5.3725673351191244E-2</v>
      </c>
      <c r="DV25">
        <f t="shared" si="39"/>
        <v>44</v>
      </c>
      <c r="DW25" s="11">
        <f>SUMPRODUCT($B25:$B$48, $Y25:$Y$48, CK25:CK$48)/$B25/$Y25</f>
        <v>0.18150339719775471</v>
      </c>
      <c r="DX25" s="11">
        <f>SUMPRODUCT($B25:$B$48, $Y25:$Y$48, CN25:CN$48)/$B25/$Y25</f>
        <v>0.17377533661284911</v>
      </c>
      <c r="DY25" s="11" cm="1">
        <f t="array" ref="DY25">SUMPRODUCT($B25:$B$48, $Y25:$Y$48, $CQ25:$CQ$48 + CR25:CR$48)/$B25/$Y25</f>
        <v>1.2001031325830285</v>
      </c>
      <c r="DZ25" s="11" cm="1">
        <f t="array" ref="DZ25">SUMPRODUCT($B25:$B$48, $Y25:$Y$48, $CQ25:$CQ$48 + CS25:CS$48)/$B25/$Y25</f>
        <v>1.2001031325830285</v>
      </c>
      <c r="EA25" s="11" cm="1">
        <f t="array" ref="EA25">SUMPRODUCT($B25:$B$48, $Y25:$Y$48, $CQ25:$CQ$48 + CT25:CT$48)/$B25/$Y25</f>
        <v>0.97096424545530802</v>
      </c>
      <c r="EB25" s="11" cm="1">
        <f t="array" ref="EB25">SUMPRODUCT($B25:$B$48, $Y25:$Y$48, $CV25:$CV$48 + CW25:CW$48)/$B25/$Y25</f>
        <v>0.51599919577748277</v>
      </c>
      <c r="EC25" s="11" cm="1">
        <f t="array" ref="EC25">SUMPRODUCT($B25:$B$48, $Y25:$Y$48, $CY25:$CY$48 + CZ25:CZ$48)/$B25/$Y25</f>
        <v>0.29485478545370974</v>
      </c>
      <c r="EE25" s="73">
        <f>Settings!T33</f>
        <v>44</v>
      </c>
      <c r="EF25" s="14">
        <f>SUMPRODUCT($B25:$B$48, $Y25:$Y$48, CK25:CK$48)/$B25/$AD24</f>
        <v>4.4127106886651488E-2</v>
      </c>
      <c r="EG25" s="14">
        <f>SUMPRODUCT($B25:$B$48, $Y25:$Y$48, CN25:CN$48)/$B25/$AD24</f>
        <v>4.2248260756377144E-2</v>
      </c>
      <c r="EH25" s="14" cm="1">
        <f t="array" ref="EH25">SUMPRODUCT($B25:$B$48, $Y25:$Y$48, $CQ25:$CQ$48 + CR25:CR$48)/$B25/$AD24</f>
        <v>0.29176907994067941</v>
      </c>
      <c r="EI25" s="14" cm="1">
        <f t="array" ref="EI25">SUMPRODUCT($B25:$B$48, $Y25:$Y$48, $CQ25:$CQ$48 + CS25:CS$48)/$B25/$AD24</f>
        <v>0.29176907994067941</v>
      </c>
      <c r="EJ25" s="14" cm="1">
        <f t="array" ref="EJ25">SUMPRODUCT($B25:$B$48, $Y25:$Y$48, $CQ25:$CQ$48 + CT25:CT$48)/$B25/$AD24</f>
        <v>0.23606083249032056</v>
      </c>
      <c r="EK25" s="14" cm="1">
        <f t="array" ref="EK25">SUMPRODUCT($B25:$B$48, $Y25:$Y$48, $CV25:$CV$48 + CW25:CW$48)/$B25/$AD24</f>
        <v>0.12544972720643305</v>
      </c>
      <c r="EL25" s="14" cm="1">
        <f t="array" ref="EL25">SUMPRODUCT($B25:$B$48, $Y25:$Y$48, $CY25:$CY$48 + CZ25:CZ$48)/$B25/$AD24</f>
        <v>7.1685096998930969E-2</v>
      </c>
    </row>
    <row r="26" spans="1:142" x14ac:dyDescent="0.25">
      <c r="A26">
        <v>20</v>
      </c>
      <c r="B26">
        <f>B25/(1+Settings!O$14)</f>
        <v>0.74247041822377224</v>
      </c>
      <c r="C26" s="73">
        <f>C25/(1+Settings!$O$15)</f>
        <v>0.74247041822377224</v>
      </c>
      <c r="D26" s="73">
        <f>D25/(1+Settings!$O$16)</f>
        <v>0.74247041822377224</v>
      </c>
      <c r="E26" s="73">
        <f>E25/(1+Settings!$O$17)</f>
        <v>0.74247041822377224</v>
      </c>
      <c r="F26" s="73">
        <f>F25/(1+Settings!$O$18)</f>
        <v>0.74247041822377224</v>
      </c>
      <c r="H26">
        <f>Grondslag!A22</f>
        <v>45</v>
      </c>
      <c r="I26" s="15">
        <f>IF(Settings!C$7="Unisex", overlevtafel!I52, IF(Settings!C$7="Man", overlevtafel!D52, IF(Settings!C$7="Vrouw",overlevtafel!G52) ) )/I$4</f>
        <v>0.98451630794829526</v>
      </c>
      <c r="J26" s="11">
        <f t="shared" si="58"/>
        <v>1.4020059469702639E-3</v>
      </c>
      <c r="K26" s="11">
        <f>IFERROR(J26/SUM(J26:J$100), 1)</f>
        <v>1.4220305626225457E-3</v>
      </c>
      <c r="M26" s="20">
        <v>35</v>
      </c>
      <c r="N26" s="73">
        <f>IF(Settings!D$7="Unisex", overlevtafel!Q42, IF(Settings!D$7="Man", overlevtafel!L42, IF(Settings!D$7="Vrouw",overlevtafel!O42) ) )</f>
        <v>96789.5</v>
      </c>
      <c r="O26" s="20">
        <f t="shared" si="59"/>
        <v>45</v>
      </c>
      <c r="P26" s="15">
        <f t="shared" si="40"/>
        <v>0.98451630794829526</v>
      </c>
      <c r="R26" s="73">
        <f>1*($H26&gt;=Settings!D$10)</f>
        <v>0</v>
      </c>
      <c r="S26" s="73">
        <f t="shared" si="41"/>
        <v>45</v>
      </c>
      <c r="T26" s="73">
        <f>1*($S26&gt;=Settings!D$10)</f>
        <v>0</v>
      </c>
      <c r="V26" s="18">
        <f t="shared" si="8"/>
        <v>45</v>
      </c>
      <c r="W26">
        <f>Grondslag!J22</f>
        <v>50</v>
      </c>
      <c r="X26" s="73">
        <f t="shared" si="12"/>
        <v>50</v>
      </c>
      <c r="Y26">
        <f>Grondslag!S22</f>
        <v>35</v>
      </c>
      <c r="AA26" s="54">
        <f t="shared" si="42"/>
        <v>11.207298183615089</v>
      </c>
      <c r="AB26" s="14" cm="1">
        <f t="array" ref="AB26">IFERROR(Settings!O$3/NP_OP*AVERAGE(Y$6:Y$48)/SUM(Y$6:Y$48/AA$6:AA$48), 0)</f>
        <v>0.18717547021577788</v>
      </c>
      <c r="AC26" s="54">
        <f t="shared" si="43"/>
        <v>14.447449918500196</v>
      </c>
      <c r="AD26" s="54">
        <f t="shared" si="13"/>
        <v>161.91687922947722</v>
      </c>
      <c r="AE26" s="14">
        <f t="shared" si="14"/>
        <v>0.41278428338571987</v>
      </c>
      <c r="AF26" s="52" cm="1">
        <f t="array" ref="AF26">IFERROR(AB26*SUMPRODUCT(Y26:Y$48,1/AA26:AA$48)/AVERAGE(Y$6:Y$48), 0)</f>
        <v>0.31820264355171307</v>
      </c>
      <c r="AG26" s="14" cm="1">
        <f t="array" ref="AG26">IFERROR( AB26*SUM(1/AA26:AA$48), 0)</f>
        <v>0.31820264355171313</v>
      </c>
      <c r="AI26" s="20">
        <f t="shared" si="60"/>
        <v>4.3020607285469949E-2</v>
      </c>
      <c r="AJ26" s="20">
        <f t="shared" si="44"/>
        <v>3.4786741975878996</v>
      </c>
      <c r="AK26" s="20">
        <f t="shared" si="45"/>
        <v>0.2874658399149298</v>
      </c>
      <c r="AL26" s="5">
        <f>IFERROR( Settings!O$3*AVERAGE(Y$6:Y$48)/SUMPRODUCT(Y$6:Y$48, AK$6:AK$48), 0)</f>
        <v>3.9159687171057347E-2</v>
      </c>
      <c r="AM26" s="52">
        <f>IFERROR( AL26*SUMPRODUCT(Y26:Y$48, AK26:AK$48)/AVERAGE(Y$6:Y$48), 0)</f>
        <v>0.25435921047438986</v>
      </c>
      <c r="AN26" s="14">
        <f>IFERROR(AL26*SUM(AK26:AK$48),0)</f>
        <v>0.25435921047438981</v>
      </c>
      <c r="AO26" s="5">
        <f t="shared" si="46"/>
        <v>1.0458401613929511E-2</v>
      </c>
      <c r="AQ26" s="5">
        <f>NP_OP*NPuitkering_leeftijd!F27*AJ26/Y26</f>
        <v>4.0449699971952323E-2</v>
      </c>
      <c r="AR26" s="5">
        <f>NP_OP*SUM(NPuitkering_leeftijd!F27:F$49)/AVERAGE(Y26:Y$48)</f>
        <v>0.26744186046511614</v>
      </c>
      <c r="AS26" s="50">
        <f>IFERROR( AQ26*SUM(AK26:AK$48), 0)</f>
        <v>0.26273840502985651</v>
      </c>
      <c r="AT26" s="5">
        <f t="shared" si="15"/>
        <v>1.1005271631166724E-2</v>
      </c>
      <c r="AX26" s="20" cm="1">
        <f t="array" ref="AX26">IFERROR( $K26*SUMPRODUCT($P26:$P101, $C$6:$C$81, 1-$T26:$T101)/MIN($P25,1), 0)</f>
        <v>2.7059279992499106E-2</v>
      </c>
      <c r="AY26" s="5">
        <f t="shared" si="16"/>
        <v>0</v>
      </c>
      <c r="BC26" s="20" cm="1">
        <f t="array" ref="BC26">IFERROR($K26*SUMPRODUCT($P26:$P101, $C$6:$C$81, 1-$T26:$T101)/MIN($P26,1), 0)</f>
        <v>2.7097813911301605E-2</v>
      </c>
      <c r="BD26" s="5">
        <f>BC26*Settings!$I$3*$W26/$Y26</f>
        <v>1.9355581365215434E-2</v>
      </c>
      <c r="BG26" s="20">
        <f t="shared" si="47"/>
        <v>1.5984057110248234E-2</v>
      </c>
      <c r="BH26" s="5">
        <f>BG26*Settings!I$7*W26/$Y26</f>
        <v>1.1417183650177309E-2</v>
      </c>
      <c r="BI26" s="5">
        <f>BG26*Settings!I$7*$X26/$Y26</f>
        <v>1.1417183650177309E-2</v>
      </c>
      <c r="BJ26" s="5">
        <f>BG26*Settings!I$7*MAX(W26-voltijdfranchise/1000, 0)/$Y26</f>
        <v>7.9920285551241168E-3</v>
      </c>
      <c r="BM26" s="15" cm="1">
        <f t="array" ref="BM26">IFERROR( $K26*SUMPRODUCT($P26:$P101, $C$6:$C$81, 1-$T26:$T101)/MIN($P26,1), 0)</f>
        <v>2.7097813911301605E-2</v>
      </c>
      <c r="BN26" s="5">
        <f>BM26*Settings!I$3*$W26/$Y26</f>
        <v>1.9355581365215434E-2</v>
      </c>
      <c r="BQ26" s="15"/>
      <c r="BR26" s="15">
        <f t="shared" si="48"/>
        <v>0.25689786188904418</v>
      </c>
      <c r="BS26" s="15">
        <f>BM26*(Settings!I$4*$W26/$Y26  - BR26)</f>
        <v>1.2394210909534853E-2</v>
      </c>
      <c r="BV26" s="20">
        <f t="shared" si="49"/>
        <v>1.5984057110248234E-2</v>
      </c>
      <c r="BW26" s="20">
        <f t="shared" si="50"/>
        <v>2.9967680011386015</v>
      </c>
      <c r="BX26" s="20">
        <f t="shared" si="51"/>
        <v>0.3336928316172813</v>
      </c>
      <c r="BY26" s="5">
        <f>IFERROR(Settings!O$5*AVERAGE(Y$6:Y$48)/SUMPRODUCT(Y$6:Y$48, BX$6:BX$48), 0)</f>
        <v>3.4197010420295985E-2</v>
      </c>
      <c r="BZ26" s="14">
        <f>IFERROR(BY26*SUMPRODUCT(Y26:Y$48, BX26:BX$48)/AVERAGE(Y26:Y$48), 0)</f>
        <v>0.23593194726904315</v>
      </c>
      <c r="CA26" s="5">
        <f t="shared" si="52"/>
        <v>3.5887508924943743E-3</v>
      </c>
      <c r="CB26" s="5"/>
      <c r="CC26" s="5"/>
      <c r="CD26" s="20">
        <f t="shared" si="53"/>
        <v>4.3081871021549853E-2</v>
      </c>
      <c r="CE26" s="20">
        <f t="shared" si="54"/>
        <v>2.0204760130813106</v>
      </c>
      <c r="CF26" s="73">
        <f t="shared" si="55"/>
        <v>0.4949328739988148</v>
      </c>
      <c r="CG26" s="5" cm="1">
        <f t="array" ref="CG26">IFERROR(Settings!O$6*AVERAGE(Y$6:Y$48)/SUMPRODUCT(Y$6:Y$48,1/CE$6:CE$48), 0)</f>
        <v>2.3794373702957207E-2</v>
      </c>
      <c r="CI26" s="18">
        <f t="shared" si="9"/>
        <v>45</v>
      </c>
      <c r="CJ26" s="90">
        <f t="shared" si="17"/>
        <v>4.0449699971952323E-2</v>
      </c>
      <c r="CK26" s="104">
        <f t="shared" si="18"/>
        <v>1.1005271631166724E-2</v>
      </c>
      <c r="CL26" s="106">
        <f t="shared" si="19"/>
        <v>0</v>
      </c>
      <c r="CM26" s="89">
        <f t="shared" si="20"/>
        <v>3.9159687171057347E-2</v>
      </c>
      <c r="CN26" s="104">
        <f t="shared" si="21"/>
        <v>1.0458401613929511E-2</v>
      </c>
      <c r="CO26" s="106">
        <f t="shared" si="22"/>
        <v>0</v>
      </c>
      <c r="CP26" s="89">
        <f t="shared" si="23"/>
        <v>2.3794373702957207E-2</v>
      </c>
      <c r="CQ26" s="87">
        <f t="shared" si="24"/>
        <v>1.9355581365215434E-2</v>
      </c>
      <c r="CR26" s="95">
        <f t="shared" si="25"/>
        <v>1.1417183650177309E-2</v>
      </c>
      <c r="CS26" s="96">
        <f t="shared" si="26"/>
        <v>1.1417183650177309E-2</v>
      </c>
      <c r="CT26" s="97">
        <f t="shared" si="27"/>
        <v>7.9920285551241168E-3</v>
      </c>
      <c r="CU26" s="89">
        <f t="shared" si="28"/>
        <v>3.4197010420295985E-2</v>
      </c>
      <c r="CV26" s="87">
        <f t="shared" si="29"/>
        <v>1.9355581365215434E-2</v>
      </c>
      <c r="CW26" s="92">
        <f t="shared" si="30"/>
        <v>3.5887508924943743E-3</v>
      </c>
      <c r="CX26" s="89">
        <f t="shared" si="31"/>
        <v>3.9159687171057347E-2</v>
      </c>
      <c r="CY26" s="87">
        <f t="shared" si="32"/>
        <v>1.2394210909534853E-2</v>
      </c>
      <c r="CZ26" s="115">
        <f t="shared" si="33"/>
        <v>3.5887508924943743E-3</v>
      </c>
      <c r="DA26" s="11"/>
      <c r="DB26">
        <f t="shared" si="10"/>
        <v>45</v>
      </c>
      <c r="DC26" s="11">
        <f t="shared" si="63"/>
        <v>5.1454971603119043E-2</v>
      </c>
      <c r="DD26" s="11">
        <f t="shared" si="64"/>
        <v>4.9618088784986858E-2</v>
      </c>
      <c r="DE26" s="11">
        <f t="shared" si="34"/>
        <v>5.456713871834995E-2</v>
      </c>
      <c r="DF26" s="11">
        <f t="shared" si="35"/>
        <v>5.456713871834995E-2</v>
      </c>
      <c r="DG26" s="11">
        <f t="shared" si="36"/>
        <v>5.1141983623296756E-2</v>
      </c>
      <c r="DH26" s="11">
        <f t="shared" si="37"/>
        <v>5.7141342678005788E-2</v>
      </c>
      <c r="DI26" s="11">
        <f t="shared" si="38"/>
        <v>5.5142648973086572E-2</v>
      </c>
      <c r="DV26">
        <f t="shared" si="39"/>
        <v>45</v>
      </c>
      <c r="DW26" s="11">
        <f>SUMPRODUCT($B26:$B$48, $Y26:$Y$48, CK26:CK$48)/$B26/$Y26</f>
        <v>0.17397132137144411</v>
      </c>
      <c r="DX26" s="11">
        <f>SUMPRODUCT($B26:$B$48, $Y26:$Y$48, CN26:CN$48)/$B26/$Y26</f>
        <v>0.16662897299073723</v>
      </c>
      <c r="DY26" s="11" cm="1">
        <f t="array" ref="DY26">SUMPRODUCT($B26:$B$48, $Y26:$Y$48, $CQ26:$CQ$48 + CR26:CR$48)/$B26/$Y26</f>
        <v>1.1906828776609184</v>
      </c>
      <c r="DZ26" s="11" cm="1">
        <f t="array" ref="DZ26">SUMPRODUCT($B26:$B$48, $Y26:$Y$48, $CQ26:$CQ$48 + CS26:CS$48)/$B26/$Y26</f>
        <v>1.1906828776609184</v>
      </c>
      <c r="EA26" s="11" cm="1">
        <f t="array" ref="EA26">SUMPRODUCT($B26:$B$48, $Y26:$Y$48, $CQ26:$CQ$48 + CT26:CT$48)/$B26/$Y26</f>
        <v>0.96106000636677602</v>
      </c>
      <c r="EB26" s="11" cm="1">
        <f t="array" ref="EB26">SUMPRODUCT($B26:$B$48, $Y26:$Y$48, $CV26:$CV$48 + CW26:CW$48)/$B26/$Y26</f>
        <v>0.50290963692835844</v>
      </c>
      <c r="EC26" s="11" cm="1">
        <f t="array" ref="EC26">SUMPRODUCT($B26:$B$48, $Y26:$Y$48, $CY26:$CY$48 + CZ26:CZ$48)/$B26/$Y26</f>
        <v>0.28449313126267933</v>
      </c>
      <c r="EE26" s="73">
        <f>Settings!T34</f>
        <v>45</v>
      </c>
      <c r="EF26" s="14">
        <f>SUMPRODUCT($B26:$B$48, $Y26:$Y$48, CK26:CK$48)/$B26/$AD25</f>
        <v>3.9835889297421066E-2</v>
      </c>
      <c r="EG26" s="14">
        <f>SUMPRODUCT($B26:$B$48, $Y26:$Y$48, CN26:CN$48)/$B26/$AD25</f>
        <v>3.8154641060808271E-2</v>
      </c>
      <c r="EH26" s="14" cm="1">
        <f t="array" ref="EH26">SUMPRODUCT($B26:$B$48, $Y26:$Y$48, $CQ26:$CQ$48 + CR26:CR$48)/$B26/$AD25</f>
        <v>0.27264212819056416</v>
      </c>
      <c r="EI26" s="14" cm="1">
        <f t="array" ref="EI26">SUMPRODUCT($B26:$B$48, $Y26:$Y$48, $CQ26:$CQ$48 + CS26:CS$48)/$B26/$AD25</f>
        <v>0.27264212819056416</v>
      </c>
      <c r="EJ26" s="14" cm="1">
        <f t="array" ref="EJ26">SUMPRODUCT($B26:$B$48, $Y26:$Y$48, $CQ26:$CQ$48 + CT26:CT$48)/$B26/$AD25</f>
        <v>0.22006316742323587</v>
      </c>
      <c r="EK26" s="14" cm="1">
        <f t="array" ref="EK26">SUMPRODUCT($B26:$B$48, $Y26:$Y$48, $CV26:$CV$48 + CW26:CW$48)/$B26/$AD25</f>
        <v>0.11515606403029077</v>
      </c>
      <c r="EL26" s="14" cm="1">
        <f t="array" ref="EL26">SUMPRODUCT($B26:$B$48, $Y26:$Y$48, $CY26:$CY$48 + CZ26:CZ$48)/$B26/$AD25</f>
        <v>6.5143132750367191E-2</v>
      </c>
    </row>
    <row r="27" spans="1:142" x14ac:dyDescent="0.25">
      <c r="A27">
        <v>21</v>
      </c>
      <c r="B27">
        <f>B26/(1+Settings!O$14)</f>
        <v>0.73149794898893827</v>
      </c>
      <c r="C27" s="73">
        <f>C26/(1+Settings!$O$15)</f>
        <v>0.73149794898893827</v>
      </c>
      <c r="D27" s="73">
        <f>D26/(1+Settings!$O$16)</f>
        <v>0.73149794898893827</v>
      </c>
      <c r="E27" s="73">
        <f>E26/(1+Settings!$O$17)</f>
        <v>0.73149794898893827</v>
      </c>
      <c r="F27" s="73">
        <f>F26/(1+Settings!$O$18)</f>
        <v>0.73149794898893827</v>
      </c>
      <c r="H27">
        <f>Grondslag!A23</f>
        <v>46</v>
      </c>
      <c r="I27" s="15">
        <f>IF(Settings!C$7="Unisex", overlevtafel!I53, IF(Settings!C$7="Man", overlevtafel!D53, IF(Settings!C$7="Vrouw",overlevtafel!G53) ) )/I$4</f>
        <v>0.98311943755424425</v>
      </c>
      <c r="J27" s="11">
        <f t="shared" si="58"/>
        <v>1.3968703940510085E-3</v>
      </c>
      <c r="K27" s="11">
        <f>IFERROR(J27/SUM(J27:J$100), 1)</f>
        <v>1.4188392922999066E-3</v>
      </c>
      <c r="M27" s="20">
        <v>36</v>
      </c>
      <c r="N27" s="73">
        <f>IF(Settings!D$7="Unisex", overlevtafel!Q43, IF(Settings!D$7="Man", overlevtafel!L43, IF(Settings!D$7="Vrouw",overlevtafel!O43) ) )</f>
        <v>96727</v>
      </c>
      <c r="O27" s="20">
        <f t="shared" si="59"/>
        <v>46</v>
      </c>
      <c r="P27" s="15">
        <f t="shared" si="40"/>
        <v>0.98311943755424425</v>
      </c>
      <c r="R27" s="73">
        <f>1*($H27&gt;=Settings!D$10)</f>
        <v>0</v>
      </c>
      <c r="S27" s="73">
        <f t="shared" si="41"/>
        <v>46</v>
      </c>
      <c r="T27" s="73">
        <f>1*($S27&gt;=Settings!D$10)</f>
        <v>0</v>
      </c>
      <c r="V27" s="18">
        <f t="shared" si="8"/>
        <v>46</v>
      </c>
      <c r="W27">
        <f>Grondslag!J23</f>
        <v>50</v>
      </c>
      <c r="X27" s="73">
        <f t="shared" si="12"/>
        <v>50</v>
      </c>
      <c r="Y27">
        <f>Grondslag!S23</f>
        <v>35</v>
      </c>
      <c r="AA27" s="54">
        <f t="shared" si="42"/>
        <v>11.391570463825325</v>
      </c>
      <c r="AB27" s="14" cm="1">
        <f t="array" ref="AB27">IFERROR(Settings!O$3/NP_OP*AVERAGE(Y$6:Y$48)/SUM(Y$6:Y$48/AA$6:AA$48), 0)</f>
        <v>0.18717547021577788</v>
      </c>
      <c r="AC27" s="54">
        <f t="shared" si="43"/>
        <v>15.022536687998379</v>
      </c>
      <c r="AD27" s="54">
        <f t="shared" si="13"/>
        <v>171.13028522673466</v>
      </c>
      <c r="AE27" s="14">
        <f t="shared" si="14"/>
        <v>0.42921533394281081</v>
      </c>
      <c r="AF27" s="52" cm="1">
        <f t="array" ref="AF27">IFERROR(AB27*SUMPRODUCT(Y27:Y$48,1/AA27:AA$48)/AVERAGE(Y$6:Y$48), 0)</f>
        <v>0.30150143089999426</v>
      </c>
      <c r="AG27" s="14" cm="1">
        <f t="array" ref="AG27">IFERROR( AB27*SUM(1/AA27:AA$48), 0)</f>
        <v>0.30150143089999432</v>
      </c>
      <c r="AI27" s="20">
        <f t="shared" si="60"/>
        <v>4.2189844163220851E-2</v>
      </c>
      <c r="AJ27" s="20">
        <f t="shared" si="44"/>
        <v>3.4971050139280861</v>
      </c>
      <c r="AK27" s="20">
        <f t="shared" si="45"/>
        <v>0.28595080674365009</v>
      </c>
      <c r="AL27" s="5">
        <f>IFERROR( Settings!O$3*AVERAGE(Y$6:Y$48)/SUMPRODUCT(Y$6:Y$48, AK$6:AK$48), 0)</f>
        <v>3.9159687171057347E-2</v>
      </c>
      <c r="AM27" s="52">
        <f>IFERROR( AL27*SUMPRODUCT(Y27:Y$48, AK27:AK$48)/AVERAGE(Y$6:Y$48), 0)</f>
        <v>0.24310213811095593</v>
      </c>
      <c r="AN27" s="14">
        <f>IFERROR(AL27*SUM(AK27:AK$48),0)</f>
        <v>0.24310213811095591</v>
      </c>
      <c r="AO27" s="5">
        <f t="shared" si="46"/>
        <v>9.7840102424686104E-3</v>
      </c>
      <c r="AQ27" s="5">
        <f>NP_OP*NPuitkering_leeftijd!F28*AJ27/Y27</f>
        <v>4.0664011789861468E-2</v>
      </c>
      <c r="AR27" s="5">
        <f>NP_OP*SUM(NPuitkering_leeftijd!F28:F$49)/AVERAGE(Y27:Y$48)</f>
        <v>0.25581395348837194</v>
      </c>
      <c r="AS27" s="50">
        <f>IFERROR( AQ27*SUM(AK27:AK$48), 0)</f>
        <v>0.25244093925221017</v>
      </c>
      <c r="AT27" s="5">
        <f t="shared" si="15"/>
        <v>1.0302171249158576E-2</v>
      </c>
      <c r="AX27" s="20" cm="1">
        <f t="array" ref="AX27">IFERROR( $K27*SUMPRODUCT($P27:$P102, $C$6:$C$81, 1-$T27:$T102)/MIN($P26,1), 0)</f>
        <v>2.6002435110556433E-2</v>
      </c>
      <c r="AY27" s="5">
        <f t="shared" si="16"/>
        <v>0</v>
      </c>
      <c r="BC27" s="20" cm="1">
        <f t="array" ref="BC27">IFERROR($K27*SUMPRODUCT($P27:$P102, $C$6:$C$81, 1-$T27:$T102)/MIN($P27,1), 0)</f>
        <v>2.6039380806462446E-2</v>
      </c>
      <c r="BD27" s="5">
        <f>BC27*Settings!$I$3*$W27/$Y27</f>
        <v>1.8599557718901746E-2</v>
      </c>
      <c r="BG27" s="20">
        <f t="shared" si="47"/>
        <v>1.6210409017468612E-2</v>
      </c>
      <c r="BH27" s="5">
        <f>BG27*Settings!I$7*W27/$Y27</f>
        <v>1.1578863583906151E-2</v>
      </c>
      <c r="BI27" s="5">
        <f>BG27*Settings!I$7*$X27/$Y27</f>
        <v>1.1578863583906151E-2</v>
      </c>
      <c r="BJ27" s="5">
        <f>BG27*Settings!I$7*MAX(W27-voltijdfranchise/1000, 0)/$Y27</f>
        <v>8.105204508734306E-3</v>
      </c>
      <c r="BM27" s="15" cm="1">
        <f t="array" ref="BM27">IFERROR( $K27*SUMPRODUCT($P27:$P102, $C$6:$C$81, 1-$T27:$T102)/MIN($P27,1), 0)</f>
        <v>2.6039380806462446E-2</v>
      </c>
      <c r="BN27" s="5">
        <f>BM27*Settings!I$3*$W27/$Y27</f>
        <v>1.8599557718901746E-2</v>
      </c>
      <c r="BQ27" s="15"/>
      <c r="BR27" s="15">
        <f t="shared" si="48"/>
        <v>0.26809560602743698</v>
      </c>
      <c r="BS27" s="15">
        <f>BM27*(Settings!I$4*$W27/$Y27  - BR27)</f>
        <v>1.1618514141013987E-2</v>
      </c>
      <c r="BV27" s="20">
        <f t="shared" si="49"/>
        <v>1.6210409017468612E-2</v>
      </c>
      <c r="BW27" s="20">
        <f t="shared" si="50"/>
        <v>3.0340993939322907</v>
      </c>
      <c r="BX27" s="20">
        <f t="shared" si="51"/>
        <v>0.32958709329029851</v>
      </c>
      <c r="BY27" s="5">
        <f>IFERROR(Settings!O$5*AVERAGE(Y$6:Y$48)/SUMPRODUCT(Y$6:Y$48, BX$6:BX$48), 0)</f>
        <v>3.4197010420295985E-2</v>
      </c>
      <c r="BZ27" s="14">
        <f>IFERROR(BY27*SUMPRODUCT(Y27:Y$48, BX27:BX$48)/AVERAGE(Y27:Y$48), 0)</f>
        <v>0.22452065002904889</v>
      </c>
      <c r="CA27" s="5">
        <f t="shared" si="52"/>
        <v>3.4568657800429178E-3</v>
      </c>
      <c r="CB27" s="5"/>
      <c r="CC27" s="5"/>
      <c r="CD27" s="20">
        <f t="shared" si="53"/>
        <v>4.2249789823931051E-2</v>
      </c>
      <c r="CE27" s="20">
        <f t="shared" si="54"/>
        <v>2.0566150253949509</v>
      </c>
      <c r="CF27" s="73">
        <f t="shared" si="55"/>
        <v>0.48623587188271206</v>
      </c>
      <c r="CG27" s="5" cm="1">
        <f t="array" ref="CG27">IFERROR(Settings!O$6*AVERAGE(Y$6:Y$48)/SUMPRODUCT(Y$6:Y$48,1/CE$6:CE$48), 0)</f>
        <v>2.3794373702957207E-2</v>
      </c>
      <c r="CI27" s="18">
        <f t="shared" si="9"/>
        <v>46</v>
      </c>
      <c r="CJ27" s="90">
        <f t="shared" si="17"/>
        <v>4.0664011789861468E-2</v>
      </c>
      <c r="CK27" s="104">
        <f t="shared" si="18"/>
        <v>1.0302171249158576E-2</v>
      </c>
      <c r="CL27" s="106">
        <f t="shared" si="19"/>
        <v>0</v>
      </c>
      <c r="CM27" s="89">
        <f t="shared" si="20"/>
        <v>3.9159687171057347E-2</v>
      </c>
      <c r="CN27" s="104">
        <f t="shared" si="21"/>
        <v>9.7840102424686104E-3</v>
      </c>
      <c r="CO27" s="106">
        <f t="shared" si="22"/>
        <v>0</v>
      </c>
      <c r="CP27" s="89">
        <f t="shared" si="23"/>
        <v>2.3794373702957207E-2</v>
      </c>
      <c r="CQ27" s="87">
        <f t="shared" si="24"/>
        <v>1.8599557718901746E-2</v>
      </c>
      <c r="CR27" s="95">
        <f t="shared" si="25"/>
        <v>1.1578863583906151E-2</v>
      </c>
      <c r="CS27" s="96">
        <f t="shared" si="26"/>
        <v>1.1578863583906151E-2</v>
      </c>
      <c r="CT27" s="97">
        <f t="shared" si="27"/>
        <v>8.105204508734306E-3</v>
      </c>
      <c r="CU27" s="89">
        <f t="shared" si="28"/>
        <v>3.4197010420295985E-2</v>
      </c>
      <c r="CV27" s="87">
        <f t="shared" si="29"/>
        <v>1.8599557718901746E-2</v>
      </c>
      <c r="CW27" s="92">
        <f t="shared" si="30"/>
        <v>3.4568657800429178E-3</v>
      </c>
      <c r="CX27" s="89">
        <f t="shared" si="31"/>
        <v>3.9159687171057347E-2</v>
      </c>
      <c r="CY27" s="87">
        <f t="shared" si="32"/>
        <v>1.1618514141013987E-2</v>
      </c>
      <c r="CZ27" s="115">
        <f t="shared" si="33"/>
        <v>3.4568657800429178E-3</v>
      </c>
      <c r="DA27" s="11"/>
      <c r="DB27">
        <f t="shared" si="10"/>
        <v>46</v>
      </c>
      <c r="DC27" s="11">
        <f t="shared" si="63"/>
        <v>5.0966183039020042E-2</v>
      </c>
      <c r="DD27" s="11">
        <f t="shared" si="64"/>
        <v>4.8943697413525958E-2</v>
      </c>
      <c r="DE27" s="11">
        <f t="shared" si="34"/>
        <v>5.3972795005765101E-2</v>
      </c>
      <c r="DF27" s="11">
        <f t="shared" si="35"/>
        <v>5.3972795005765101E-2</v>
      </c>
      <c r="DG27" s="11">
        <f t="shared" si="36"/>
        <v>5.0499135930593256E-2</v>
      </c>
      <c r="DH27" s="11">
        <f t="shared" si="37"/>
        <v>5.6253433919240647E-2</v>
      </c>
      <c r="DI27" s="11">
        <f t="shared" si="38"/>
        <v>5.4235067092114252E-2</v>
      </c>
      <c r="DV27">
        <f t="shared" si="39"/>
        <v>46</v>
      </c>
      <c r="DW27" s="11">
        <f>SUMPRODUCT($B27:$B$48, $Y27:$Y$48, CK27:CK$48)/$B27/$Y27</f>
        <v>0.16541054048638151</v>
      </c>
      <c r="DX27" s="11">
        <f>SUMPRODUCT($B27:$B$48, $Y27:$Y$48, CN27:CN$48)/$B27/$Y27</f>
        <v>0.15851312994745986</v>
      </c>
      <c r="DY27" s="11" cm="1">
        <f t="array" ref="DY27">SUMPRODUCT($B27:$B$48, $Y27:$Y$48, $CQ27:$CQ$48 + CR27:CR$48)/$B27/$Y27</f>
        <v>1.1773087643352083</v>
      </c>
      <c r="DZ27" s="11" cm="1">
        <f t="array" ref="DZ27">SUMPRODUCT($B27:$B$48, $Y27:$Y$48, $CQ27:$CQ$48 + CS27:CS$48)/$B27/$Y27</f>
        <v>1.1773087643352083</v>
      </c>
      <c r="EA27" s="11" cm="1">
        <f t="array" ref="EA27">SUMPRODUCT($B27:$B$48, $Y27:$Y$48, $CQ27:$CQ$48 + CT27:CT$48)/$B27/$Y27</f>
        <v>0.94771808239313304</v>
      </c>
      <c r="EB27" s="11" cm="1">
        <f t="array" ref="EB27">SUMPRODUCT($B27:$B$48, $Y27:$Y$48, $CV27:$CV$48 + CW27:CW$48)/$B27/$Y27</f>
        <v>0.48716478424070814</v>
      </c>
      <c r="EC27" s="11" cm="1">
        <f t="array" ref="EC27">SUMPRODUCT($B27:$B$48, $Y27:$Y$48, $CY27:$CY$48 + CZ27:CZ$48)/$B27/$Y27</f>
        <v>0.27253782200255983</v>
      </c>
      <c r="EE27" s="73">
        <f>Settings!T35</f>
        <v>46</v>
      </c>
      <c r="EF27" s="14">
        <f>SUMPRODUCT($B27:$B$48, $Y27:$Y$48, CK27:CK$48)/$B27/$AD26</f>
        <v>3.5755190839729264E-2</v>
      </c>
      <c r="EG27" s="14">
        <f>SUMPRODUCT($B27:$B$48, $Y27:$Y$48, CN27:CN$48)/$B27/$AD26</f>
        <v>3.4264244559075473E-2</v>
      </c>
      <c r="EH27" s="14" cm="1">
        <f t="array" ref="EH27">SUMPRODUCT($B27:$B$48, $Y27:$Y$48, $CQ27:$CQ$48 + CR27:CR$48)/$B27/$AD26</f>
        <v>0.2544874070437908</v>
      </c>
      <c r="EI27" s="14" cm="1">
        <f t="array" ref="EI27">SUMPRODUCT($B27:$B$48, $Y27:$Y$48, $CQ27:$CQ$48 + CS27:CS$48)/$B27/$AD26</f>
        <v>0.2544874070437908</v>
      </c>
      <c r="EJ27" s="14" cm="1">
        <f t="array" ref="EJ27">SUMPRODUCT($B27:$B$48, $Y27:$Y$48, $CQ27:$CQ$48 + CT27:CT$48)/$B27/$AD26</f>
        <v>0.20485901804437065</v>
      </c>
      <c r="EK27" s="14" cm="1">
        <f t="array" ref="EK27">SUMPRODUCT($B27:$B$48, $Y27:$Y$48, $CV27:$CV$48 + CW27:CW$48)/$B27/$AD26</f>
        <v>0.10530568233259691</v>
      </c>
      <c r="EL27" s="14" cm="1">
        <f t="array" ref="EL27">SUMPRODUCT($B27:$B$48, $Y27:$Y$48, $CY27:$CY$48 + CZ27:CZ$48)/$B27/$AD26</f>
        <v>5.8911855363582358E-2</v>
      </c>
    </row>
    <row r="28" spans="1:142" x14ac:dyDescent="0.25">
      <c r="A28">
        <v>22</v>
      </c>
      <c r="B28">
        <f>B27/(1+Settings!O$14)</f>
        <v>0.72068763447186046</v>
      </c>
      <c r="C28" s="73">
        <f>C27/(1+Settings!$O$15)</f>
        <v>0.72068763447186046</v>
      </c>
      <c r="D28" s="73">
        <f>D27/(1+Settings!$O$16)</f>
        <v>0.72068763447186046</v>
      </c>
      <c r="E28" s="73">
        <f>E27/(1+Settings!$O$17)</f>
        <v>0.72068763447186046</v>
      </c>
      <c r="F28" s="73">
        <f>F27/(1+Settings!$O$18)</f>
        <v>0.72068763447186046</v>
      </c>
      <c r="H28">
        <f>Grondslag!A24</f>
        <v>47</v>
      </c>
      <c r="I28" s="15">
        <f>IF(Settings!C$7="Unisex", overlevtafel!I54, IF(Settings!C$7="Man", overlevtafel!D54, IF(Settings!C$7="Vrouw",overlevtafel!G54) ) )/I$4</f>
        <v>0.98161472054888788</v>
      </c>
      <c r="J28" s="11">
        <f t="shared" si="58"/>
        <v>1.5047170053563708E-3</v>
      </c>
      <c r="K28" s="11">
        <f>IFERROR(J28/SUM(J28:J$100), 1)</f>
        <v>1.5305536414243217E-3</v>
      </c>
      <c r="M28" s="20">
        <v>37</v>
      </c>
      <c r="N28" s="73">
        <f>IF(Settings!D$7="Unisex", overlevtafel!Q44, IF(Settings!D$7="Man", overlevtafel!L44, IF(Settings!D$7="Vrouw",overlevtafel!O44) ) )</f>
        <v>96652</v>
      </c>
      <c r="O28" s="20">
        <f t="shared" si="59"/>
        <v>47</v>
      </c>
      <c r="P28" s="15">
        <f t="shared" si="40"/>
        <v>0.98161472054888788</v>
      </c>
      <c r="R28" s="73">
        <f>1*($H28&gt;=Settings!D$10)</f>
        <v>0</v>
      </c>
      <c r="S28" s="73">
        <f t="shared" si="41"/>
        <v>47</v>
      </c>
      <c r="T28" s="73">
        <f>1*($S28&gt;=Settings!D$10)</f>
        <v>0</v>
      </c>
      <c r="V28" s="18">
        <f t="shared" si="8"/>
        <v>47</v>
      </c>
      <c r="W28">
        <f>Grondslag!J24</f>
        <v>50</v>
      </c>
      <c r="X28" s="73">
        <f t="shared" si="12"/>
        <v>50</v>
      </c>
      <c r="Y28">
        <f>Grondslag!S24</f>
        <v>35</v>
      </c>
      <c r="AA28" s="54">
        <f t="shared" si="42"/>
        <v>11.580168088869028</v>
      </c>
      <c r="AB28" s="14" cm="1">
        <f t="array" ref="AB28">IFERROR(Settings!O$3/NP_OP*AVERAGE(Y$6:Y$48)/SUM(Y$6:Y$48/AA$6:AA$48), 0)</f>
        <v>0.18717547021577788</v>
      </c>
      <c r="AC28" s="54">
        <f t="shared" si="43"/>
        <v>15.588257445009605</v>
      </c>
      <c r="AD28" s="54">
        <f t="shared" si="13"/>
        <v>180.51464142577527</v>
      </c>
      <c r="AE28" s="14">
        <f t="shared" si="14"/>
        <v>0.44537878414313159</v>
      </c>
      <c r="AF28" s="52" cm="1">
        <f t="array" ref="AF28">IFERROR(AB28*SUMPRODUCT(Y28:Y$48,1/AA28:AA$48)/AVERAGE(Y$6:Y$48), 0)</f>
        <v>0.28507038034290333</v>
      </c>
      <c r="AG28" s="14" cm="1">
        <f t="array" ref="AG28">IFERROR( AB28*SUM(1/AA28:AA$48), 0)</f>
        <v>0.28507038034290327</v>
      </c>
      <c r="AI28" s="20">
        <f t="shared" si="60"/>
        <v>4.4706521565573969E-2</v>
      </c>
      <c r="AJ28" s="20">
        <f t="shared" si="44"/>
        <v>3.5174980960665607</v>
      </c>
      <c r="AK28" s="20">
        <f t="shared" si="45"/>
        <v>0.28429297548682375</v>
      </c>
      <c r="AL28" s="5">
        <f>IFERROR( Settings!O$3*AVERAGE(Y$6:Y$48)/SUMPRODUCT(Y$6:Y$48, AK$6:AK$48), 0)</f>
        <v>3.9159687171057347E-2</v>
      </c>
      <c r="AM28" s="52">
        <f>IFERROR( AL28*SUMPRODUCT(Y28:Y$48, AK28:AK$48)/AVERAGE(Y$6:Y$48), 0)</f>
        <v>0.23190439397256313</v>
      </c>
      <c r="AN28" s="14">
        <f>IFERROR(AL28*SUM(AK28:AK$48),0)</f>
        <v>0.2319043939725631</v>
      </c>
      <c r="AO28" s="5">
        <f t="shared" si="46"/>
        <v>9.8699289547149217E-3</v>
      </c>
      <c r="AQ28" s="5">
        <f>NP_OP*NPuitkering_leeftijd!F29*AJ28/Y28</f>
        <v>4.090114065193675E-2</v>
      </c>
      <c r="AR28" s="5">
        <f>NP_OP*SUM(NPuitkering_leeftijd!F29:F$49)/AVERAGE(Y28:Y$48)</f>
        <v>0.24418604651162781</v>
      </c>
      <c r="AS28" s="50">
        <f>IFERROR( AQ28*SUM(AK28:AK$48), 0)</f>
        <v>0.24221731379622377</v>
      </c>
      <c r="AT28" s="5">
        <f t="shared" si="15"/>
        <v>1.0396865480366035E-2</v>
      </c>
      <c r="AX28" s="20" cm="1">
        <f t="array" ref="AX28">IFERROR( $K28*SUMPRODUCT($P28:$P103, $C$6:$C$81, 1-$T28:$T103)/MIN($P27,1), 0)</f>
        <v>2.6957461333316765E-2</v>
      </c>
      <c r="AY28" s="5">
        <f t="shared" si="16"/>
        <v>0</v>
      </c>
      <c r="BC28" s="20" cm="1">
        <f t="array" ref="BC28">IFERROR($K28*SUMPRODUCT($P28:$P103, $C$6:$C$81, 1-$T28:$T103)/MIN($P28,1), 0)</f>
        <v>2.6998784420308366E-2</v>
      </c>
      <c r="BD28" s="5">
        <f>BC28*Settings!$I$3*$W28/$Y28</f>
        <v>1.9284846014505974E-2</v>
      </c>
      <c r="BG28" s="20">
        <f t="shared" si="47"/>
        <v>1.7776267763075025E-2</v>
      </c>
      <c r="BH28" s="5">
        <f>BG28*Settings!I$7*W28/$Y28</f>
        <v>1.269733411648216E-2</v>
      </c>
      <c r="BI28" s="5">
        <f>BG28*Settings!I$7*$X28/$Y28</f>
        <v>1.269733411648216E-2</v>
      </c>
      <c r="BJ28" s="5">
        <f>BG28*Settings!I$7*MAX(W28-voltijdfranchise/1000, 0)/$Y28</f>
        <v>8.8881338815375126E-3</v>
      </c>
      <c r="BM28" s="15" cm="1">
        <f t="array" ref="BM28">IFERROR( $K28*SUMPRODUCT($P28:$P103, $C$6:$C$81, 1-$T28:$T103)/MIN($P28,1), 0)</f>
        <v>2.6998784420308366E-2</v>
      </c>
      <c r="BN28" s="5">
        <f>BM28*Settings!I$3*$W28/$Y28</f>
        <v>1.9284846014505974E-2</v>
      </c>
      <c r="BQ28" s="15"/>
      <c r="BR28" s="15">
        <f t="shared" si="48"/>
        <v>0.27922843001243008</v>
      </c>
      <c r="BS28" s="15">
        <f>BM28*(Settings!I$4*$W28/$Y28  - BR28)</f>
        <v>1.1746017828579213E-2</v>
      </c>
      <c r="BV28" s="20">
        <f t="shared" si="49"/>
        <v>1.7776267763075025E-2</v>
      </c>
      <c r="BW28" s="20">
        <f t="shared" si="50"/>
        <v>3.0725555439037269</v>
      </c>
      <c r="BX28" s="20">
        <f t="shared" si="51"/>
        <v>0.32546197642679076</v>
      </c>
      <c r="BY28" s="5">
        <f>IFERROR(Settings!O$5*AVERAGE(Y$6:Y$48)/SUMPRODUCT(Y$6:Y$48, BX$6:BX$48), 0)</f>
        <v>3.4197010420295985E-2</v>
      </c>
      <c r="BZ28" s="14">
        <f>IFERROR(BY28*SUMPRODUCT(Y28:Y$48, BX28:BX$48)/AVERAGE(Y28:Y$48), 0)</f>
        <v>0.21324975676540553</v>
      </c>
      <c r="CA28" s="5">
        <f t="shared" si="52"/>
        <v>3.5929379988871241E-3</v>
      </c>
      <c r="CB28" s="5"/>
      <c r="CC28" s="5"/>
      <c r="CD28" s="20">
        <f t="shared" si="53"/>
        <v>4.4775052183383401E-2</v>
      </c>
      <c r="CE28" s="20">
        <f t="shared" si="54"/>
        <v>2.0938689029117188</v>
      </c>
      <c r="CF28" s="73">
        <f t="shared" si="55"/>
        <v>0.47758481851915718</v>
      </c>
      <c r="CG28" s="5" cm="1">
        <f t="array" ref="CG28">IFERROR(Settings!O$6*AVERAGE(Y$6:Y$48)/SUMPRODUCT(Y$6:Y$48,1/CE$6:CE$48), 0)</f>
        <v>2.3794373702957207E-2</v>
      </c>
      <c r="CI28" s="18">
        <f t="shared" si="9"/>
        <v>47</v>
      </c>
      <c r="CJ28" s="90">
        <f t="shared" si="17"/>
        <v>4.090114065193675E-2</v>
      </c>
      <c r="CK28" s="104">
        <f t="shared" si="18"/>
        <v>1.0396865480366035E-2</v>
      </c>
      <c r="CL28" s="106">
        <f t="shared" si="19"/>
        <v>0</v>
      </c>
      <c r="CM28" s="89">
        <f t="shared" si="20"/>
        <v>3.9159687171057347E-2</v>
      </c>
      <c r="CN28" s="104">
        <f t="shared" si="21"/>
        <v>9.8699289547149217E-3</v>
      </c>
      <c r="CO28" s="106">
        <f t="shared" si="22"/>
        <v>0</v>
      </c>
      <c r="CP28" s="89">
        <f t="shared" si="23"/>
        <v>2.3794373702957207E-2</v>
      </c>
      <c r="CQ28" s="87">
        <f t="shared" si="24"/>
        <v>1.9284846014505974E-2</v>
      </c>
      <c r="CR28" s="95">
        <f t="shared" si="25"/>
        <v>1.269733411648216E-2</v>
      </c>
      <c r="CS28" s="96">
        <f t="shared" si="26"/>
        <v>1.269733411648216E-2</v>
      </c>
      <c r="CT28" s="97">
        <f t="shared" si="27"/>
        <v>8.8881338815375126E-3</v>
      </c>
      <c r="CU28" s="89">
        <f t="shared" si="28"/>
        <v>3.4197010420295985E-2</v>
      </c>
      <c r="CV28" s="87">
        <f t="shared" si="29"/>
        <v>1.9284846014505974E-2</v>
      </c>
      <c r="CW28" s="92">
        <f t="shared" si="30"/>
        <v>3.5929379988871241E-3</v>
      </c>
      <c r="CX28" s="89">
        <f t="shared" si="31"/>
        <v>3.9159687171057347E-2</v>
      </c>
      <c r="CY28" s="87">
        <f t="shared" si="32"/>
        <v>1.1746017828579213E-2</v>
      </c>
      <c r="CZ28" s="115">
        <f t="shared" si="33"/>
        <v>3.5929379988871241E-3</v>
      </c>
      <c r="DA28" s="11"/>
      <c r="DB28">
        <f t="shared" si="10"/>
        <v>47</v>
      </c>
      <c r="DC28" s="11">
        <f t="shared" si="63"/>
        <v>5.1298006132302787E-2</v>
      </c>
      <c r="DD28" s="11">
        <f t="shared" si="64"/>
        <v>4.9029616125772266E-2</v>
      </c>
      <c r="DE28" s="11">
        <f t="shared" si="34"/>
        <v>5.5776553833945343E-2</v>
      </c>
      <c r="DF28" s="11">
        <f t="shared" si="35"/>
        <v>5.5776553833945343E-2</v>
      </c>
      <c r="DG28" s="11">
        <f t="shared" si="36"/>
        <v>5.196735359900069E-2</v>
      </c>
      <c r="DH28" s="11">
        <f t="shared" si="37"/>
        <v>5.7074794433689083E-2</v>
      </c>
      <c r="DI28" s="11">
        <f t="shared" si="38"/>
        <v>5.4498642998523687E-2</v>
      </c>
      <c r="DV28">
        <f t="shared" si="39"/>
        <v>47</v>
      </c>
      <c r="DW28" s="11">
        <f>SUMPRODUCT($B28:$B$48, $Y28:$Y$48, CK28:CK$48)/$B28/$Y28</f>
        <v>0.15743499477578124</v>
      </c>
      <c r="DX28" s="11">
        <f>SUMPRODUCT($B28:$B$48, $Y28:$Y$48, CN28:CN$48)/$B28/$Y28</f>
        <v>0.15096005650056607</v>
      </c>
      <c r="DY28" s="11" cm="1">
        <f t="array" ref="DY28">SUMPRODUCT($B28:$B$48, $Y28:$Y$48, $CQ28:$CQ$48 + CR28:CR$48)/$B28/$Y28</f>
        <v>1.1643372981778863</v>
      </c>
      <c r="DZ28" s="11" cm="1">
        <f t="array" ref="DZ28">SUMPRODUCT($B28:$B$48, $Y28:$Y$48, $CQ28:$CQ$48 + CS28:CS$48)/$B28/$Y28</f>
        <v>1.1643372981778863</v>
      </c>
      <c r="EA28" s="11" cm="1">
        <f t="array" ref="EA28">SUMPRODUCT($B28:$B$48, $Y28:$Y$48, $CQ28:$CQ$48 + CT28:CT$48)/$B28/$Y28</f>
        <v>0.93482851996797933</v>
      </c>
      <c r="EB28" s="11" cm="1">
        <f t="array" ref="EB28">SUMPRODUCT($B28:$B$48, $Y28:$Y$48, $CV28:$CV$48 + CW28:CW$48)/$B28/$Y28</f>
        <v>0.47208498615288996</v>
      </c>
      <c r="EC28" s="11" cm="1">
        <f t="array" ref="EC28">SUMPRODUCT($B28:$B$48, $Y28:$Y$48, $CY28:$CY$48 + CZ28:CZ$48)/$B28/$Y28</f>
        <v>0.26132437871272551</v>
      </c>
      <c r="EE28" s="73">
        <f>Settings!T36</f>
        <v>47</v>
      </c>
      <c r="EF28" s="14">
        <f>SUMPRODUCT($B28:$B$48, $Y28:$Y$48, CK28:CK$48)/$B28/$AD27</f>
        <v>3.2199004459390182E-2</v>
      </c>
      <c r="EG28" s="14">
        <f>SUMPRODUCT($B28:$B$48, $Y28:$Y$48, CN28:CN$48)/$B28/$AD27</f>
        <v>3.0874733659909701E-2</v>
      </c>
      <c r="EH28" s="14" cm="1">
        <f t="array" ref="EH28">SUMPRODUCT($B28:$B$48, $Y28:$Y$48, $CQ28:$CQ$48 + CR28:CR$48)/$B28/$AD27</f>
        <v>0.23813321752039954</v>
      </c>
      <c r="EI28" s="14" cm="1">
        <f t="array" ref="EI28">SUMPRODUCT($B28:$B$48, $Y28:$Y$48, $CQ28:$CQ$48 + CS28:CS$48)/$B28/$AD27</f>
        <v>0.23813321752039954</v>
      </c>
      <c r="EJ28" s="14" cm="1">
        <f t="array" ref="EJ28">SUMPRODUCT($B28:$B$48, $Y28:$Y$48, $CQ28:$CQ$48 + CT28:CT$48)/$B28/$AD27</f>
        <v>0.19119350006066479</v>
      </c>
      <c r="EK28" s="14" cm="1">
        <f t="array" ref="EK28">SUMPRODUCT($B28:$B$48, $Y28:$Y$48, $CV28:$CV$48 + CW28:CW$48)/$B28/$AD27</f>
        <v>9.6552018793514299E-2</v>
      </c>
      <c r="EL28" s="14" cm="1">
        <f t="array" ref="EL28">SUMPRODUCT($B28:$B$48, $Y28:$Y$48, $CY28:$CY$48 + CZ28:CZ$48)/$B28/$AD27</f>
        <v>5.3446724773625942E-2</v>
      </c>
    </row>
    <row r="29" spans="1:142" x14ac:dyDescent="0.25">
      <c r="A29">
        <v>23</v>
      </c>
      <c r="B29">
        <f>B28/(1+Settings!O$14)</f>
        <v>0.71003707829739948</v>
      </c>
      <c r="C29" s="73">
        <f>C28/(1+Settings!$O$15)</f>
        <v>0.71003707829739948</v>
      </c>
      <c r="D29" s="73">
        <f>D28/(1+Settings!$O$16)</f>
        <v>0.71003707829739948</v>
      </c>
      <c r="E29" s="73">
        <f>E28/(1+Settings!$O$17)</f>
        <v>0.71003707829739948</v>
      </c>
      <c r="F29" s="73">
        <f>F28/(1+Settings!$O$18)</f>
        <v>0.71003707829739948</v>
      </c>
      <c r="H29">
        <f>Grondslag!A25</f>
        <v>48</v>
      </c>
      <c r="I29" s="15">
        <f>IF(Settings!C$7="Unisex", overlevtafel!I55, IF(Settings!C$7="Man", overlevtafel!D55, IF(Settings!C$7="Vrouw",overlevtafel!G55) ) )/I$4</f>
        <v>0.97979673481545393</v>
      </c>
      <c r="J29" s="11">
        <f t="shared" si="58"/>
        <v>1.8179857334339466E-3</v>
      </c>
      <c r="K29" s="11">
        <f>IFERROR(J29/SUM(J29:J$100), 1)</f>
        <v>1.852035968259435E-3</v>
      </c>
      <c r="M29" s="20">
        <v>38</v>
      </c>
      <c r="N29" s="73">
        <f>IF(Settings!D$7="Unisex", overlevtafel!Q45, IF(Settings!D$7="Man", overlevtafel!L45, IF(Settings!D$7="Vrouw",overlevtafel!O45) ) )</f>
        <v>96570.5</v>
      </c>
      <c r="O29" s="20">
        <f t="shared" si="59"/>
        <v>48</v>
      </c>
      <c r="P29" s="15">
        <f t="shared" si="40"/>
        <v>0.97979673481545393</v>
      </c>
      <c r="R29" s="73">
        <f>1*($H29&gt;=Settings!D$10)</f>
        <v>0</v>
      </c>
      <c r="S29" s="73">
        <f t="shared" si="41"/>
        <v>48</v>
      </c>
      <c r="T29" s="73">
        <f>1*($S29&gt;=Settings!D$10)</f>
        <v>0</v>
      </c>
      <c r="V29" s="18">
        <f t="shared" si="8"/>
        <v>48</v>
      </c>
      <c r="W29">
        <f>Grondslag!J25</f>
        <v>50</v>
      </c>
      <c r="X29" s="73">
        <f t="shared" si="12"/>
        <v>50</v>
      </c>
      <c r="Y29">
        <f>Grondslag!S25</f>
        <v>35</v>
      </c>
      <c r="AA29" s="54">
        <f t="shared" si="42"/>
        <v>11.775679591925194</v>
      </c>
      <c r="AB29" s="14" cm="1">
        <f t="array" ref="AB29">IFERROR(Settings!O$3/NP_OP*AVERAGE(Y$6:Y$48)/SUM(Y$6:Y$48/AA$6:AA$48), 0)</f>
        <v>0.18717547021577788</v>
      </c>
      <c r="AC29" s="54">
        <f t="shared" si="43"/>
        <v>16.144585545346544</v>
      </c>
      <c r="AD29" s="54">
        <f t="shared" si="13"/>
        <v>190.11346652642777</v>
      </c>
      <c r="AE29" s="14">
        <f t="shared" si="14"/>
        <v>0.46127387272418696</v>
      </c>
      <c r="AF29" s="52" cm="1">
        <f t="array" ref="AF29">IFERROR(AB29*SUMPRODUCT(Y29:Y$48,1/AA29:AA$48)/AVERAGE(Y$6:Y$48), 0)</f>
        <v>0.26890693014258255</v>
      </c>
      <c r="AG29" s="14" cm="1">
        <f t="array" ref="AG29">IFERROR( AB29*SUM(1/AA29:AA$48), 0)</f>
        <v>0.2689069301425826</v>
      </c>
      <c r="AI29" s="20">
        <f t="shared" si="60"/>
        <v>5.3112625412028797E-2</v>
      </c>
      <c r="AJ29" s="20">
        <f t="shared" si="44"/>
        <v>3.537976230938416</v>
      </c>
      <c r="AK29" s="20">
        <f>IFERROR( 1/AJ29, 0)</f>
        <v>0.28264746135243513</v>
      </c>
      <c r="AL29" s="5">
        <f>IFERROR( Settings!O$3*AVERAGE(Y$6:Y$48)/SUMPRODUCT(Y$6:Y$48, AK$6:AK$48), 0)</f>
        <v>3.9159687171057347E-2</v>
      </c>
      <c r="AM29" s="52">
        <f>IFERROR( AL29*SUMPRODUCT(Y29:Y$48, AK29:AK$48)/AVERAGE(Y$6:Y$48), 0)</f>
        <v>0.22077156998757</v>
      </c>
      <c r="AN29" s="14">
        <f>IFERROR(AL29*SUM(AK29:AK$48),0)</f>
        <v>0.22077156998757</v>
      </c>
      <c r="AO29" s="5">
        <f t="shared" si="46"/>
        <v>1.1137886650011327E-2</v>
      </c>
      <c r="AQ29" s="5">
        <f>NP_OP*NPuitkering_leeftijd!F30*AJ29/Y29</f>
        <v>4.1139258499283904E-2</v>
      </c>
      <c r="AR29" s="5">
        <f>NP_OP*SUM(NPuitkering_leeftijd!F30:F$49)/AVERAGE(Y29:Y$48)</f>
        <v>0.23255813953488363</v>
      </c>
      <c r="AS29" s="50">
        <f>IFERROR( AQ29*SUM(AK29:AK$48), 0)</f>
        <v>0.23193184989802762</v>
      </c>
      <c r="AT29" s="5">
        <f t="shared" si="15"/>
        <v>1.173418468405287E-2</v>
      </c>
      <c r="AX29" s="20" cm="1">
        <f t="array" ref="AX29">IFERROR( $K29*SUMPRODUCT($P29:$P104, $C$6:$C$81, 1-$T29:$T104)/MIN($P28,1), 0)</f>
        <v>3.1279923386173497E-2</v>
      </c>
      <c r="AY29" s="5">
        <f t="shared" si="16"/>
        <v>0</v>
      </c>
      <c r="BC29" s="20" cm="1">
        <f t="array" ref="BC29">IFERROR($K29*SUMPRODUCT($P29:$P104, $C$6:$C$81, 1-$T29:$T104)/MIN($P29,1), 0)</f>
        <v>3.1337962418595544E-2</v>
      </c>
      <c r="BD29" s="5">
        <f>BC29*Settings!$I$3*$W29/$Y29</f>
        <v>2.2384258870425389E-2</v>
      </c>
      <c r="BG29" s="20">
        <f t="shared" si="47"/>
        <v>2.1873212000419359E-2</v>
      </c>
      <c r="BH29" s="5">
        <f>BG29*Settings!I$7*W29/$Y29</f>
        <v>1.5623722857442398E-2</v>
      </c>
      <c r="BI29" s="5">
        <f>BG29*Settings!I$7*$X29/$Y29</f>
        <v>1.5623722857442398E-2</v>
      </c>
      <c r="BJ29" s="5">
        <f>BG29*Settings!I$7*MAX(W29-voltijdfranchise/1000, 0)/$Y29</f>
        <v>1.0936606000209679E-2</v>
      </c>
      <c r="BM29" s="15" cm="1">
        <f t="array" ref="BM29">IFERROR( $K29*SUMPRODUCT($P29:$P104, $C$6:$C$81, 1-$T29:$T104)/MIN($P29,1), 0)</f>
        <v>3.1337962418595544E-2</v>
      </c>
      <c r="BN29" s="5">
        <f>BM29*Settings!I$3*$W29/$Y29</f>
        <v>2.2384258870425389E-2</v>
      </c>
      <c r="BQ29" s="15"/>
      <c r="BR29" s="15">
        <f t="shared" si="48"/>
        <v>0.29029681617868497</v>
      </c>
      <c r="BS29" s="15">
        <f>BM29*(Settings!I$4*$W29/$Y29  - BR29)</f>
        <v>1.3286948154779821E-2</v>
      </c>
      <c r="BV29" s="20">
        <f t="shared" si="49"/>
        <v>2.1873212000419359E-2</v>
      </c>
      <c r="BW29" s="20">
        <f t="shared" si="50"/>
        <v>3.1121177985758832</v>
      </c>
      <c r="BX29" s="20">
        <f t="shared" si="51"/>
        <v>0.32132459782133044</v>
      </c>
      <c r="BY29" s="5">
        <f>IFERROR(Settings!O$5*AVERAGE(Y$6:Y$48)/SUMPRODUCT(Y$6:Y$48, BX$6:BX$48), 0)</f>
        <v>3.4197010420295985E-2</v>
      </c>
      <c r="BZ29" s="14">
        <f>IFERROR(BY29*SUMPRODUCT(Y29:Y$48, BX29:BX$48)/AVERAGE(Y29:Y$48), 0)</f>
        <v>0.20211993016612842</v>
      </c>
      <c r="CA29" s="5">
        <f t="shared" si="52"/>
        <v>4.1806617781197462E-3</v>
      </c>
      <c r="CB29" s="5"/>
      <c r="CC29" s="5"/>
      <c r="CD29" s="20">
        <f t="shared" si="53"/>
        <v>5.3211174419014899E-2</v>
      </c>
      <c r="CE29" s="20">
        <f t="shared" si="54"/>
        <v>2.1331710384223781</v>
      </c>
      <c r="CF29" s="73">
        <f t="shared" si="55"/>
        <v>0.46878566321600096</v>
      </c>
      <c r="CG29" s="5" cm="1">
        <f t="array" ref="CG29">IFERROR(Settings!O$6*AVERAGE(Y$6:Y$48)/SUMPRODUCT(Y$6:Y$48,1/CE$6:CE$48), 0)</f>
        <v>2.3794373702957207E-2</v>
      </c>
      <c r="CI29" s="18">
        <f t="shared" si="9"/>
        <v>48</v>
      </c>
      <c r="CJ29" s="90">
        <f t="shared" si="17"/>
        <v>4.1139258499283904E-2</v>
      </c>
      <c r="CK29" s="104">
        <f t="shared" si="18"/>
        <v>1.173418468405287E-2</v>
      </c>
      <c r="CL29" s="106">
        <f t="shared" si="19"/>
        <v>0</v>
      </c>
      <c r="CM29" s="89">
        <f t="shared" si="20"/>
        <v>3.9159687171057347E-2</v>
      </c>
      <c r="CN29" s="104">
        <f t="shared" si="21"/>
        <v>1.1137886650011327E-2</v>
      </c>
      <c r="CO29" s="106">
        <f t="shared" si="22"/>
        <v>0</v>
      </c>
      <c r="CP29" s="89">
        <f t="shared" si="23"/>
        <v>2.3794373702957207E-2</v>
      </c>
      <c r="CQ29" s="87">
        <f t="shared" si="24"/>
        <v>2.2384258870425389E-2</v>
      </c>
      <c r="CR29" s="95">
        <f t="shared" si="25"/>
        <v>1.5623722857442398E-2</v>
      </c>
      <c r="CS29" s="96">
        <f t="shared" si="26"/>
        <v>1.5623722857442398E-2</v>
      </c>
      <c r="CT29" s="97">
        <f t="shared" si="27"/>
        <v>1.0936606000209679E-2</v>
      </c>
      <c r="CU29" s="89">
        <f t="shared" si="28"/>
        <v>3.4197010420295985E-2</v>
      </c>
      <c r="CV29" s="87">
        <f t="shared" si="29"/>
        <v>2.2384258870425389E-2</v>
      </c>
      <c r="CW29" s="92">
        <f t="shared" si="30"/>
        <v>4.1806617781197462E-3</v>
      </c>
      <c r="CX29" s="89">
        <f t="shared" si="31"/>
        <v>3.9159687171057347E-2</v>
      </c>
      <c r="CY29" s="87">
        <f t="shared" si="32"/>
        <v>1.3286948154779821E-2</v>
      </c>
      <c r="CZ29" s="115">
        <f t="shared" si="33"/>
        <v>4.1806617781197462E-3</v>
      </c>
      <c r="DA29" s="11"/>
      <c r="DB29">
        <f t="shared" si="10"/>
        <v>48</v>
      </c>
      <c r="DC29" s="11">
        <f t="shared" si="63"/>
        <v>5.2873443183336775E-2</v>
      </c>
      <c r="DD29" s="11">
        <f t="shared" si="64"/>
        <v>5.0297573821068677E-2</v>
      </c>
      <c r="DE29" s="11">
        <f t="shared" si="34"/>
        <v>6.180235543082499E-2</v>
      </c>
      <c r="DF29" s="11">
        <f t="shared" si="35"/>
        <v>6.180235543082499E-2</v>
      </c>
      <c r="DG29" s="11">
        <f t="shared" si="36"/>
        <v>5.7115238573592277E-2</v>
      </c>
      <c r="DH29" s="11">
        <f t="shared" si="37"/>
        <v>6.0761931068841118E-2</v>
      </c>
      <c r="DI29" s="11">
        <f t="shared" si="38"/>
        <v>5.6627297103956913E-2</v>
      </c>
      <c r="DV29">
        <f t="shared" si="39"/>
        <v>48</v>
      </c>
      <c r="DW29" s="11">
        <f>SUMPRODUCT($B29:$B$48, $Y29:$Y$48, CK29:CK$48)/$B29/$Y29</f>
        <v>0.14924370123484643</v>
      </c>
      <c r="DX29" s="11">
        <f>SUMPRODUCT($B29:$B$48, $Y29:$Y$48, CN29:CN$48)/$B29/$Y29</f>
        <v>0.14320647945903894</v>
      </c>
      <c r="DY29" s="11" cm="1">
        <f t="array" ref="DY29">SUMPRODUCT($B29:$B$48, $Y29:$Y$48, $CQ29:$CQ$48 + CR29:CR$48)/$B29/$Y29</f>
        <v>1.1493404448176017</v>
      </c>
      <c r="DZ29" s="11" cm="1">
        <f t="array" ref="DZ29">SUMPRODUCT($B29:$B$48, $Y29:$Y$48, $CQ29:$CQ$48 + CS29:CS$48)/$B29/$Y29</f>
        <v>1.1493404448176017</v>
      </c>
      <c r="EA29" s="11" cm="1">
        <f t="array" ref="EA29">SUMPRODUCT($B29:$B$48, $Y29:$Y$48, $CQ29:$CQ$48 + CT29:CT$48)/$B29/$Y29</f>
        <v>0.92025537317301487</v>
      </c>
      <c r="EB29" s="11" cm="1">
        <f t="array" ref="EB29">SUMPRODUCT($B29:$B$48, $Y29:$Y$48, $CV29:$CV$48 + CW29:CW$48)/$B29/$Y29</f>
        <v>0.45594531017158935</v>
      </c>
      <c r="EC29" s="11" cm="1">
        <f t="array" ref="EC29">SUMPRODUCT($B29:$B$48, $Y29:$Y$48, $CY29:$CY$48 + CZ29:CZ$48)/$B29/$Y29</f>
        <v>0.24967520422853806</v>
      </c>
      <c r="EE29" s="73">
        <f>Settings!T37</f>
        <v>48</v>
      </c>
      <c r="EF29" s="14">
        <f>SUMPRODUCT($B29:$B$48, $Y29:$Y$48, CK29:CK$48)/$B29/$AD28</f>
        <v>2.8936874604531492E-2</v>
      </c>
      <c r="EG29" s="14">
        <f>SUMPRODUCT($B29:$B$48, $Y29:$Y$48, CN29:CN$48)/$B29/$AD28</f>
        <v>2.7766317133490308E-2</v>
      </c>
      <c r="EH29" s="14" cm="1">
        <f t="array" ref="EH29">SUMPRODUCT($B29:$B$48, $Y29:$Y$48, $CQ29:$CQ$48 + CR29:CR$48)/$B29/$AD28</f>
        <v>0.22284572182559895</v>
      </c>
      <c r="EI29" s="14" cm="1">
        <f t="array" ref="EI29">SUMPRODUCT($B29:$B$48, $Y29:$Y$48, $CQ29:$CQ$48 + CS29:CS$48)/$B29/$AD28</f>
        <v>0.22284572182559895</v>
      </c>
      <c r="EJ29" s="14" cm="1">
        <f t="array" ref="EJ29">SUMPRODUCT($B29:$B$48, $Y29:$Y$48, $CQ29:$CQ$48 + CT29:CT$48)/$B29/$AD28</f>
        <v>0.17842839675860486</v>
      </c>
      <c r="EK29" s="14" cm="1">
        <f t="array" ref="EK29">SUMPRODUCT($B29:$B$48, $Y29:$Y$48, $CV29:$CV$48 + CW29:CW$48)/$B29/$AD28</f>
        <v>8.8403277041476644E-2</v>
      </c>
      <c r="EL29" s="14" cm="1">
        <f t="array" ref="EL29">SUMPRODUCT($B29:$B$48, $Y29:$Y$48, $CY29:$CY$48 + CZ29:CZ$48)/$B29/$AD28</f>
        <v>4.8409547718554553E-2</v>
      </c>
    </row>
    <row r="30" spans="1:142" x14ac:dyDescent="0.25">
      <c r="A30">
        <v>24</v>
      </c>
      <c r="B30">
        <f>B29/(1+Settings!O$14)</f>
        <v>0.69954391950482719</v>
      </c>
      <c r="C30" s="73">
        <f>C29/(1+Settings!$O$15)</f>
        <v>0.69954391950482719</v>
      </c>
      <c r="D30" s="73">
        <f>D29/(1+Settings!$O$16)</f>
        <v>0.69954391950482719</v>
      </c>
      <c r="E30" s="73">
        <f>E29/(1+Settings!$O$17)</f>
        <v>0.69954391950482719</v>
      </c>
      <c r="F30" s="73">
        <f>F29/(1+Settings!$O$18)</f>
        <v>0.69954391950482719</v>
      </c>
      <c r="H30">
        <f>Grondslag!A26</f>
        <v>49</v>
      </c>
      <c r="I30" s="15">
        <f>IF(Settings!C$7="Unisex", overlevtafel!I56, IF(Settings!C$7="Man", overlevtafel!D56, IF(Settings!C$7="Vrouw",overlevtafel!G56) ) )/I$4</f>
        <v>0.97805064682289022</v>
      </c>
      <c r="J30" s="11">
        <f t="shared" si="58"/>
        <v>1.7460879925637052E-3</v>
      </c>
      <c r="K30" s="11">
        <f>IFERROR(J30/SUM(J30:J$100), 1)</f>
        <v>1.7820921066130173E-3</v>
      </c>
      <c r="M30" s="20">
        <v>39</v>
      </c>
      <c r="N30" s="73">
        <f>IF(Settings!D$7="Unisex", overlevtafel!Q46, IF(Settings!D$7="Man", overlevtafel!L46, IF(Settings!D$7="Vrouw",overlevtafel!O46) ) )</f>
        <v>96492.5</v>
      </c>
      <c r="O30" s="20">
        <f t="shared" si="59"/>
        <v>49</v>
      </c>
      <c r="P30" s="15">
        <f t="shared" si="40"/>
        <v>0.97805064682289022</v>
      </c>
      <c r="R30" s="73">
        <f>1*($H30&gt;=Settings!D$10)</f>
        <v>0</v>
      </c>
      <c r="S30" s="73">
        <f t="shared" si="41"/>
        <v>49</v>
      </c>
      <c r="T30" s="73">
        <f>1*($S30&gt;=Settings!D$10)</f>
        <v>0</v>
      </c>
      <c r="V30" s="18">
        <f t="shared" si="8"/>
        <v>49</v>
      </c>
      <c r="W30">
        <f>Grondslag!J26</f>
        <v>50</v>
      </c>
      <c r="X30" s="73">
        <f t="shared" si="12"/>
        <v>50</v>
      </c>
      <c r="Y30">
        <f>Grondslag!S26</f>
        <v>35</v>
      </c>
      <c r="AA30" s="54">
        <f t="shared" si="42"/>
        <v>11.973652937768522</v>
      </c>
      <c r="AB30" s="14" cm="1">
        <f t="array" ref="AB30">IFERROR(Settings!O$3/NP_OP*AVERAGE(Y$6:Y$48)/SUM(Y$6:Y$48/AA$6:AA$48), 0)</f>
        <v>0.18717547021577788</v>
      </c>
      <c r="AC30" s="54">
        <f t="shared" si="43"/>
        <v>16.691715271888722</v>
      </c>
      <c r="AD30" s="54">
        <f t="shared" si="13"/>
        <v>199.86080560164609</v>
      </c>
      <c r="AE30" s="14">
        <f t="shared" si="14"/>
        <v>0.47690615062539204</v>
      </c>
      <c r="AF30" s="52" cm="1">
        <f t="array" ref="AF30">IFERROR(AB30*SUMPRODUCT(Y30:Y$48,1/AA30:AA$48)/AVERAGE(Y$6:Y$48), 0)</f>
        <v>0.25301184156152717</v>
      </c>
      <c r="AG30" s="14" cm="1">
        <f t="array" ref="AG30">IFERROR( AB30*SUM(1/AA30:AA$48), 0)</f>
        <v>0.25301184156152717</v>
      </c>
      <c r="AI30" s="20">
        <f t="shared" si="60"/>
        <v>5.0160805489851037E-2</v>
      </c>
      <c r="AJ30" s="20">
        <f t="shared" si="44"/>
        <v>3.5497773461679718</v>
      </c>
      <c r="AK30" s="20">
        <f t="shared" si="45"/>
        <v>0.28170780938683726</v>
      </c>
      <c r="AL30" s="5">
        <f>IFERROR( Settings!O$3*AVERAGE(Y$6:Y$48)/SUMPRODUCT(Y$6:Y$48, AK$6:AK$48), 0)</f>
        <v>3.9159687171057347E-2</v>
      </c>
      <c r="AM30" s="52">
        <f>IFERROR( AL30*SUMPRODUCT(Y30:Y$48, AK30:AK$48)/AVERAGE(Y$6:Y$48), 0)</f>
        <v>0.20970318382131514</v>
      </c>
      <c r="AN30" s="14">
        <f>IFERROR(AL30*SUM(AK30:AK$48),0)</f>
        <v>0.20970318382131511</v>
      </c>
      <c r="AO30" s="5">
        <f t="shared" si="46"/>
        <v>9.9655271896180331E-3</v>
      </c>
      <c r="AQ30" s="5">
        <f>NP_OP*NPuitkering_leeftijd!F31*AJ30/Y30</f>
        <v>4.1276480769395017E-2</v>
      </c>
      <c r="AR30" s="5">
        <f>NP_OP*SUM(NPuitkering_leeftijd!F31:F$49)/AVERAGE(Y30:Y$48)</f>
        <v>0.22093023255813946</v>
      </c>
      <c r="AS30" s="50">
        <f>IFERROR( AQ30*SUM(AK30:AK$48), 0)</f>
        <v>0.22103877889706103</v>
      </c>
      <c r="AT30" s="5">
        <f t="shared" si="15"/>
        <v>1.0498773242061842E-2</v>
      </c>
      <c r="AX30" s="20" cm="1">
        <f t="array" ref="AX30">IFERROR( $K30*SUMPRODUCT($P30:$P105, $C$6:$C$81, 1-$T30:$T105)/MIN($P29,1), 0)</f>
        <v>2.8797948446536048E-2</v>
      </c>
      <c r="AY30" s="5">
        <f t="shared" si="16"/>
        <v>0</v>
      </c>
      <c r="BC30" s="20" cm="1">
        <f t="array" ref="BC30">IFERROR($K30*SUMPRODUCT($P30:$P105, $C$6:$C$81, 1-$T30:$T105)/MIN($P30,1), 0)</f>
        <v>2.8849360663435353E-2</v>
      </c>
      <c r="BD30" s="5">
        <f>BC30*Settings!$I$3*$W30/$Y30</f>
        <v>2.0606686188168109E-2</v>
      </c>
      <c r="BG30" s="20">
        <f t="shared" si="47"/>
        <v>2.1400995587869266E-2</v>
      </c>
      <c r="BH30" s="5">
        <f>BG30*Settings!I$7*W30/$Y30</f>
        <v>1.5286425419906619E-2</v>
      </c>
      <c r="BI30" s="5">
        <f>BG30*Settings!I$7*$X30/$Y30</f>
        <v>1.5286425419906619E-2</v>
      </c>
      <c r="BJ30" s="5">
        <f>BG30*Settings!I$7*MAX(W30-voltijdfranchise/1000, 0)/$Y30</f>
        <v>1.0700497793934633E-2</v>
      </c>
      <c r="BM30" s="15" cm="1">
        <f t="array" ref="BM30">IFERROR( $K30*SUMPRODUCT($P30:$P105, $C$6:$C$81, 1-$T30:$T105)/MIN($P30,1), 0)</f>
        <v>2.8849360663435353E-2</v>
      </c>
      <c r="BN30" s="5">
        <f>BM30*Settings!I$3*$W30/$Y30</f>
        <v>2.0606686188168109E-2</v>
      </c>
      <c r="BQ30" s="15"/>
      <c r="BR30" s="15">
        <f t="shared" si="48"/>
        <v>0.30132840586791737</v>
      </c>
      <c r="BS30" s="15">
        <f>BM30*(Settings!I$4*$W30/$Y30  - BR30)</f>
        <v>1.1913554329146531E-2</v>
      </c>
      <c r="BV30" s="20">
        <f t="shared" si="49"/>
        <v>2.1400995587869266E-2</v>
      </c>
      <c r="BW30" s="20">
        <f t="shared" si="50"/>
        <v>3.1478076244211652</v>
      </c>
      <c r="BX30" s="20">
        <f t="shared" si="51"/>
        <v>0.31768142126661408</v>
      </c>
      <c r="BY30" s="5">
        <f>IFERROR(Settings!O$5*AVERAGE(Y$6:Y$48)/SUMPRODUCT(Y$6:Y$48, BX$6:BX$48), 0)</f>
        <v>3.4197010420295985E-2</v>
      </c>
      <c r="BZ30" s="14">
        <f>IFERROR(BY30*SUMPRODUCT(Y30:Y$48, BX30:BX$48)/AVERAGE(Y30:Y$48), 0)</f>
        <v>0.19113158954613493</v>
      </c>
      <c r="CA30" s="5">
        <f t="shared" si="52"/>
        <v>3.8579111344661863E-3</v>
      </c>
      <c r="CB30" s="5"/>
      <c r="CC30" s="5"/>
      <c r="CD30" s="20">
        <f t="shared" si="53"/>
        <v>5.0250356251304619E-2</v>
      </c>
      <c r="CE30" s="20">
        <f t="shared" si="54"/>
        <v>2.1729063414949858</v>
      </c>
      <c r="CF30" s="73">
        <f t="shared" si="55"/>
        <v>0.46021311683042349</v>
      </c>
      <c r="CG30" s="5" cm="1">
        <f t="array" ref="CG30">IFERROR(Settings!O$6*AVERAGE(Y$6:Y$48)/SUMPRODUCT(Y$6:Y$48,1/CE$6:CE$48), 0)</f>
        <v>2.3794373702957207E-2</v>
      </c>
      <c r="CI30" s="18">
        <f t="shared" si="9"/>
        <v>49</v>
      </c>
      <c r="CJ30" s="90">
        <f t="shared" si="17"/>
        <v>4.1276480769395017E-2</v>
      </c>
      <c r="CK30" s="104">
        <f t="shared" si="18"/>
        <v>1.0498773242061842E-2</v>
      </c>
      <c r="CL30" s="106">
        <f t="shared" si="19"/>
        <v>0</v>
      </c>
      <c r="CM30" s="89">
        <f t="shared" si="20"/>
        <v>3.9159687171057347E-2</v>
      </c>
      <c r="CN30" s="104">
        <f t="shared" si="21"/>
        <v>9.9655271896180331E-3</v>
      </c>
      <c r="CO30" s="106">
        <f t="shared" si="22"/>
        <v>0</v>
      </c>
      <c r="CP30" s="89">
        <f t="shared" si="23"/>
        <v>2.3794373702957207E-2</v>
      </c>
      <c r="CQ30" s="87">
        <f t="shared" si="24"/>
        <v>2.0606686188168109E-2</v>
      </c>
      <c r="CR30" s="95">
        <f t="shared" si="25"/>
        <v>1.5286425419906619E-2</v>
      </c>
      <c r="CS30" s="96">
        <f t="shared" si="26"/>
        <v>1.5286425419906619E-2</v>
      </c>
      <c r="CT30" s="97">
        <f t="shared" si="27"/>
        <v>1.0700497793934633E-2</v>
      </c>
      <c r="CU30" s="89">
        <f t="shared" si="28"/>
        <v>3.4197010420295985E-2</v>
      </c>
      <c r="CV30" s="87">
        <f t="shared" si="29"/>
        <v>2.0606686188168109E-2</v>
      </c>
      <c r="CW30" s="92">
        <f t="shared" si="30"/>
        <v>3.8579111344661863E-3</v>
      </c>
      <c r="CX30" s="89">
        <f t="shared" si="31"/>
        <v>3.9159687171057347E-2</v>
      </c>
      <c r="CY30" s="87">
        <f t="shared" si="32"/>
        <v>1.1913554329146531E-2</v>
      </c>
      <c r="CZ30" s="115">
        <f t="shared" si="33"/>
        <v>3.8579111344661863E-3</v>
      </c>
      <c r="DA30" s="11"/>
      <c r="DB30">
        <f t="shared" si="10"/>
        <v>49</v>
      </c>
      <c r="DC30" s="11">
        <f t="shared" si="63"/>
        <v>5.1775254011456856E-2</v>
      </c>
      <c r="DD30" s="11">
        <f t="shared" si="64"/>
        <v>4.9125214360675379E-2</v>
      </c>
      <c r="DE30" s="11">
        <f t="shared" si="34"/>
        <v>5.9687485311031935E-2</v>
      </c>
      <c r="DF30" s="11">
        <f t="shared" si="35"/>
        <v>5.9687485311031935E-2</v>
      </c>
      <c r="DG30" s="11">
        <f t="shared" si="36"/>
        <v>5.5101557685059949E-2</v>
      </c>
      <c r="DH30" s="11">
        <f t="shared" si="37"/>
        <v>5.8661607742930284E-2</v>
      </c>
      <c r="DI30" s="11">
        <f t="shared" si="38"/>
        <v>5.4931152634670063E-2</v>
      </c>
      <c r="DV30">
        <f t="shared" si="39"/>
        <v>49</v>
      </c>
      <c r="DW30" s="11">
        <f>SUMPRODUCT($B30:$B$48, $Y30:$Y$48, CK30:CK$48)/$B30/$Y30</f>
        <v>0.13957215929905542</v>
      </c>
      <c r="DX30" s="11">
        <f>SUMPRODUCT($B30:$B$48, $Y30:$Y$48, CN30:CN$48)/$B30/$Y30</f>
        <v>0.13404962170116302</v>
      </c>
      <c r="DY30" s="11" cm="1">
        <f t="array" ref="DY30">SUMPRODUCT($B30:$B$48, $Y30:$Y$48, $CQ30:$CQ$48 + CR30:CR$48)/$B30/$Y30</f>
        <v>1.1280024500360797</v>
      </c>
      <c r="DZ30" s="11" cm="1">
        <f t="array" ref="DZ30">SUMPRODUCT($B30:$B$48, $Y30:$Y$48, $CQ30:$CQ$48 + CS30:CS$48)/$B30/$Y30</f>
        <v>1.1280024500360797</v>
      </c>
      <c r="EA30" s="11" cm="1">
        <f t="array" ref="EA30">SUMPRODUCT($B30:$B$48, $Y30:$Y$48, $CQ30:$CQ$48 + CT30:CT$48)/$B30/$Y30</f>
        <v>0.90023852592691544</v>
      </c>
      <c r="EB30" s="11" cm="1">
        <f t="array" ref="EB30">SUMPRODUCT($B30:$B$48, $Y30:$Y$48, $CV30:$CV$48 + CW30:CW$48)/$B30/$Y30</f>
        <v>0.43582109536588975</v>
      </c>
      <c r="EC30" s="11" cm="1">
        <f t="array" ref="EC30">SUMPRODUCT($B30:$B$48, $Y30:$Y$48, $CY30:$CY$48 + CZ30:CZ$48)/$B30/$Y30</f>
        <v>0.23569070821007299</v>
      </c>
      <c r="EE30" s="73">
        <f>Settings!T38</f>
        <v>49</v>
      </c>
      <c r="EF30" s="14">
        <f>SUMPRODUCT($B30:$B$48, $Y30:$Y$48, CK30:CK$48)/$B30/$AD29</f>
        <v>2.5695315880150286E-2</v>
      </c>
      <c r="EG30" s="14">
        <f>SUMPRODUCT($B30:$B$48, $Y30:$Y$48, CN30:CN$48)/$B30/$AD29</f>
        <v>2.4678613489426352E-2</v>
      </c>
      <c r="EH30" s="14" cm="1">
        <f t="array" ref="EH30">SUMPRODUCT($B30:$B$48, $Y30:$Y$48, $CQ30:$CQ$48 + CR30:CR$48)/$B30/$AD29</f>
        <v>0.2076659085366509</v>
      </c>
      <c r="EI30" s="14" cm="1">
        <f t="array" ref="EI30">SUMPRODUCT($B30:$B$48, $Y30:$Y$48, $CQ30:$CQ$48 + CS30:CS$48)/$B30/$AD29</f>
        <v>0.2076659085366509</v>
      </c>
      <c r="EJ30" s="14" cm="1">
        <f t="array" ref="EJ30">SUMPRODUCT($B30:$B$48, $Y30:$Y$48, $CQ30:$CQ$48 + CT30:CT$48)/$B30/$AD29</f>
        <v>0.16573443735013926</v>
      </c>
      <c r="EK30" s="14" cm="1">
        <f t="array" ref="EK30">SUMPRODUCT($B30:$B$48, $Y30:$Y$48, $CV30:$CV$48 + CW30:CW$48)/$B30/$AD29</f>
        <v>8.0234917686305571E-2</v>
      </c>
      <c r="EL30" s="14" cm="1">
        <f t="array" ref="EL30">SUMPRODUCT($B30:$B$48, $Y30:$Y$48, $CY30:$CY$48 + CZ30:CZ$48)/$B30/$AD29</f>
        <v>4.3390796759817288E-2</v>
      </c>
    </row>
    <row r="31" spans="1:142" x14ac:dyDescent="0.25">
      <c r="A31">
        <v>25</v>
      </c>
      <c r="B31">
        <f>B30/(1+Settings!O$14)</f>
        <v>0.6892058320244604</v>
      </c>
      <c r="C31" s="73">
        <f>C30/(1+Settings!$O$15)</f>
        <v>0.6892058320244604</v>
      </c>
      <c r="D31" s="73">
        <f>D30/(1+Settings!$O$16)</f>
        <v>0.6892058320244604</v>
      </c>
      <c r="E31" s="73">
        <f>E30/(1+Settings!$O$17)</f>
        <v>0.6892058320244604</v>
      </c>
      <c r="F31" s="73">
        <f>F30/(1+Settings!$O$18)</f>
        <v>0.6892058320244604</v>
      </c>
      <c r="H31">
        <f>Grondslag!A27</f>
        <v>50</v>
      </c>
      <c r="I31" s="15">
        <f>IF(Settings!C$7="Unisex", overlevtafel!I57, IF(Settings!C$7="Man", overlevtafel!D57, IF(Settings!C$7="Vrouw",overlevtafel!G57) ) )/I$4</f>
        <v>0.9760734589489577</v>
      </c>
      <c r="J31" s="11">
        <f t="shared" si="58"/>
        <v>1.9771878739325288E-3</v>
      </c>
      <c r="K31" s="11">
        <f>IFERROR(J31/SUM(J31:J$100), 1)</f>
        <v>2.0215598442121386E-3</v>
      </c>
      <c r="M31" s="20">
        <v>40</v>
      </c>
      <c r="N31" s="73">
        <f>IF(Settings!D$7="Unisex", overlevtafel!Q47, IF(Settings!D$7="Man", overlevtafel!L47, IF(Settings!D$7="Vrouw",overlevtafel!O47) ) )</f>
        <v>96405</v>
      </c>
      <c r="O31" s="20">
        <f t="shared" si="59"/>
        <v>50</v>
      </c>
      <c r="P31" s="15">
        <f t="shared" si="40"/>
        <v>0.9760734589489577</v>
      </c>
      <c r="R31" s="73">
        <f>1*($H31&gt;=Settings!D$10)</f>
        <v>0</v>
      </c>
      <c r="S31" s="73">
        <f t="shared" si="41"/>
        <v>50</v>
      </c>
      <c r="T31" s="73">
        <f>1*($S31&gt;=Settings!D$10)</f>
        <v>0</v>
      </c>
      <c r="V31" s="18">
        <f t="shared" si="8"/>
        <v>50</v>
      </c>
      <c r="W31">
        <f>Grondslag!J27</f>
        <v>50</v>
      </c>
      <c r="X31" s="73">
        <f t="shared" si="12"/>
        <v>50</v>
      </c>
      <c r="Y31">
        <f>Grondslag!S27</f>
        <v>35</v>
      </c>
      <c r="AA31" s="54">
        <f t="shared" si="42"/>
        <v>12.17787603652908</v>
      </c>
      <c r="AB31" s="14" cm="1">
        <f t="array" ref="AB31">IFERROR(Settings!O$3/NP_OP*AVERAGE(Y$6:Y$48)/SUM(Y$6:Y$48/AA$6:AA$48), 0)</f>
        <v>0.18717547021577788</v>
      </c>
      <c r="AC31" s="54">
        <f t="shared" si="43"/>
        <v>17.229669627631978</v>
      </c>
      <c r="AD31" s="54">
        <f t="shared" si="13"/>
        <v>209.82078087565236</v>
      </c>
      <c r="AE31" s="14">
        <f t="shared" si="14"/>
        <v>0.49227627507519939</v>
      </c>
      <c r="AF31" s="52" cm="1">
        <f t="array" ref="AF31">IFERROR(AB31*SUMPRODUCT(Y31:Y$48,1/AA31:AA$48)/AVERAGE(Y$6:Y$48), 0)</f>
        <v>0.23737956366032215</v>
      </c>
      <c r="AG31" s="14" cm="1">
        <f t="array" ref="AG31">IFERROR( AB31*SUM(1/AA31:AA$48), 0)</f>
        <v>0.23737956366032209</v>
      </c>
      <c r="AI31" s="20">
        <f t="shared" si="60"/>
        <v>5.5805880398793029E-2</v>
      </c>
      <c r="AJ31" s="20">
        <f t="shared" si="44"/>
        <v>3.5665160645256941</v>
      </c>
      <c r="AK31" s="20">
        <f t="shared" si="45"/>
        <v>0.28038567103243611</v>
      </c>
      <c r="AL31" s="5">
        <f>IFERROR( Settings!O$3*AVERAGE(Y$6:Y$48)/SUMPRODUCT(Y$6:Y$48, AK$6:AK$48), 0)</f>
        <v>3.9159687171057347E-2</v>
      </c>
      <c r="AM31" s="52">
        <f>IFERROR( AL31*SUMPRODUCT(Y31:Y$48, AK31:AK$48)/AVERAGE(Y$6:Y$48), 0)</f>
        <v>0.19867159413208274</v>
      </c>
      <c r="AN31" s="14">
        <f>IFERROR(AL31*SUM(AK31:AK$48),0)</f>
        <v>0.19867159413208274</v>
      </c>
      <c r="AO31" s="5">
        <f t="shared" si="46"/>
        <v>1.0474304968880572E-2</v>
      </c>
      <c r="AQ31" s="5">
        <f>NP_OP*NPuitkering_leeftijd!F32*AJ31/Y31</f>
        <v>4.1471117029368537E-2</v>
      </c>
      <c r="AR31" s="5">
        <f>NP_OP*SUM(NPuitkering_leeftijd!F32:F$49)/AVERAGE(Y31:Y$48)</f>
        <v>0.20930232558139528</v>
      </c>
      <c r="AS31" s="50">
        <f>IFERROR( AQ31*SUM(AK31:AK$48), 0)</f>
        <v>0.21039833374236699</v>
      </c>
      <c r="AT31" s="5">
        <f t="shared" si="15"/>
        <v>1.1031394962552107E-2</v>
      </c>
      <c r="AX31" s="20" cm="1">
        <f t="array" ref="AX31">IFERROR( $K31*SUMPRODUCT($P31:$P106, $C$6:$C$81, 1-$T31:$T106)/MIN($P30,1), 0)</f>
        <v>3.1164985552086761E-2</v>
      </c>
      <c r="AY31" s="5">
        <f t="shared" si="16"/>
        <v>0</v>
      </c>
      <c r="BC31" s="20" cm="1">
        <f t="array" ref="BC31">IFERROR($K31*SUMPRODUCT($P31:$P106, $C$6:$C$81, 1-$T31:$T106)/MIN($P31,1), 0)</f>
        <v>3.1228115054236342E-2</v>
      </c>
      <c r="BD31" s="5">
        <f>BC31*Settings!$I$3*$W31/$Y31</f>
        <v>2.2305796467311671E-2</v>
      </c>
      <c r="BG31" s="20">
        <f t="shared" si="47"/>
        <v>2.4690808793292024E-2</v>
      </c>
      <c r="BH31" s="5">
        <f>BG31*Settings!I$7*W31/$Y31</f>
        <v>1.7636291995208588E-2</v>
      </c>
      <c r="BI31" s="5">
        <f>BG31*Settings!I$7*$X31/$Y31</f>
        <v>1.7636291995208588E-2</v>
      </c>
      <c r="BJ31" s="5">
        <f>BG31*Settings!I$7*MAX(W31-voltijdfranchise/1000, 0)/$Y31</f>
        <v>1.2345404396646012E-2</v>
      </c>
      <c r="BM31" s="15" cm="1">
        <f t="array" ref="BM31">IFERROR( $K31*SUMPRODUCT($P31:$P106, $C$6:$C$81, 1-$T31:$T106)/MIN($P31,1), 0)</f>
        <v>3.1228115054236342E-2</v>
      </c>
      <c r="BN31" s="5">
        <f>BM31*Settings!I$3*$W31/$Y31</f>
        <v>2.2305796467311671E-2</v>
      </c>
      <c r="BQ31" s="15"/>
      <c r="BR31" s="15">
        <f t="shared" si="48"/>
        <v>0.31230822103279454</v>
      </c>
      <c r="BS31" s="15">
        <f>BM31*(Settings!I$4*$W31/$Y31  - BR31)</f>
        <v>1.255299940851569E-2</v>
      </c>
      <c r="BV31" s="20">
        <f t="shared" si="49"/>
        <v>2.4690808793292024E-2</v>
      </c>
      <c r="BW31" s="20">
        <f t="shared" si="50"/>
        <v>3.1861717809268781</v>
      </c>
      <c r="BX31" s="20">
        <f t="shared" si="51"/>
        <v>0.31385627290600554</v>
      </c>
      <c r="BY31" s="5">
        <f>IFERROR(Settings!O$5*AVERAGE(Y$6:Y$48)/SUMPRODUCT(Y$6:Y$48, BX$6:BX$48), 0)</f>
        <v>3.4197010420295985E-2</v>
      </c>
      <c r="BZ31" s="14">
        <f>IFERROR(BY31*SUMPRODUCT(Y31:Y$48, BX31:BX$48)/AVERAGE(Y31:Y$48), 0)</f>
        <v>0.18026783467274612</v>
      </c>
      <c r="CA31" s="5">
        <f t="shared" si="52"/>
        <v>4.1859535142074484E-3</v>
      </c>
      <c r="CB31" s="5"/>
      <c r="CC31" s="5"/>
      <c r="CD31" s="20">
        <f t="shared" si="53"/>
        <v>5.5918923847528369E-2</v>
      </c>
      <c r="CE31" s="20">
        <f t="shared" si="54"/>
        <v>2.214444149400999</v>
      </c>
      <c r="CF31" s="73">
        <f t="shared" si="55"/>
        <v>0.45158059202825107</v>
      </c>
      <c r="CG31" s="5" cm="1">
        <f t="array" ref="CG31">IFERROR(Settings!O$6*AVERAGE(Y$6:Y$48)/SUMPRODUCT(Y$6:Y$48,1/CE$6:CE$48), 0)</f>
        <v>2.3794373702957207E-2</v>
      </c>
      <c r="CI31" s="18">
        <f t="shared" si="9"/>
        <v>50</v>
      </c>
      <c r="CJ31" s="90">
        <f t="shared" si="17"/>
        <v>4.1471117029368537E-2</v>
      </c>
      <c r="CK31" s="104">
        <f t="shared" si="18"/>
        <v>1.1031394962552107E-2</v>
      </c>
      <c r="CL31" s="106">
        <f t="shared" si="19"/>
        <v>0</v>
      </c>
      <c r="CM31" s="89">
        <f t="shared" si="20"/>
        <v>3.9159687171057347E-2</v>
      </c>
      <c r="CN31" s="104">
        <f t="shared" si="21"/>
        <v>1.0474304968880572E-2</v>
      </c>
      <c r="CO31" s="106">
        <f t="shared" si="22"/>
        <v>0</v>
      </c>
      <c r="CP31" s="89">
        <f t="shared" si="23"/>
        <v>2.3794373702957207E-2</v>
      </c>
      <c r="CQ31" s="87">
        <f t="shared" si="24"/>
        <v>2.2305796467311671E-2</v>
      </c>
      <c r="CR31" s="95">
        <f t="shared" si="25"/>
        <v>1.7636291995208588E-2</v>
      </c>
      <c r="CS31" s="96">
        <f t="shared" si="26"/>
        <v>1.7636291995208588E-2</v>
      </c>
      <c r="CT31" s="97">
        <f t="shared" si="27"/>
        <v>1.2345404396646012E-2</v>
      </c>
      <c r="CU31" s="89">
        <f t="shared" si="28"/>
        <v>3.4197010420295985E-2</v>
      </c>
      <c r="CV31" s="87">
        <f t="shared" si="29"/>
        <v>2.2305796467311671E-2</v>
      </c>
      <c r="CW31" s="92">
        <f t="shared" si="30"/>
        <v>4.1859535142074484E-3</v>
      </c>
      <c r="CX31" s="89">
        <f t="shared" si="31"/>
        <v>3.9159687171057347E-2</v>
      </c>
      <c r="CY31" s="87">
        <f t="shared" si="32"/>
        <v>1.255299940851569E-2</v>
      </c>
      <c r="CZ31" s="115">
        <f t="shared" si="33"/>
        <v>4.1859535142074484E-3</v>
      </c>
      <c r="DA31" s="11"/>
      <c r="DB31">
        <f t="shared" si="10"/>
        <v>50</v>
      </c>
      <c r="DC31" s="11">
        <f t="shared" si="63"/>
        <v>5.2502511991920645E-2</v>
      </c>
      <c r="DD31" s="11">
        <f t="shared" si="64"/>
        <v>4.9633992139937917E-2</v>
      </c>
      <c r="DE31" s="11">
        <f t="shared" si="34"/>
        <v>6.3736462165477459E-2</v>
      </c>
      <c r="DF31" s="11">
        <f t="shared" si="35"/>
        <v>6.3736462165477459E-2</v>
      </c>
      <c r="DG31" s="11">
        <f t="shared" si="36"/>
        <v>5.844557456691489E-2</v>
      </c>
      <c r="DH31" s="11">
        <f t="shared" si="37"/>
        <v>6.0688760401815103E-2</v>
      </c>
      <c r="DI31" s="11">
        <f t="shared" si="38"/>
        <v>5.5898640093780483E-2</v>
      </c>
      <c r="DV31">
        <f t="shared" si="39"/>
        <v>50</v>
      </c>
      <c r="DW31" s="11">
        <f>SUMPRODUCT($B31:$B$48, $Y31:$Y$48, CK31:CK$48)/$B31/$Y31</f>
        <v>0.13100948684784844</v>
      </c>
      <c r="DX31" s="11">
        <f>SUMPRODUCT($B31:$B$48, $Y31:$Y$48, CN31:CN$48)/$B31/$Y31</f>
        <v>0.12594535592921813</v>
      </c>
      <c r="DY31" s="11" cm="1">
        <f t="array" ref="DY31">SUMPRODUCT($B31:$B$48, $Y31:$Y$48, $CQ31:$CQ$48 + CR31:CR$48)/$B31/$Y31</f>
        <v>1.1084909785044248</v>
      </c>
      <c r="DZ31" s="11" cm="1">
        <f t="array" ref="DZ31">SUMPRODUCT($B31:$B$48, $Y31:$Y$48, $CQ31:$CQ$48 + CS31:CS$48)/$B31/$Y31</f>
        <v>1.1084909785044248</v>
      </c>
      <c r="EA31" s="11" cm="1">
        <f t="array" ref="EA31">SUMPRODUCT($B31:$B$48, $Y31:$Y$48, $CQ31:$CQ$48 + CT31:CT$48)/$B31/$Y31</f>
        <v>0.88196531207398465</v>
      </c>
      <c r="EB31" s="11" cm="1">
        <f t="array" ref="EB31">SUMPRODUCT($B31:$B$48, $Y31:$Y$48, $CV31:$CV$48 + CW31:CW$48)/$B31/$Y31</f>
        <v>0.41752684551390429</v>
      </c>
      <c r="EC31" s="11" cm="1">
        <f t="array" ref="EC31">SUMPRODUCT($B31:$B$48, $Y31:$Y$48, $CY31:$CY$48 + CZ31:CZ$48)/$B31/$Y31</f>
        <v>0.2232180313876572</v>
      </c>
      <c r="EE31" s="73">
        <f>Settings!T39</f>
        <v>50</v>
      </c>
      <c r="EF31" s="14">
        <f>SUMPRODUCT($B31:$B$48, $Y31:$Y$48, CK31:CK$48)/$B31/$AD30</f>
        <v>2.2942627624617809E-2</v>
      </c>
      <c r="EG31" s="14">
        <f>SUMPRODUCT($B31:$B$48, $Y31:$Y$48, CN31:CN$48)/$B31/$AD30</f>
        <v>2.2055787497968177E-2</v>
      </c>
      <c r="EH31" s="14" cm="1">
        <f t="array" ref="EH31">SUMPRODUCT($B31:$B$48, $Y31:$Y$48, $CQ31:$CQ$48 + CR31:CR$48)/$B31/$AD30</f>
        <v>0.19412102403401563</v>
      </c>
      <c r="EI31" s="14" cm="1">
        <f t="array" ref="EI31">SUMPRODUCT($B31:$B$48, $Y31:$Y$48, $CQ31:$CQ$48 + CS31:CS$48)/$B31/$AD30</f>
        <v>0.19412102403401563</v>
      </c>
      <c r="EJ31" s="14" cm="1">
        <f t="array" ref="EJ31">SUMPRODUCT($B31:$B$48, $Y31:$Y$48, $CQ31:$CQ$48 + CT31:CT$48)/$B31/$AD30</f>
        <v>0.15445142347777679</v>
      </c>
      <c r="EK31" s="14" cm="1">
        <f t="array" ref="EK31">SUMPRODUCT($B31:$B$48, $Y31:$Y$48, $CV31:$CV$48 + CW31:CW$48)/$B31/$AD30</f>
        <v>7.3118086104954086E-2</v>
      </c>
      <c r="EL31" s="14" cm="1">
        <f t="array" ref="EL31">SUMPRODUCT($B31:$B$48, $Y31:$Y$48, $CY31:$CY$48 + CZ31:CZ$48)/$B31/$AD30</f>
        <v>3.909036128944561E-2</v>
      </c>
    </row>
    <row r="32" spans="1:142" x14ac:dyDescent="0.25">
      <c r="A32">
        <v>26</v>
      </c>
      <c r="B32">
        <f>B31/(1+Settings!O$14)</f>
        <v>0.67902052416202996</v>
      </c>
      <c r="C32" s="73">
        <f>C31/(1+Settings!$O$15)</f>
        <v>0.67902052416202996</v>
      </c>
      <c r="D32" s="73">
        <f>D31/(1+Settings!$O$16)</f>
        <v>0.67902052416202996</v>
      </c>
      <c r="E32" s="73">
        <f>E31/(1+Settings!$O$17)</f>
        <v>0.67902052416202996</v>
      </c>
      <c r="F32" s="73">
        <f>F31/(1+Settings!$O$18)</f>
        <v>0.67902052416202996</v>
      </c>
      <c r="H32">
        <f>Grondslag!A28</f>
        <v>51</v>
      </c>
      <c r="I32" s="15">
        <f>IF(Settings!C$7="Unisex", overlevtafel!I58, IF(Settings!C$7="Man", overlevtafel!D58, IF(Settings!C$7="Vrouw",overlevtafel!G58) ) )/I$4</f>
        <v>0.97386003564073731</v>
      </c>
      <c r="J32" s="11">
        <f t="shared" si="58"/>
        <v>2.2134233082203858E-3</v>
      </c>
      <c r="K32" s="11">
        <f>IFERROR(J32/SUM(J32:J$100), 1)</f>
        <v>2.2676811176462852E-3</v>
      </c>
      <c r="M32" s="20">
        <v>41</v>
      </c>
      <c r="N32" s="73">
        <f>IF(Settings!D$7="Unisex", overlevtafel!Q48, IF(Settings!D$7="Man", overlevtafel!L48, IF(Settings!D$7="Vrouw",overlevtafel!O48) ) )</f>
        <v>96307.5</v>
      </c>
      <c r="O32" s="20">
        <f t="shared" si="59"/>
        <v>51</v>
      </c>
      <c r="P32" s="15">
        <f t="shared" si="40"/>
        <v>0.97386003564073731</v>
      </c>
      <c r="R32" s="73">
        <f>1*($H32&gt;=Settings!D$10)</f>
        <v>0</v>
      </c>
      <c r="S32" s="73">
        <f t="shared" si="41"/>
        <v>51</v>
      </c>
      <c r="T32" s="73">
        <f>1*($S32&gt;=Settings!D$10)</f>
        <v>0</v>
      </c>
      <c r="V32" s="18">
        <f t="shared" si="8"/>
        <v>51</v>
      </c>
      <c r="W32">
        <f>Grondslag!J28</f>
        <v>50</v>
      </c>
      <c r="X32" s="73">
        <f t="shared" si="12"/>
        <v>50</v>
      </c>
      <c r="Y32">
        <f>Grondslag!S28</f>
        <v>35</v>
      </c>
      <c r="AA32" s="54">
        <f t="shared" si="42"/>
        <v>12.388637656203956</v>
      </c>
      <c r="AB32" s="14" cm="1">
        <f t="array" ref="AB32">IFERROR(Settings!O$3/NP_OP*AVERAGE(Y$6:Y$48)/SUM(Y$6:Y$48/AA$6:AA$48), 0)</f>
        <v>0.18717547021577788</v>
      </c>
      <c r="AC32" s="54">
        <f t="shared" si="43"/>
        <v>17.758472038304756</v>
      </c>
      <c r="AD32" s="54">
        <f t="shared" si="13"/>
        <v>220.00327541038732</v>
      </c>
      <c r="AE32" s="14">
        <f t="shared" si="14"/>
        <v>0.50738491538013586</v>
      </c>
      <c r="AF32" s="52" cm="1">
        <f t="array" ref="AF32">IFERROR(AB32*SUMPRODUCT(Y32:Y$48,1/AA32:AA$48)/AVERAGE(Y$6:Y$48), 0)</f>
        <v>0.22200943921051483</v>
      </c>
      <c r="AG32" s="14" cm="1">
        <f t="array" ref="AG32">IFERROR( AB32*SUM(1/AA32:AA$48), 0)</f>
        <v>0.2220094392105148</v>
      </c>
      <c r="AI32" s="20">
        <f t="shared" si="60"/>
        <v>6.1366160154014755E-2</v>
      </c>
      <c r="AJ32" s="20">
        <f t="shared" si="44"/>
        <v>3.5795871533706292</v>
      </c>
      <c r="AK32" s="20">
        <f t="shared" si="45"/>
        <v>0.27936182502453527</v>
      </c>
      <c r="AL32" s="5">
        <f>IFERROR( Settings!O$3*AVERAGE(Y$6:Y$48)/SUMPRODUCT(Y$6:Y$48, AK$6:AK$48), 0)</f>
        <v>3.9159687171057347E-2</v>
      </c>
      <c r="AM32" s="52">
        <f>IFERROR( AL32*SUMPRODUCT(Y32:Y$48, AK32:AK$48)/AVERAGE(Y$6:Y$48), 0)</f>
        <v>0.18769177896720557</v>
      </c>
      <c r="AN32" s="14">
        <f>IFERROR(AL32*SUM(AK32:AK$48),0)</f>
        <v>0.18769177896720557</v>
      </c>
      <c r="AO32" s="5">
        <f t="shared" si="46"/>
        <v>1.0846595055314611E-2</v>
      </c>
      <c r="AQ32" s="5">
        <f>NP_OP*NPuitkering_leeftijd!F33*AJ32/Y32</f>
        <v>4.1623106434542201E-2</v>
      </c>
      <c r="AR32" s="5">
        <f>NP_OP*SUM(NPuitkering_leeftijd!F33:F$49)/AVERAGE(Y32:Y$48)</f>
        <v>0.1976744186046511</v>
      </c>
      <c r="AS32" s="50">
        <f>IFERROR( AQ32*SUM(AK32:AK$48), 0)</f>
        <v>0.19949890964947734</v>
      </c>
      <c r="AT32" s="5">
        <f t="shared" si="15"/>
        <v>1.1416960028653906E-2</v>
      </c>
      <c r="AX32" s="20" cm="1">
        <f t="array" ref="AX32">IFERROR( $K32*SUMPRODUCT($P32:$P107, $C$6:$C$81, 1-$T32:$T107)/MIN($P31,1), 0)</f>
        <v>3.3253836763800594E-2</v>
      </c>
      <c r="AY32" s="5">
        <f t="shared" si="16"/>
        <v>0</v>
      </c>
      <c r="BB32" s="123"/>
      <c r="BC32" s="20" cm="1">
        <f t="array" ref="BC32">IFERROR($K32*SUMPRODUCT($P32:$P107, $C$6:$C$81, 1-$T32:$T107)/MIN($P32,1), 0)</f>
        <v>3.3329417252461191E-2</v>
      </c>
      <c r="BD32" s="5">
        <f>BC32*Settings!$I$3*$W32/$Y32</f>
        <v>2.380672660890085E-2</v>
      </c>
      <c r="BG32" s="20">
        <f t="shared" si="47"/>
        <v>2.8176218066618242E-2</v>
      </c>
      <c r="BH32" s="5">
        <f>BG32*Settings!I$7*W32/$Y32</f>
        <v>2.0125870047584461E-2</v>
      </c>
      <c r="BI32" s="5">
        <f>BG32*Settings!I$7*$X32/$Y32</f>
        <v>2.0125870047584461E-2</v>
      </c>
      <c r="BJ32" s="5">
        <f>BG32*Settings!I$7*MAX(W32-voltijdfranchise/1000, 0)/$Y32</f>
        <v>1.4088109033309121E-2</v>
      </c>
      <c r="BM32" s="15" cm="1">
        <f t="array" ref="BM32">IFERROR( $K32*SUMPRODUCT($P32:$P107, $C$6:$C$81, 1-$T32:$T107)/MIN($P32,1), 0)</f>
        <v>3.3329417252461191E-2</v>
      </c>
      <c r="BN32" s="5">
        <f>BM32*Settings!I$3*$W32/$Y32</f>
        <v>2.380672660890085E-2</v>
      </c>
      <c r="BQ32" s="15"/>
      <c r="BR32" s="15">
        <f t="shared" si="48"/>
        <v>0.32324794270829099</v>
      </c>
      <c r="BS32" s="15">
        <f>BM32*(Settings!I$4*$W32/$Y32  - BR32)</f>
        <v>1.303306105037655E-2</v>
      </c>
      <c r="BV32" s="20">
        <f t="shared" si="49"/>
        <v>2.8176218066618242E-2</v>
      </c>
      <c r="BW32" s="20">
        <f t="shared" si="50"/>
        <v>3.2235063790346761</v>
      </c>
      <c r="BX32" s="20">
        <f t="shared" si="51"/>
        <v>0.3102211946915594</v>
      </c>
      <c r="BY32" s="5">
        <f>IFERROR(Settings!O$5*AVERAGE(Y$6:Y$48)/SUMPRODUCT(Y$6:Y$48, BX$6:BX$48), 0)</f>
        <v>3.4197010420295985E-2</v>
      </c>
      <c r="BZ32" s="14">
        <f>IFERROR(BY32*SUMPRODUCT(Y32:Y$48, BX32:BX$48)/AVERAGE(Y32:Y$48), 0)</f>
        <v>0.16953488843770417</v>
      </c>
      <c r="CA32" s="5">
        <f t="shared" si="52"/>
        <v>4.4779407049746357E-3</v>
      </c>
      <c r="CB32" s="5"/>
      <c r="CC32" s="5"/>
      <c r="CD32" s="20">
        <f t="shared" si="53"/>
        <v>6.1505635319079426E-2</v>
      </c>
      <c r="CE32" s="20">
        <f t="shared" si="54"/>
        <v>2.257889547503027</v>
      </c>
      <c r="CF32" s="73">
        <f t="shared" si="55"/>
        <v>0.44289146079173275</v>
      </c>
      <c r="CG32" s="5" cm="1">
        <f t="array" ref="CG32">IFERROR(Settings!O$6*AVERAGE(Y$6:Y$48)/SUMPRODUCT(Y$6:Y$48,1/CE$6:CE$48), 0)</f>
        <v>2.3794373702957207E-2</v>
      </c>
      <c r="CI32" s="18">
        <f t="shared" si="9"/>
        <v>51</v>
      </c>
      <c r="CJ32" s="90">
        <f t="shared" si="17"/>
        <v>4.1623106434542201E-2</v>
      </c>
      <c r="CK32" s="104">
        <f t="shared" si="18"/>
        <v>1.1416960028653906E-2</v>
      </c>
      <c r="CL32" s="106">
        <f t="shared" si="19"/>
        <v>0</v>
      </c>
      <c r="CM32" s="89">
        <f t="shared" si="20"/>
        <v>3.9159687171057347E-2</v>
      </c>
      <c r="CN32" s="104">
        <f t="shared" si="21"/>
        <v>1.0846595055314611E-2</v>
      </c>
      <c r="CO32" s="106">
        <f t="shared" si="22"/>
        <v>0</v>
      </c>
      <c r="CP32" s="89">
        <f t="shared" si="23"/>
        <v>2.3794373702957207E-2</v>
      </c>
      <c r="CQ32" s="87">
        <f t="shared" si="24"/>
        <v>2.380672660890085E-2</v>
      </c>
      <c r="CR32" s="95">
        <f t="shared" si="25"/>
        <v>2.0125870047584461E-2</v>
      </c>
      <c r="CS32" s="96">
        <f t="shared" si="26"/>
        <v>2.0125870047584461E-2</v>
      </c>
      <c r="CT32" s="97">
        <f t="shared" si="27"/>
        <v>1.4088109033309121E-2</v>
      </c>
      <c r="CU32" s="89">
        <f t="shared" si="28"/>
        <v>3.4197010420295985E-2</v>
      </c>
      <c r="CV32" s="87">
        <f t="shared" si="29"/>
        <v>2.380672660890085E-2</v>
      </c>
      <c r="CW32" s="92">
        <f t="shared" si="30"/>
        <v>4.4779407049746357E-3</v>
      </c>
      <c r="CX32" s="89">
        <f t="shared" si="31"/>
        <v>3.9159687171057347E-2</v>
      </c>
      <c r="CY32" s="87">
        <f t="shared" si="32"/>
        <v>1.303306105037655E-2</v>
      </c>
      <c r="CZ32" s="115">
        <f t="shared" si="33"/>
        <v>4.4779407049746357E-3</v>
      </c>
      <c r="DA32" s="11"/>
      <c r="DB32">
        <f t="shared" si="10"/>
        <v>51</v>
      </c>
      <c r="DC32" s="11">
        <f t="shared" si="63"/>
        <v>5.3040066463196103E-2</v>
      </c>
      <c r="DD32" s="11">
        <f t="shared" si="64"/>
        <v>5.0006282226371962E-2</v>
      </c>
      <c r="DE32" s="11">
        <f t="shared" si="34"/>
        <v>6.7726970359442529E-2</v>
      </c>
      <c r="DF32" s="11">
        <f t="shared" si="35"/>
        <v>6.7726970359442529E-2</v>
      </c>
      <c r="DG32" s="11">
        <f t="shared" si="36"/>
        <v>6.1689209345167181E-2</v>
      </c>
      <c r="DH32" s="11">
        <f t="shared" si="37"/>
        <v>6.2481677734171473E-2</v>
      </c>
      <c r="DI32" s="11">
        <f t="shared" si="38"/>
        <v>5.667068892640853E-2</v>
      </c>
      <c r="DV32">
        <f t="shared" si="39"/>
        <v>51</v>
      </c>
      <c r="DW32" s="11">
        <f>SUMPRODUCT($B32:$B$48, $Y32:$Y$48, CK32:CK$48)/$B32/$Y32</f>
        <v>0.12177776326357577</v>
      </c>
      <c r="DX32" s="11">
        <f>SUMPRODUCT($B32:$B$48, $Y32:$Y$48, CN32:CN$48)/$B32/$Y32</f>
        <v>0.11720311672474261</v>
      </c>
      <c r="DY32" s="11" cm="1">
        <f t="array" ref="DY32">SUMPRODUCT($B32:$B$48, $Y32:$Y$48, $CQ32:$CQ$48 + CR32:CR$48)/$B32/$Y32</f>
        <v>1.0845771233925332</v>
      </c>
      <c r="DZ32" s="11" cm="1">
        <f t="array" ref="DZ32">SUMPRODUCT($B32:$B$48, $Y32:$Y$48, $CQ32:$CQ$48 + CS32:CS$48)/$B32/$Y32</f>
        <v>1.0845771233925332</v>
      </c>
      <c r="EA32" s="11" cm="1">
        <f t="array" ref="EA32">SUMPRODUCT($B32:$B$48, $Y32:$Y$48, $CQ32:$CQ$48 + CT32:CT$48)/$B32/$Y32</f>
        <v>0.86002382287817736</v>
      </c>
      <c r="EB32" s="11" cm="1">
        <f t="array" ref="EB32">SUMPRODUCT($B32:$B$48, $Y32:$Y$48, $CV32:$CV$48 + CW32:CW$48)/$B32/$Y32</f>
        <v>0.39690062196537101</v>
      </c>
      <c r="EC32" s="11" cm="1">
        <f t="array" ref="EC32">SUMPRODUCT($B32:$B$48, $Y32:$Y$48, $CY32:$CY$48 + CZ32:CZ$48)/$B32/$Y32</f>
        <v>0.20957626464190801</v>
      </c>
      <c r="EE32" s="73">
        <f>Settings!T40</f>
        <v>51</v>
      </c>
      <c r="EF32" s="14">
        <f>SUMPRODUCT($B32:$B$48, $Y32:$Y$48, CK32:CK$48)/$B32/$AD31</f>
        <v>2.0313630024812006E-2</v>
      </c>
      <c r="EG32" s="14">
        <f>SUMPRODUCT($B32:$B$48, $Y32:$Y$48, CN32:CN$48)/$B32/$AD31</f>
        <v>1.9550537693390123E-2</v>
      </c>
      <c r="EH32" s="14" cm="1">
        <f t="array" ref="EH32">SUMPRODUCT($B32:$B$48, $Y32:$Y$48, $CQ32:$CQ$48 + CR32:CR$48)/$B32/$AD31</f>
        <v>0.18091725309722917</v>
      </c>
      <c r="EI32" s="14" cm="1">
        <f t="array" ref="EI32">SUMPRODUCT($B32:$B$48, $Y32:$Y$48, $CQ32:$CQ$48 + CS32:CS$48)/$B32/$AD31</f>
        <v>0.18091725309722917</v>
      </c>
      <c r="EJ32" s="14" cm="1">
        <f t="array" ref="EJ32">SUMPRODUCT($B32:$B$48, $Y32:$Y$48, $CQ32:$CQ$48 + CT32:CT$48)/$B32/$AD31</f>
        <v>0.14345973585226093</v>
      </c>
      <c r="EK32" s="14" cm="1">
        <f t="array" ref="EK32">SUMPRODUCT($B32:$B$48, $Y32:$Y$48, $CV32:$CV$48 + CW32:CW$48)/$B32/$AD31</f>
        <v>6.620660599400123E-2</v>
      </c>
      <c r="EL32" s="14" cm="1">
        <f t="array" ref="EL32">SUMPRODUCT($B32:$B$48, $Y32:$Y$48, $CY32:$CY$48 + CZ32:CZ$48)/$B32/$AD31</f>
        <v>3.4959212485315624E-2</v>
      </c>
    </row>
    <row r="33" spans="1:142" x14ac:dyDescent="0.25">
      <c r="A33">
        <v>27</v>
      </c>
      <c r="B33">
        <f>B32/(1+Settings!O$14)</f>
        <v>0.66898573809066997</v>
      </c>
      <c r="C33" s="73">
        <f>C32/(1+Settings!$O$15)</f>
        <v>0.66898573809066997</v>
      </c>
      <c r="D33" s="73">
        <f>D32/(1+Settings!$O$16)</f>
        <v>0.66898573809066997</v>
      </c>
      <c r="E33" s="73">
        <f>E32/(1+Settings!$O$17)</f>
        <v>0.66898573809066997</v>
      </c>
      <c r="F33" s="73">
        <f>F32/(1+Settings!$O$18)</f>
        <v>0.66898573809066997</v>
      </c>
      <c r="H33">
        <f>Grondslag!A29</f>
        <v>52</v>
      </c>
      <c r="I33" s="15">
        <f>IF(Settings!C$7="Unisex", overlevtafel!I59, IF(Settings!C$7="Man", overlevtafel!D59, IF(Settings!C$7="Vrouw",overlevtafel!G59) ) )/I$4</f>
        <v>0.97160039235624307</v>
      </c>
      <c r="J33" s="11">
        <f t="shared" si="58"/>
        <v>2.2596432844942393E-3</v>
      </c>
      <c r="K33" s="11">
        <f>IFERROR(J33/SUM(J33:J$100), 1)</f>
        <v>2.3202957785448111E-3</v>
      </c>
      <c r="M33" s="20">
        <v>42</v>
      </c>
      <c r="N33" s="73">
        <f>IF(Settings!D$7="Unisex", overlevtafel!Q49, IF(Settings!D$7="Man", overlevtafel!L49, IF(Settings!D$7="Vrouw",overlevtafel!O49) ) )</f>
        <v>96199.5</v>
      </c>
      <c r="O33" s="20">
        <f t="shared" si="59"/>
        <v>52</v>
      </c>
      <c r="P33" s="15">
        <f t="shared" si="40"/>
        <v>0.97160039235624307</v>
      </c>
      <c r="R33" s="73">
        <f>1*($H33&gt;=Settings!D$10)</f>
        <v>0</v>
      </c>
      <c r="S33" s="73">
        <f t="shared" si="41"/>
        <v>52</v>
      </c>
      <c r="T33" s="73">
        <f>1*($S33&gt;=Settings!D$10)</f>
        <v>0</v>
      </c>
      <c r="V33" s="18">
        <f t="shared" si="8"/>
        <v>52</v>
      </c>
      <c r="W33">
        <f>Grondslag!J29</f>
        <v>50</v>
      </c>
      <c r="X33" s="73">
        <f t="shared" si="12"/>
        <v>50</v>
      </c>
      <c r="Y33">
        <f>Grondslag!S29</f>
        <v>35</v>
      </c>
      <c r="AA33" s="54">
        <f t="shared" si="42"/>
        <v>12.603711559188147</v>
      </c>
      <c r="AB33" s="14" cm="1">
        <f t="array" ref="AB33">IFERROR(Settings!O$3/NP_OP*AVERAGE(Y$6:Y$48)/SUM(Y$6:Y$48/AA$6:AA$48), 0)</f>
        <v>0.18717547021577788</v>
      </c>
      <c r="AC33" s="54">
        <f t="shared" si="43"/>
        <v>18.278250789729483</v>
      </c>
      <c r="AD33" s="54">
        <f t="shared" si="13"/>
        <v>230.37380076025337</v>
      </c>
      <c r="AE33" s="14">
        <f t="shared" si="14"/>
        <v>0.52223573684941382</v>
      </c>
      <c r="AF33" s="52" cm="1">
        <f t="array" ref="AF33">IFERROR(AB33*SUMPRODUCT(Y33:Y$48,1/AA33:AA$48)/AVERAGE(Y$6:Y$48), 0)</f>
        <v>0.20690079890557822</v>
      </c>
      <c r="AG33" s="14" cm="1">
        <f t="array" ref="AG33">IFERROR( AB33*SUM(1/AA33:AA$48), 0)</f>
        <v>0.2069007989055783</v>
      </c>
      <c r="AI33" s="20">
        <f t="shared" si="60"/>
        <v>6.1521577087508966E-2</v>
      </c>
      <c r="AJ33" s="20">
        <f t="shared" si="44"/>
        <v>3.5876236890349595</v>
      </c>
      <c r="AK33" s="20">
        <f t="shared" si="45"/>
        <v>0.27873603439969247</v>
      </c>
      <c r="AL33" s="5">
        <f>IFERROR( Settings!O$3*AVERAGE(Y$6:Y$48)/SUMPRODUCT(Y$6:Y$48, AK$6:AK$48), 0)</f>
        <v>3.9159687171057347E-2</v>
      </c>
      <c r="AM33" s="52">
        <f>IFERROR( AL33*SUMPRODUCT(Y33:Y$48, AK33:AK$48)/AVERAGE(Y$6:Y$48), 0)</f>
        <v>0.17675205729170909</v>
      </c>
      <c r="AN33" s="14">
        <f>IFERROR(AL33*SUM(AK33:AK$48),0)</f>
        <v>0.17675205729170909</v>
      </c>
      <c r="AO33" s="5">
        <f t="shared" si="46"/>
        <v>1.0202544020989635E-2</v>
      </c>
      <c r="AQ33" s="5">
        <f>NP_OP*NPuitkering_leeftijd!F34*AJ33/Y33</f>
        <v>4.1716554523662318E-2</v>
      </c>
      <c r="AR33" s="5">
        <f>NP_OP*SUM(NPuitkering_leeftijd!F34:F$49)/AVERAGE(Y33:Y$48)</f>
        <v>0.18604651162790695</v>
      </c>
      <c r="AS33" s="50">
        <f>IFERROR( AQ33*SUM(AK33:AK$48), 0)</f>
        <v>0.18829279209944152</v>
      </c>
      <c r="AT33" s="5">
        <f>AI33*AR34</f>
        <v>1.073050763154226E-2</v>
      </c>
      <c r="AX33" s="20" cm="1">
        <f t="array" ref="AX33">IFERROR( $K33*SUMPRODUCT($P33:$P108, $C$6:$C$81, 1-$T33:$T108)/MIN($P32,1), 0)</f>
        <v>3.2259165932567696E-2</v>
      </c>
      <c r="AY33" s="5">
        <f t="shared" si="16"/>
        <v>0</v>
      </c>
      <c r="BC33" s="20" cm="1">
        <f t="array" ref="BC33">IFERROR($K33*SUMPRODUCT($P33:$P108, $C$6:$C$81, 1-$T33:$T108)/MIN($P33,1), 0)</f>
        <v>3.2334190817526968E-2</v>
      </c>
      <c r="BD33" s="5">
        <f>BC33*Settings!$I$3*$W33/$Y33</f>
        <v>2.3095850583947832E-2</v>
      </c>
      <c r="BG33" s="20">
        <f t="shared" si="47"/>
        <v>2.9330466511211788E-2</v>
      </c>
      <c r="BH33" s="5">
        <f>BG33*Settings!I$7*W33/$Y33</f>
        <v>2.0950333222294133E-2</v>
      </c>
      <c r="BI33" s="5">
        <f>BG33*Settings!I$7*$X33/$Y33</f>
        <v>2.0950333222294133E-2</v>
      </c>
      <c r="BJ33" s="5">
        <f>BG33*Settings!I$7*MAX(W33-voltijdfranchise/1000, 0)/$Y33</f>
        <v>1.4665233255605896E-2</v>
      </c>
      <c r="BM33" s="15" cm="1">
        <f t="array" ref="BM33">IFERROR( $K33*SUMPRODUCT($P33:$P108, $C$6:$C$81, 1-$T33:$T108)/MIN($P33,1), 0)</f>
        <v>3.2334190817526968E-2</v>
      </c>
      <c r="BN33" s="5">
        <f>BM33*Settings!I$3*$W33/$Y33</f>
        <v>2.3095850583947832E-2</v>
      </c>
      <c r="BQ33" s="15"/>
      <c r="BR33" s="15">
        <f t="shared" si="48"/>
        <v>0.33416315861868401</v>
      </c>
      <c r="BS33" s="15">
        <f>BM33*(Settings!I$4*$W33/$Y33  - BR33)</f>
        <v>1.2290955248983776E-2</v>
      </c>
      <c r="BV33" s="20">
        <f t="shared" si="49"/>
        <v>2.9330466511211788E-2</v>
      </c>
      <c r="BW33" s="20">
        <f t="shared" si="50"/>
        <v>3.258363304033383</v>
      </c>
      <c r="BX33" s="20">
        <f t="shared" si="51"/>
        <v>0.30690254790254495</v>
      </c>
      <c r="BY33" s="5">
        <f>IFERROR(Settings!O$5*AVERAGE(Y$6:Y$48)/SUMPRODUCT(Y$6:Y$48, BX$6:BX$48), 0)</f>
        <v>3.4197010420295985E-2</v>
      </c>
      <c r="BZ33" s="14">
        <f>IFERROR(BY33*SUMPRODUCT(Y33:Y$48, BX33:BX$48)/AVERAGE(Y33:Y$48), 0)</f>
        <v>0.15892625101024022</v>
      </c>
      <c r="CA33" s="5">
        <f t="shared" si="52"/>
        <v>4.3535534482953449E-3</v>
      </c>
      <c r="CB33" s="5"/>
      <c r="CC33" s="5"/>
      <c r="CD33" s="20">
        <f t="shared" si="53"/>
        <v>6.1664657328738749E-2</v>
      </c>
      <c r="CE33" s="20">
        <f t="shared" si="54"/>
        <v>2.3024301325768244</v>
      </c>
      <c r="CF33" s="73">
        <f t="shared" si="55"/>
        <v>0.43432371121760122</v>
      </c>
      <c r="CG33" s="5" cm="1">
        <f t="array" ref="CG33">IFERROR(Settings!O$6*AVERAGE(Y$6:Y$48)/SUMPRODUCT(Y$6:Y$48,1/CE$6:CE$48), 0)</f>
        <v>2.3794373702957207E-2</v>
      </c>
      <c r="CI33" s="18">
        <f t="shared" si="9"/>
        <v>52</v>
      </c>
      <c r="CJ33" s="90">
        <f t="shared" si="17"/>
        <v>4.1716554523662318E-2</v>
      </c>
      <c r="CK33" s="104">
        <f t="shared" si="18"/>
        <v>1.073050763154226E-2</v>
      </c>
      <c r="CL33" s="106">
        <f t="shared" si="19"/>
        <v>0</v>
      </c>
      <c r="CM33" s="89">
        <f t="shared" si="20"/>
        <v>3.9159687171057347E-2</v>
      </c>
      <c r="CN33" s="104">
        <f t="shared" si="21"/>
        <v>1.0202544020989635E-2</v>
      </c>
      <c r="CO33" s="106">
        <f t="shared" si="22"/>
        <v>0</v>
      </c>
      <c r="CP33" s="89">
        <f t="shared" si="23"/>
        <v>2.3794373702957207E-2</v>
      </c>
      <c r="CQ33" s="87">
        <f t="shared" si="24"/>
        <v>2.3095850583947832E-2</v>
      </c>
      <c r="CR33" s="95">
        <f t="shared" si="25"/>
        <v>2.0950333222294133E-2</v>
      </c>
      <c r="CS33" s="96">
        <f t="shared" si="26"/>
        <v>2.0950333222294133E-2</v>
      </c>
      <c r="CT33" s="97">
        <f t="shared" si="27"/>
        <v>1.4665233255605896E-2</v>
      </c>
      <c r="CU33" s="89">
        <f t="shared" si="28"/>
        <v>3.4197010420295985E-2</v>
      </c>
      <c r="CV33" s="87">
        <f t="shared" si="29"/>
        <v>2.3095850583947832E-2</v>
      </c>
      <c r="CW33" s="92">
        <f t="shared" si="30"/>
        <v>4.3535534482953449E-3</v>
      </c>
      <c r="CX33" s="89">
        <f t="shared" si="31"/>
        <v>3.9159687171057347E-2</v>
      </c>
      <c r="CY33" s="87">
        <f t="shared" si="32"/>
        <v>1.2290955248983776E-2</v>
      </c>
      <c r="CZ33" s="115">
        <f t="shared" si="33"/>
        <v>4.3535534482953449E-3</v>
      </c>
      <c r="DA33" s="11"/>
      <c r="DB33">
        <f t="shared" si="10"/>
        <v>52</v>
      </c>
      <c r="DC33" s="11">
        <f t="shared" si="63"/>
        <v>5.2447062155204574E-2</v>
      </c>
      <c r="DD33" s="11">
        <f t="shared" si="64"/>
        <v>4.9362231192046982E-2</v>
      </c>
      <c r="DE33" s="11">
        <f t="shared" si="34"/>
        <v>6.7840557509199165E-2</v>
      </c>
      <c r="DF33" s="11">
        <f t="shared" si="35"/>
        <v>6.7840557509199165E-2</v>
      </c>
      <c r="DG33" s="11">
        <f t="shared" si="36"/>
        <v>6.1555457542510933E-2</v>
      </c>
      <c r="DH33" s="11">
        <f t="shared" si="37"/>
        <v>6.1646414452539156E-2</v>
      </c>
      <c r="DI33" s="11">
        <f t="shared" si="38"/>
        <v>5.5804195868336473E-2</v>
      </c>
      <c r="DV33">
        <f t="shared" si="39"/>
        <v>52</v>
      </c>
      <c r="DW33" s="11">
        <f>SUMPRODUCT($B33:$B$48, $Y33:$Y$48, CK33:CK$48)/$B33/$Y33</f>
        <v>0.11201621528344573</v>
      </c>
      <c r="DX33" s="11">
        <f>SUMPRODUCT($B33:$B$48, $Y33:$Y$48, CN33:CN$48)/$B33/$Y33</f>
        <v>0.10795186949446942</v>
      </c>
      <c r="DY33" s="11" cm="1">
        <f t="array" ref="DY33">SUMPRODUCT($B33:$B$48, $Y33:$Y$48, $CQ33:$CQ$48 + CR33:CR$48)/$B33/$Y33</f>
        <v>1.0562541946370883</v>
      </c>
      <c r="DZ33" s="11" cm="1">
        <f t="array" ref="DZ33">SUMPRODUCT($B33:$B$48, $Y33:$Y$48, $CQ33:$CQ$48 + CS33:CS$48)/$B33/$Y33</f>
        <v>1.0562541946370883</v>
      </c>
      <c r="EA33" s="11" cm="1">
        <f t="array" ref="EA33">SUMPRODUCT($B33:$B$48, $Y33:$Y$48, $CQ33:$CQ$48 + CT33:CT$48)/$B33/$Y33</f>
        <v>0.83446092204450695</v>
      </c>
      <c r="EB33" s="11" cm="1">
        <f t="array" ref="EB33">SUMPRODUCT($B33:$B$48, $Y33:$Y$48, $CV33:$CV$48 + CW33:CW$48)/$B33/$Y33</f>
        <v>0.37414519397126783</v>
      </c>
      <c r="EC33" s="11" cm="1">
        <f t="array" ref="EC33">SUMPRODUCT($B33:$B$48, $Y33:$Y$48, $CY33:$CY$48 + CZ33:CZ$48)/$B33/$Y33</f>
        <v>0.19494624182985515</v>
      </c>
      <c r="EE33" s="73">
        <f>Settings!T41</f>
        <v>52</v>
      </c>
      <c r="EF33" s="14">
        <f>SUMPRODUCT($B33:$B$48, $Y33:$Y$48, CK33:CK$48)/$B33/$AD32</f>
        <v>1.7820496206737355E-2</v>
      </c>
      <c r="EG33" s="14">
        <f>SUMPRODUCT($B33:$B$48, $Y33:$Y$48, CN33:CN$48)/$B33/$AD32</f>
        <v>1.7173905366901818E-2</v>
      </c>
      <c r="EH33" s="14" cm="1">
        <f t="array" ref="EH33">SUMPRODUCT($B33:$B$48, $Y33:$Y$48, $CQ33:$CQ$48 + CR33:CR$48)/$B33/$AD32</f>
        <v>0.1680379382685892</v>
      </c>
      <c r="EI33" s="14" cm="1">
        <f t="array" ref="EI33">SUMPRODUCT($B33:$B$48, $Y33:$Y$48, $CQ33:$CQ$48 + CS33:CS$48)/$B33/$AD32</f>
        <v>0.1680379382685892</v>
      </c>
      <c r="EJ33" s="14" cm="1">
        <f t="array" ref="EJ33">SUMPRODUCT($B33:$B$48, $Y33:$Y$48, $CQ33:$CQ$48 + CT33:CT$48)/$B33/$AD32</f>
        <v>0.13275317022929556</v>
      </c>
      <c r="EK33" s="14" cm="1">
        <f t="array" ref="EK33">SUMPRODUCT($B33:$B$48, $Y33:$Y$48, $CV33:$CV$48 + CW33:CW$48)/$B33/$AD32</f>
        <v>5.9522212860545883E-2</v>
      </c>
      <c r="EL33" s="14" cm="1">
        <f t="array" ref="EL33">SUMPRODUCT($B33:$B$48, $Y33:$Y$48, $CY33:$CY$48 + CZ33:CZ$48)/$B33/$AD32</f>
        <v>3.1013713097304101E-2</v>
      </c>
    </row>
    <row r="34" spans="1:142" x14ac:dyDescent="0.25">
      <c r="A34">
        <v>28</v>
      </c>
      <c r="B34">
        <f>B33/(1+Settings!O$14)</f>
        <v>0.65909924935041386</v>
      </c>
      <c r="C34" s="73">
        <f>C33/(1+Settings!$O$15)</f>
        <v>0.65909924935041386</v>
      </c>
      <c r="D34" s="73">
        <f>D33/(1+Settings!$O$16)</f>
        <v>0.65909924935041386</v>
      </c>
      <c r="E34" s="73">
        <f>E33/(1+Settings!$O$17)</f>
        <v>0.65909924935041386</v>
      </c>
      <c r="F34" s="73">
        <f>F33/(1+Settings!$O$18)</f>
        <v>0.65909924935041386</v>
      </c>
      <c r="H34">
        <f>Grondslag!A30</f>
        <v>53</v>
      </c>
      <c r="I34" s="15">
        <f>IF(Settings!C$7="Unisex", overlevtafel!I60, IF(Settings!C$7="Man", overlevtafel!D60, IF(Settings!C$7="Vrouw",overlevtafel!G60) ) )/I$4</f>
        <v>0.96935615573050671</v>
      </c>
      <c r="J34" s="11">
        <f t="shared" si="58"/>
        <v>2.2442366257363622E-3</v>
      </c>
      <c r="K34" s="11">
        <f>IFERROR(J34/SUM(J34:J$100), 1)</f>
        <v>2.3098350806415192E-3</v>
      </c>
      <c r="M34" s="20">
        <v>43</v>
      </c>
      <c r="N34" s="73">
        <f>IF(Settings!D$7="Unisex", overlevtafel!Q50, IF(Settings!D$7="Man", overlevtafel!L50, IF(Settings!D$7="Vrouw",overlevtafel!O50) ) )</f>
        <v>96107.5</v>
      </c>
      <c r="O34" s="20">
        <f t="shared" si="59"/>
        <v>53</v>
      </c>
      <c r="P34" s="15">
        <f t="shared" si="40"/>
        <v>0.96935615573050671</v>
      </c>
      <c r="R34" s="73">
        <f>1*($H34&gt;=Settings!D$10)</f>
        <v>0</v>
      </c>
      <c r="S34" s="73">
        <f t="shared" si="41"/>
        <v>53</v>
      </c>
      <c r="T34" s="73">
        <f>1*($S34&gt;=Settings!D$10)</f>
        <v>0</v>
      </c>
      <c r="V34" s="18">
        <f t="shared" si="8"/>
        <v>53</v>
      </c>
      <c r="W34">
        <f>Grondslag!J30</f>
        <v>50</v>
      </c>
      <c r="X34" s="73">
        <f t="shared" si="12"/>
        <v>50</v>
      </c>
      <c r="Y34">
        <f>Grondslag!S30</f>
        <v>35</v>
      </c>
      <c r="AA34" s="54">
        <f t="shared" si="42"/>
        <v>12.822384826272723</v>
      </c>
      <c r="AB34" s="14" cm="1">
        <f t="array" ref="AB34">IFERROR(Settings!O$3/NP_OP*AVERAGE(Y$6:Y$48)/SUM(Y$6:Y$48/AA$6:AA$48), 0)</f>
        <v>0.18717547021577788</v>
      </c>
      <c r="AC34" s="54">
        <f t="shared" si="43"/>
        <v>18.789165221507346</v>
      </c>
      <c r="AD34" s="54">
        <f t="shared" si="13"/>
        <v>240.92190703458695</v>
      </c>
      <c r="AE34" s="14">
        <f t="shared" si="14"/>
        <v>0.53683329204306707</v>
      </c>
      <c r="AF34" s="52" cm="1">
        <f t="array" ref="AF34">IFERROR(AB34*SUMPRODUCT(Y34:Y$48,1/AA34:AA$48)/AVERAGE(Y$6:Y$48), 0)</f>
        <v>0.19204997743630031</v>
      </c>
      <c r="AG34" s="14" cm="1">
        <f t="array" ref="AG34">IFERROR( AB34*SUM(1/AA34:AA$48), 0)</f>
        <v>0.19204997743630031</v>
      </c>
      <c r="AI34" s="20">
        <f t="shared" si="60"/>
        <v>5.9962968840279851E-2</v>
      </c>
      <c r="AJ34" s="20">
        <f t="shared" si="44"/>
        <v>3.5955848757972633</v>
      </c>
      <c r="AK34" s="20">
        <f t="shared" si="45"/>
        <v>0.27811886926414608</v>
      </c>
      <c r="AL34" s="5">
        <f>IFERROR( Settings!O$3*AVERAGE(Y$6:Y$48)/SUMPRODUCT(Y$6:Y$48, AK$6:AK$48), 0)</f>
        <v>3.9159687171057347E-2</v>
      </c>
      <c r="AM34" s="52">
        <f>IFERROR( AL34*SUMPRODUCT(Y34:Y$48, AK34:AK$48)/AVERAGE(Y$6:Y$48), 0)</f>
        <v>0.16583684138131605</v>
      </c>
      <c r="AN34" s="14">
        <f>IFERROR(AL34*SUM(AK34:AK$48),0)</f>
        <v>0.16583684138131607</v>
      </c>
      <c r="AO34" s="5">
        <f t="shared" si="46"/>
        <v>9.291009785448081E-3</v>
      </c>
      <c r="AQ34" s="5">
        <f>NP_OP*NPuitkering_leeftijd!F35*AJ34/Y34</f>
        <v>4.1809126462758882E-2</v>
      </c>
      <c r="AR34" s="5">
        <f>NP_OP*SUM(NPuitkering_leeftijd!F35:F$49)/AVERAGE(Y34:Y$48)</f>
        <v>0.17441860465116277</v>
      </c>
      <c r="AS34" s="50">
        <f>IFERROR( AQ34*SUM(AK34:AK$48), 0)</f>
        <v>0.17705691680347296</v>
      </c>
      <c r="AT34" s="5">
        <f t="shared" si="15"/>
        <v>9.7614135321385798E-3</v>
      </c>
      <c r="AX34" s="20" cm="1">
        <f t="array" ref="AX34">IFERROR( $K34*SUMPRODUCT($P34:$P109, $C$6:$C$81, 1-$T34:$T109)/MIN($P33,1), 0)</f>
        <v>3.0326760723100827E-2</v>
      </c>
      <c r="AY34" s="5">
        <f t="shared" si="16"/>
        <v>0</v>
      </c>
      <c r="BC34" s="20" cm="1">
        <f t="array" ref="BC34">IFERROR($K34*SUMPRODUCT($P34:$P109, $C$6:$C$81, 1-$T34:$T109)/MIN($P34,1), 0)</f>
        <v>3.0396972715620169E-2</v>
      </c>
      <c r="BD34" s="5">
        <f>BC34*Settings!$I$3*$W34/$Y34</f>
        <v>2.1712123368300119E-2</v>
      </c>
      <c r="BG34" s="20">
        <f t="shared" si="47"/>
        <v>2.9704821354234714E-2</v>
      </c>
      <c r="BH34" s="5">
        <f>BG34*Settings!I$7*W34/$Y34</f>
        <v>2.1217729538739079E-2</v>
      </c>
      <c r="BI34" s="5">
        <f>BG34*Settings!I$7*$X34/$Y34</f>
        <v>2.1217729538739079E-2</v>
      </c>
      <c r="BJ34" s="5">
        <f>BG34*Settings!I$7*MAX(W34-voltijdfranchise/1000, 0)/$Y34</f>
        <v>1.4852410677117355E-2</v>
      </c>
      <c r="BM34" s="15" cm="1">
        <f t="array" ref="BM34">IFERROR( $K34*SUMPRODUCT($P34:$P109, $C$6:$C$81, 1-$T34:$T109)/MIN($P34,1), 0)</f>
        <v>3.0396972715620169E-2</v>
      </c>
      <c r="BN34" s="5">
        <f>BM34*Settings!I$3*$W34/$Y34</f>
        <v>2.1712123368300119E-2</v>
      </c>
      <c r="BQ34" s="15"/>
      <c r="BR34" s="15">
        <f t="shared" si="48"/>
        <v>0.34505420653543617</v>
      </c>
      <c r="BS34" s="15">
        <f>BM34*(Settings!I$4*$W34/$Y34  - BR34)</f>
        <v>1.12235200668325E-2</v>
      </c>
      <c r="BV34" s="20">
        <f t="shared" si="49"/>
        <v>2.9704821354234714E-2</v>
      </c>
      <c r="BW34" s="20">
        <f t="shared" si="50"/>
        <v>3.2926617736646175</v>
      </c>
      <c r="BX34" s="20">
        <f t="shared" si="51"/>
        <v>0.30370565479825612</v>
      </c>
      <c r="BY34" s="5">
        <f>IFERROR(Settings!O$5*AVERAGE(Y$6:Y$48)/SUMPRODUCT(Y$6:Y$48, BX$6:BX$48), 0)</f>
        <v>3.4197010420295985E-2</v>
      </c>
      <c r="BZ34" s="14">
        <f>IFERROR(BY34*SUMPRODUCT(Y34:Y$48, BX34:BX$48)/AVERAGE(Y34:Y$48), 0)</f>
        <v>0.14843110138160151</v>
      </c>
      <c r="CA34" s="5">
        <f t="shared" si="52"/>
        <v>4.1006102605866896E-3</v>
      </c>
      <c r="CB34" s="5"/>
      <c r="CC34" s="5"/>
      <c r="CD34" s="20">
        <f t="shared" si="53"/>
        <v>6.0101794069854872E-2</v>
      </c>
      <c r="CE34" s="20">
        <f t="shared" si="54"/>
        <v>2.3478001202015353</v>
      </c>
      <c r="CF34" s="73">
        <f t="shared" si="55"/>
        <v>0.42593063668220615</v>
      </c>
      <c r="CG34" s="5" cm="1">
        <f t="array" ref="CG34">IFERROR(Settings!O$6*AVERAGE(Y$6:Y$48)/SUMPRODUCT(Y$6:Y$48,1/CE$6:CE$48), 0)</f>
        <v>2.3794373702957207E-2</v>
      </c>
      <c r="CI34" s="18">
        <f t="shared" si="9"/>
        <v>53</v>
      </c>
      <c r="CJ34" s="90">
        <f t="shared" si="17"/>
        <v>4.1809126462758882E-2</v>
      </c>
      <c r="CK34" s="104">
        <f t="shared" si="18"/>
        <v>9.7614135321385798E-3</v>
      </c>
      <c r="CL34" s="106">
        <f t="shared" si="19"/>
        <v>0</v>
      </c>
      <c r="CM34" s="89">
        <f t="shared" si="20"/>
        <v>3.9159687171057347E-2</v>
      </c>
      <c r="CN34" s="104">
        <f t="shared" si="21"/>
        <v>9.291009785448081E-3</v>
      </c>
      <c r="CO34" s="106">
        <f t="shared" si="22"/>
        <v>0</v>
      </c>
      <c r="CP34" s="89">
        <f t="shared" si="23"/>
        <v>2.3794373702957207E-2</v>
      </c>
      <c r="CQ34" s="87">
        <f t="shared" si="24"/>
        <v>2.1712123368300119E-2</v>
      </c>
      <c r="CR34" s="95">
        <f t="shared" si="25"/>
        <v>2.1217729538739079E-2</v>
      </c>
      <c r="CS34" s="96">
        <f t="shared" si="26"/>
        <v>2.1217729538739079E-2</v>
      </c>
      <c r="CT34" s="97">
        <f t="shared" si="27"/>
        <v>1.4852410677117355E-2</v>
      </c>
      <c r="CU34" s="89">
        <f t="shared" si="28"/>
        <v>3.4197010420295985E-2</v>
      </c>
      <c r="CV34" s="87">
        <f t="shared" si="29"/>
        <v>2.1712123368300119E-2</v>
      </c>
      <c r="CW34" s="92">
        <f t="shared" si="30"/>
        <v>4.1006102605866896E-3</v>
      </c>
      <c r="CX34" s="89">
        <f t="shared" si="31"/>
        <v>3.9159687171057347E-2</v>
      </c>
      <c r="CY34" s="87">
        <f t="shared" si="32"/>
        <v>1.12235200668325E-2</v>
      </c>
      <c r="CZ34" s="115">
        <f t="shared" si="33"/>
        <v>4.1006102605866896E-3</v>
      </c>
      <c r="DA34" s="11"/>
      <c r="DB34">
        <f t="shared" si="10"/>
        <v>53</v>
      </c>
      <c r="DC34" s="11">
        <f t="shared" si="63"/>
        <v>5.1570539994897462E-2</v>
      </c>
      <c r="DD34" s="11">
        <f t="shared" si="64"/>
        <v>4.8450696956505432E-2</v>
      </c>
      <c r="DE34" s="11">
        <f t="shared" si="34"/>
        <v>6.6724226609996412E-2</v>
      </c>
      <c r="DF34" s="11">
        <f t="shared" si="35"/>
        <v>6.6724226609996412E-2</v>
      </c>
      <c r="DG34" s="11">
        <f t="shared" si="36"/>
        <v>6.0358907748374685E-2</v>
      </c>
      <c r="DH34" s="11">
        <f t="shared" si="37"/>
        <v>6.0009744049182794E-2</v>
      </c>
      <c r="DI34" s="11">
        <f t="shared" si="38"/>
        <v>5.4483817498476535E-2</v>
      </c>
      <c r="DV34">
        <f t="shared" si="39"/>
        <v>53</v>
      </c>
      <c r="DW34" s="11">
        <f>SUMPRODUCT($B34:$B$48, $Y34:$Y$48, CK34:CK$48)/$B34/$Y34</f>
        <v>0.10280499326668199</v>
      </c>
      <c r="DX34" s="11">
        <f>SUMPRODUCT($B34:$B$48, $Y34:$Y$48, CN34:CN$48)/$B34/$Y34</f>
        <v>9.9215565355581944E-2</v>
      </c>
      <c r="DY34" s="11" cm="1">
        <f t="array" ref="DY34">SUMPRODUCT($B34:$B$48, $Y34:$Y$48, $CQ34:$CQ$48 + CR34:CR$48)/$B34/$Y34</f>
        <v>1.0273911309933088</v>
      </c>
      <c r="DZ34" s="11" cm="1">
        <f t="array" ref="DZ34">SUMPRODUCT($B34:$B$48, $Y34:$Y$48, $CQ34:$CQ$48 + CS34:CS$48)/$B34/$Y34</f>
        <v>1.0273911309933088</v>
      </c>
      <c r="EA34" s="11" cm="1">
        <f t="array" ref="EA34">SUMPRODUCT($B34:$B$48, $Y34:$Y$48, $CQ34:$CQ$48 + CT34:CT$48)/$B34/$Y34</f>
        <v>0.80865033577802725</v>
      </c>
      <c r="EB34" s="11" cm="1">
        <f t="array" ref="EB34">SUMPRODUCT($B34:$B$48, $Y34:$Y$48, $CV34:$CV$48 + CW34:CW$48)/$B34/$Y34</f>
        <v>0.35189622678811011</v>
      </c>
      <c r="EC34" s="11" cm="1">
        <f t="array" ref="EC34">SUMPRODUCT($B34:$B$48, $Y34:$Y$48, $CY34:$CY$48 + CZ34:CZ$48)/$B34/$Y34</f>
        <v>0.18097625912956464</v>
      </c>
      <c r="EE34" s="73">
        <f>Settings!T42</f>
        <v>53</v>
      </c>
      <c r="EF34" s="14">
        <f>SUMPRODUCT($B34:$B$48, $Y34:$Y$48, CK34:CK$48)/$B34/$AD33</f>
        <v>1.5618854020984953E-2</v>
      </c>
      <c r="EG34" s="14">
        <f>SUMPRODUCT($B34:$B$48, $Y34:$Y$48, CN34:CN$48)/$B34/$AD33</f>
        <v>1.507352301340548E-2</v>
      </c>
      <c r="EH34" s="14" cm="1">
        <f t="array" ref="EH34">SUMPRODUCT($B34:$B$48, $Y34:$Y$48, $CQ34:$CQ$48 + CR34:CR$48)/$B34/$AD33</f>
        <v>0.15608845044922223</v>
      </c>
      <c r="EI34" s="14" cm="1">
        <f t="array" ref="EI34">SUMPRODUCT($B34:$B$48, $Y34:$Y$48, $CQ34:$CQ$48 + CS34:CS$48)/$B34/$AD33</f>
        <v>0.15608845044922223</v>
      </c>
      <c r="EJ34" s="14" cm="1">
        <f t="array" ref="EJ34">SUMPRODUCT($B34:$B$48, $Y34:$Y$48, $CQ34:$CQ$48 + CT34:CT$48)/$B34/$AD33</f>
        <v>0.1228558180610356</v>
      </c>
      <c r="EK34" s="14" cm="1">
        <f t="array" ref="EK34">SUMPRODUCT($B34:$B$48, $Y34:$Y$48, $CV34:$CV$48 + CW34:CW$48)/$B34/$AD33</f>
        <v>5.3462537393309389E-2</v>
      </c>
      <c r="EL34" s="14" cm="1">
        <f t="array" ref="EL34">SUMPRODUCT($B34:$B$48, $Y34:$Y$48, $CY34:$CY$48 + CZ34:CZ$48)/$B34/$AD33</f>
        <v>2.7495179784469671E-2</v>
      </c>
    </row>
    <row r="35" spans="1:142" x14ac:dyDescent="0.25">
      <c r="A35">
        <v>29</v>
      </c>
      <c r="B35">
        <f>B34/(1+Settings!O$14)</f>
        <v>0.64935886635508766</v>
      </c>
      <c r="C35" s="73">
        <f>C34/(1+Settings!$O$15)</f>
        <v>0.64935886635508766</v>
      </c>
      <c r="D35" s="73">
        <f>D34/(1+Settings!$O$16)</f>
        <v>0.64935886635508766</v>
      </c>
      <c r="E35" s="73">
        <f>E34/(1+Settings!$O$17)</f>
        <v>0.64935886635508766</v>
      </c>
      <c r="F35" s="73">
        <f>F34/(1+Settings!$O$18)</f>
        <v>0.64935886635508766</v>
      </c>
      <c r="H35">
        <f>Grondslag!A31</f>
        <v>54</v>
      </c>
      <c r="I35" s="15">
        <f>IF(Settings!C$7="Unisex", overlevtafel!I61, IF(Settings!C$7="Man", overlevtafel!D61, IF(Settings!C$7="Vrouw",overlevtafel!G61) ) )/I$4</f>
        <v>0.96690649698799824</v>
      </c>
      <c r="J35" s="11">
        <f t="shared" si="58"/>
        <v>2.4496587425084648E-3</v>
      </c>
      <c r="K35" s="11">
        <f>IFERROR(J35/SUM(J35:J$100), 1)</f>
        <v>2.5270988141383567E-3</v>
      </c>
      <c r="M35" s="20">
        <v>44</v>
      </c>
      <c r="N35" s="73">
        <f>IF(Settings!D$7="Unisex", overlevtafel!Q51, IF(Settings!D$7="Man", overlevtafel!L51, IF(Settings!D$7="Vrouw",overlevtafel!O51) ) )</f>
        <v>95989.5</v>
      </c>
      <c r="O35" s="20">
        <f t="shared" si="59"/>
        <v>54</v>
      </c>
      <c r="P35" s="15">
        <f t="shared" si="40"/>
        <v>0.96690649698799824</v>
      </c>
      <c r="R35" s="73">
        <f>1*($H35&gt;=Settings!D$10)</f>
        <v>0</v>
      </c>
      <c r="S35" s="73">
        <f t="shared" si="41"/>
        <v>54</v>
      </c>
      <c r="T35" s="73">
        <f>1*($S35&gt;=Settings!D$10)</f>
        <v>0</v>
      </c>
      <c r="V35" s="18">
        <f t="shared" si="8"/>
        <v>54</v>
      </c>
      <c r="W35">
        <f>Grondslag!J31</f>
        <v>50</v>
      </c>
      <c r="X35" s="73">
        <f t="shared" si="12"/>
        <v>50</v>
      </c>
      <c r="Y35">
        <f>Grondslag!S31</f>
        <v>35</v>
      </c>
      <c r="AA35" s="54">
        <f t="shared" si="42"/>
        <v>13.047693408545676</v>
      </c>
      <c r="AB35" s="14" cm="1">
        <f t="array" ref="AB35">IFERROR(Settings!O$3/NP_OP*AVERAGE(Y$6:Y$48)/SUM(Y$6:Y$48/AA$6:AA$48), 0)</f>
        <v>0.18717547021577788</v>
      </c>
      <c r="AC35" s="54">
        <f t="shared" si="43"/>
        <v>19.291257143230577</v>
      </c>
      <c r="AD35" s="54">
        <f t="shared" si="13"/>
        <v>251.70640867028931</v>
      </c>
      <c r="AE35" s="14">
        <f t="shared" si="14"/>
        <v>0.55117877552087369</v>
      </c>
      <c r="AF35" s="52" cm="1">
        <f t="array" ref="AF35">IFERROR(AB35*SUMPRODUCT(Y35:Y$48,1/AA35:AA$48)/AVERAGE(Y$6:Y$48), 0)</f>
        <v>0.17745242224264707</v>
      </c>
      <c r="AG35" s="14" cm="1">
        <f t="array" ref="AG35">IFERROR( AB35*SUM(1/AA35:AA$48), 0)</f>
        <v>0.17745242224264704</v>
      </c>
      <c r="AI35" s="20">
        <f t="shared" si="60"/>
        <v>6.4176305112064014E-2</v>
      </c>
      <c r="AJ35" s="20">
        <f t="shared" si="44"/>
        <v>3.6068629993626713</v>
      </c>
      <c r="AK35" s="20">
        <f t="shared" si="45"/>
        <v>0.27724923296967446</v>
      </c>
      <c r="AL35" s="5">
        <f>IFERROR( Settings!O$3*AVERAGE(Y$6:Y$48)/SUMPRODUCT(Y$6:Y$48, AK$6:AK$48), 0)</f>
        <v>3.9159687171057347E-2</v>
      </c>
      <c r="AM35" s="52">
        <f>IFERROR( AL35*SUMPRODUCT(Y35:Y$48, AK35:AK$48)/AVERAGE(Y$6:Y$48), 0)</f>
        <v>0.15494579346456386</v>
      </c>
      <c r="AN35" s="14">
        <f>IFERROR(AL35*SUM(AK35:AK$48),0)</f>
        <v>0.15494579346456389</v>
      </c>
      <c r="AO35" s="5">
        <f t="shared" si="46"/>
        <v>9.2470868069878306E-3</v>
      </c>
      <c r="AQ35" s="5">
        <f>NP_OP*NPuitkering_leeftijd!F36*AJ35/Y35</f>
        <v>4.1940267434449667E-2</v>
      </c>
      <c r="AR35" s="5">
        <f>NP_OP*SUM(NPuitkering_leeftijd!F36:F$49)/AVERAGE(Y35:Y$48)</f>
        <v>0.16279069767441859</v>
      </c>
      <c r="AS35" s="50">
        <f>IFERROR( AQ35*SUM(AK35:AK$48), 0)</f>
        <v>0.16594790421486783</v>
      </c>
      <c r="AT35" s="5">
        <f t="shared" si="15"/>
        <v>9.701069377405027E-3</v>
      </c>
      <c r="AX35" s="20" cm="1">
        <f t="array" ref="AX35">IFERROR( $K35*SUMPRODUCT($P35:$P110, $C$6:$C$81, 1-$T35:$T110)/MIN($P34,1), 0)</f>
        <v>3.1189956978675222E-2</v>
      </c>
      <c r="AY35" s="5">
        <f t="shared" si="16"/>
        <v>0</v>
      </c>
      <c r="BC35" s="20" cm="1">
        <f t="array" ref="BC35">IFERROR($K35*SUMPRODUCT($P35:$P110, $C$6:$C$81, 1-$T35:$T110)/MIN($P35,1), 0)</f>
        <v>3.1268976771208712E-2</v>
      </c>
      <c r="BD35" s="5">
        <f>BC35*Settings!$I$3*$W35/$Y35</f>
        <v>2.2334983408006222E-2</v>
      </c>
      <c r="BG35" s="20">
        <f t="shared" si="47"/>
        <v>3.3069919085016622E-2</v>
      </c>
      <c r="BH35" s="5">
        <f>BG35*Settings!I$7*W35/$Y35</f>
        <v>2.3621370775011873E-2</v>
      </c>
      <c r="BI35" s="5">
        <f>BG35*Settings!I$7*$X35/$Y35</f>
        <v>2.3621370775011873E-2</v>
      </c>
      <c r="BJ35" s="5">
        <f>BG35*Settings!I$7*MAX(W35-voltijdfranchise/1000, 0)/$Y35</f>
        <v>1.6534959542508311E-2</v>
      </c>
      <c r="BM35" s="15" cm="1">
        <f t="array" ref="BM35">IFERROR( $K35*SUMPRODUCT($P35:$P110, $C$6:$C$81, 1-$T35:$T110)/MIN($P35,1), 0)</f>
        <v>3.1268976771208712E-2</v>
      </c>
      <c r="BN35" s="5">
        <f>BM35*Settings!I$3*$W35/$Y35</f>
        <v>2.2334983408006222E-2</v>
      </c>
      <c r="BQ35" s="15"/>
      <c r="BR35" s="15">
        <f t="shared" si="48"/>
        <v>0.35591119976694424</v>
      </c>
      <c r="BS35" s="15">
        <f>BM35*(Settings!I$4*$W35/$Y35  - BR35)</f>
        <v>1.120600436988062E-2</v>
      </c>
      <c r="BV35" s="20">
        <f t="shared" si="49"/>
        <v>3.3069919085016622E-2</v>
      </c>
      <c r="BW35" s="20">
        <f t="shared" si="50"/>
        <v>3.3287039761360679</v>
      </c>
      <c r="BX35" s="20">
        <f t="shared" si="51"/>
        <v>0.30041722158808237</v>
      </c>
      <c r="BY35" s="5">
        <f>IFERROR(Settings!O$5*AVERAGE(Y$6:Y$48)/SUMPRODUCT(Y$6:Y$48, BX$6:BX$48), 0)</f>
        <v>3.4197010420295985E-2</v>
      </c>
      <c r="BZ35" s="14">
        <f>IFERROR(BY35*SUMPRODUCT(Y35:Y$48, BX35:BX$48)/AVERAGE(Y35:Y$48), 0)</f>
        <v>0.13804527593976279</v>
      </c>
      <c r="CA35" s="5">
        <f t="shared" si="52"/>
        <v>4.2254065624226112E-3</v>
      </c>
      <c r="CB35" s="5"/>
      <c r="CC35" s="5"/>
      <c r="CD35" s="20">
        <f t="shared" si="53"/>
        <v>6.4338895856225306E-2</v>
      </c>
      <c r="CE35" s="20">
        <f t="shared" si="54"/>
        <v>2.3951071710443443</v>
      </c>
      <c r="CF35" s="73">
        <f t="shared" si="55"/>
        <v>0.41751785143040909</v>
      </c>
      <c r="CG35" s="5" cm="1">
        <f t="array" ref="CG35">IFERROR(Settings!O$6*AVERAGE(Y$6:Y$48)/SUMPRODUCT(Y$6:Y$48,1/CE$6:CE$48), 0)</f>
        <v>2.3794373702957207E-2</v>
      </c>
      <c r="CI35" s="18">
        <f t="shared" si="9"/>
        <v>54</v>
      </c>
      <c r="CJ35" s="90">
        <f t="shared" si="17"/>
        <v>4.1940267434449667E-2</v>
      </c>
      <c r="CK35" s="104">
        <f t="shared" si="18"/>
        <v>9.701069377405027E-3</v>
      </c>
      <c r="CL35" s="106">
        <f t="shared" si="19"/>
        <v>0</v>
      </c>
      <c r="CM35" s="89">
        <f t="shared" si="20"/>
        <v>3.9159687171057347E-2</v>
      </c>
      <c r="CN35" s="104">
        <f t="shared" si="21"/>
        <v>9.2470868069878306E-3</v>
      </c>
      <c r="CO35" s="106">
        <f t="shared" si="22"/>
        <v>0</v>
      </c>
      <c r="CP35" s="89">
        <f t="shared" si="23"/>
        <v>2.3794373702957207E-2</v>
      </c>
      <c r="CQ35" s="87">
        <f t="shared" si="24"/>
        <v>2.2334983408006222E-2</v>
      </c>
      <c r="CR35" s="95">
        <f t="shared" si="25"/>
        <v>2.3621370775011873E-2</v>
      </c>
      <c r="CS35" s="96">
        <f t="shared" si="26"/>
        <v>2.3621370775011873E-2</v>
      </c>
      <c r="CT35" s="97">
        <f t="shared" si="27"/>
        <v>1.6534959542508311E-2</v>
      </c>
      <c r="CU35" s="89">
        <f t="shared" si="28"/>
        <v>3.4197010420295985E-2</v>
      </c>
      <c r="CV35" s="87">
        <f t="shared" si="29"/>
        <v>2.2334983408006222E-2</v>
      </c>
      <c r="CW35" s="92">
        <f t="shared" si="30"/>
        <v>4.2254065624226112E-3</v>
      </c>
      <c r="CX35" s="89">
        <f t="shared" si="31"/>
        <v>3.9159687171057347E-2</v>
      </c>
      <c r="CY35" s="87">
        <f t="shared" si="32"/>
        <v>1.120600436988062E-2</v>
      </c>
      <c r="CZ35" s="115">
        <f t="shared" si="33"/>
        <v>4.2254065624226112E-3</v>
      </c>
      <c r="DA35" s="11"/>
      <c r="DB35">
        <f t="shared" si="10"/>
        <v>54</v>
      </c>
      <c r="DC35" s="11">
        <f t="shared" si="63"/>
        <v>5.1641336811854691E-2</v>
      </c>
      <c r="DD35" s="11">
        <f t="shared" si="64"/>
        <v>4.840677397804518E-2</v>
      </c>
      <c r="DE35" s="11">
        <f t="shared" si="34"/>
        <v>6.9750727885975305E-2</v>
      </c>
      <c r="DF35" s="11">
        <f t="shared" si="35"/>
        <v>6.9750727885975305E-2</v>
      </c>
      <c r="DG35" s="11">
        <f t="shared" si="36"/>
        <v>6.2664316653471747E-2</v>
      </c>
      <c r="DH35" s="11">
        <f t="shared" si="37"/>
        <v>6.0757400390724817E-2</v>
      </c>
      <c r="DI35" s="11">
        <f t="shared" si="38"/>
        <v>5.4591098103360575E-2</v>
      </c>
      <c r="DV35">
        <f t="shared" si="39"/>
        <v>54</v>
      </c>
      <c r="DW35" s="11">
        <f>SUMPRODUCT($B35:$B$48, $Y35:$Y$48, CK35:CK$48)/$B35/$Y35</f>
        <v>9.4439233430561542E-2</v>
      </c>
      <c r="DX35" s="11">
        <f>SUMPRODUCT($B35:$B$48, $Y35:$Y$48, CN35:CN$48)/$B35/$Y35</f>
        <v>9.1273423903685869E-2</v>
      </c>
      <c r="DY35" s="11" cm="1">
        <f t="array" ref="DY35">SUMPRODUCT($B35:$B$48, $Y35:$Y$48, $CQ35:$CQ$48 + CR35:CR$48)/$B35/$Y35</f>
        <v>0.99922819725756373</v>
      </c>
      <c r="DZ35" s="11" cm="1">
        <f t="array" ref="DZ35">SUMPRODUCT($B35:$B$48, $Y35:$Y$48, $CQ35:$CQ$48 + CS35:CS$48)/$B35/$Y35</f>
        <v>0.99922819725756373</v>
      </c>
      <c r="EA35" s="11" cm="1">
        <f t="array" ref="EA35">SUMPRODUCT($B35:$B$48, $Y35:$Y$48, $CQ35:$CQ$48 + CT35:CT$48)/$B35/$Y35</f>
        <v>0.78366708875859892</v>
      </c>
      <c r="EB35" s="11" cm="1">
        <f t="array" ref="EB35">SUMPRODUCT($B35:$B$48, $Y35:$Y$48, $CV35:$CV$48 + CW35:CW$48)/$B35/$Y35</f>
        <v>0.33097474555661155</v>
      </c>
      <c r="EC35" s="11" cm="1">
        <f t="array" ref="EC35">SUMPRODUCT($B35:$B$48, $Y35:$Y$48, $CY35:$CY$48 + CZ35:CZ$48)/$B35/$Y35</f>
        <v>0.16813691073417766</v>
      </c>
      <c r="EE35" s="73">
        <f>Settings!T43</f>
        <v>54</v>
      </c>
      <c r="EF35" s="14">
        <f>SUMPRODUCT($B35:$B$48, $Y35:$Y$48, CK35:CK$48)/$B35/$AD34</f>
        <v>1.371968705857509E-2</v>
      </c>
      <c r="EG35" s="14">
        <f>SUMPRODUCT($B35:$B$48, $Y35:$Y$48, CN35:CN$48)/$B35/$AD34</f>
        <v>1.3259773160314516E-2</v>
      </c>
      <c r="EH35" s="14" cm="1">
        <f t="array" ref="EH35">SUMPRODUCT($B35:$B$48, $Y35:$Y$48, $CQ35:$CQ$48 + CR35:CR$48)/$B35/$AD34</f>
        <v>0.14516316649856995</v>
      </c>
      <c r="EI35" s="14" cm="1">
        <f t="array" ref="EI35">SUMPRODUCT($B35:$B$48, $Y35:$Y$48, $CQ35:$CQ$48 + CS35:CS$48)/$B35/$AD34</f>
        <v>0.14516316649856995</v>
      </c>
      <c r="EJ35" s="14" cm="1">
        <f t="array" ref="EJ35">SUMPRODUCT($B35:$B$48, $Y35:$Y$48, $CQ35:$CQ$48 + CT35:CT$48)/$B35/$AD34</f>
        <v>0.11384746386974816</v>
      </c>
      <c r="EK35" s="14" cm="1">
        <f t="array" ref="EK35">SUMPRODUCT($B35:$B$48, $Y35:$Y$48, $CV35:$CV$48 + CW35:CW$48)/$B35/$AD34</f>
        <v>4.808245226457708E-2</v>
      </c>
      <c r="EL35" s="14" cm="1">
        <f t="array" ref="EL35">SUMPRODUCT($B35:$B$48, $Y35:$Y$48, $CY35:$CY$48 + CZ35:CZ$48)/$B35/$AD34</f>
        <v>2.4426138528163787E-2</v>
      </c>
    </row>
    <row r="36" spans="1:142" x14ac:dyDescent="0.25">
      <c r="A36">
        <v>30</v>
      </c>
      <c r="B36">
        <f>B35/(1+Settings!O$14)</f>
        <v>0.63976242990649035</v>
      </c>
      <c r="C36" s="73">
        <f>C35/(1+Settings!$O$15)</f>
        <v>0.63976242990649035</v>
      </c>
      <c r="D36" s="73">
        <f>D35/(1+Settings!$O$16)</f>
        <v>0.63976242990649035</v>
      </c>
      <c r="E36" s="73">
        <f>E35/(1+Settings!$O$17)</f>
        <v>0.63976242990649035</v>
      </c>
      <c r="F36" s="73">
        <f>F35/(1+Settings!$O$18)</f>
        <v>0.63976242990649035</v>
      </c>
      <c r="H36">
        <f>Grondslag!A32</f>
        <v>55</v>
      </c>
      <c r="I36" s="15">
        <f>IF(Settings!C$7="Unisex", overlevtafel!I62, IF(Settings!C$7="Man", overlevtafel!D62, IF(Settings!C$7="Vrouw",overlevtafel!G62) ) )/I$4</f>
        <v>0.96421546725828233</v>
      </c>
      <c r="J36" s="11">
        <f t="shared" si="58"/>
        <v>2.6910297297159103E-3</v>
      </c>
      <c r="K36" s="11">
        <f>IFERROR(J36/SUM(J36:J$100), 1)</f>
        <v>2.7831334179579175E-3</v>
      </c>
      <c r="M36" s="20">
        <v>45</v>
      </c>
      <c r="N36" s="73">
        <f>IF(Settings!D$7="Unisex", overlevtafel!Q52, IF(Settings!D$7="Man", overlevtafel!L52, IF(Settings!D$7="Vrouw",overlevtafel!O52) ) )</f>
        <v>95853</v>
      </c>
      <c r="O36" s="20">
        <f t="shared" si="59"/>
        <v>55</v>
      </c>
      <c r="P36" s="15">
        <f t="shared" si="40"/>
        <v>0.96421546725828233</v>
      </c>
      <c r="R36" s="73">
        <f>1*($H36&gt;=Settings!D$10)</f>
        <v>0</v>
      </c>
      <c r="S36" s="73">
        <f t="shared" si="41"/>
        <v>55</v>
      </c>
      <c r="T36" s="73">
        <f>1*($S36&gt;=Settings!D$10)</f>
        <v>0</v>
      </c>
      <c r="V36" s="18">
        <f t="shared" si="8"/>
        <v>55</v>
      </c>
      <c r="W36">
        <f>Grondslag!J32</f>
        <v>50</v>
      </c>
      <c r="X36" s="73">
        <f t="shared" si="12"/>
        <v>50</v>
      </c>
      <c r="Y36">
        <f>Grondslag!S32</f>
        <v>35</v>
      </c>
      <c r="AA36" s="54">
        <f t="shared" si="42"/>
        <v>13.280369850063471</v>
      </c>
      <c r="AB36" s="14" cm="1">
        <f t="array" ref="AB36">IFERROR(Settings!O$3/NP_OP*AVERAGE(Y$6:Y$48)/SUM(Y$6:Y$48/AA$6:AA$48), 0)</f>
        <v>0.18717547021577788</v>
      </c>
      <c r="AC36" s="54">
        <f t="shared" si="43"/>
        <v>19.784552249580415</v>
      </c>
      <c r="AD36" s="54">
        <f t="shared" si="13"/>
        <v>262.74617119233318</v>
      </c>
      <c r="AE36" s="14">
        <f t="shared" si="14"/>
        <v>0.56527292141658325</v>
      </c>
      <c r="AF36" s="52" cm="1">
        <f t="array" ref="AF36">IFERROR(AB36*SUMPRODUCT(Y36:Y$48,1/AA36:AA$48)/AVERAGE(Y$6:Y$48), 0)</f>
        <v>0.1631069387648405</v>
      </c>
      <c r="AG36" s="14" cm="1">
        <f t="array" ref="AG36">IFERROR( AB36*SUM(1/AA36:AA$48), 0)</f>
        <v>0.16310693876484048</v>
      </c>
      <c r="AI36" s="20">
        <f t="shared" si="60"/>
        <v>6.9095412559472144E-2</v>
      </c>
      <c r="AJ36" s="20">
        <f t="shared" si="44"/>
        <v>3.6159261959711975</v>
      </c>
      <c r="AK36" s="20">
        <f t="shared" si="45"/>
        <v>0.27655431715231987</v>
      </c>
      <c r="AL36" s="5">
        <f>IFERROR( Settings!O$3*AVERAGE(Y$6:Y$48)/SUMPRODUCT(Y$6:Y$48, AK$6:AK$48), 0)</f>
        <v>3.9159687171057347E-2</v>
      </c>
      <c r="AM36" s="52">
        <f>IFERROR( AL36*SUMPRODUCT(Y36:Y$48, AK36:AK$48)/AVERAGE(Y$6:Y$48), 0)</f>
        <v>0.14408880023305581</v>
      </c>
      <c r="AN36" s="14">
        <f>IFERROR(AL36*SUM(AK36:AK$48),0)</f>
        <v>0.14408880023305581</v>
      </c>
      <c r="AO36" s="5">
        <f t="shared" si="46"/>
        <v>9.2075869425831628E-3</v>
      </c>
      <c r="AQ36" s="5">
        <f>NP_OP*NPuitkering_leeftijd!F37*AJ36/Y36</f>
        <v>4.2045653441525555E-2</v>
      </c>
      <c r="AR36" s="5">
        <f>NP_OP*SUM(NPuitkering_leeftijd!F37:F$49)/AVERAGE(Y36:Y$48)</f>
        <v>0.15116279069767444</v>
      </c>
      <c r="AS36" s="50">
        <f>IFERROR( AQ36*SUM(AK36:AK$48), 0)</f>
        <v>0.15470776701918917</v>
      </c>
      <c r="AT36" s="5">
        <f t="shared" si="15"/>
        <v>9.6412203571356499E-3</v>
      </c>
      <c r="AX36" s="20" cm="1">
        <f t="array" ref="AX36">IFERROR( $K36*SUMPRODUCT($P36:$P111, $C$6:$C$81, 1-$T36:$T111)/MIN($P35,1), 0)</f>
        <v>3.2128687567934244E-2</v>
      </c>
      <c r="AY36" s="5">
        <f t="shared" si="16"/>
        <v>0</v>
      </c>
      <c r="BC36" s="20" cm="1">
        <f t="array" ref="BC36">IFERROR($K36*SUMPRODUCT($P36:$P111, $C$6:$C$81, 1-$T36:$T111)/MIN($P36,1), 0)</f>
        <v>3.221835554812949E-2</v>
      </c>
      <c r="BD36" s="5">
        <f>BC36*Settings!$I$3*$W36/$Y36</f>
        <v>2.3013111105806779E-2</v>
      </c>
      <c r="BG36" s="20">
        <f t="shared" si="47"/>
        <v>3.7069895454303142E-2</v>
      </c>
      <c r="BH36" s="5">
        <f>BG36*Settings!I$7*W36/$Y36</f>
        <v>2.6478496753073674E-2</v>
      </c>
      <c r="BI36" s="5">
        <f>BG36*Settings!I$7*$X36/$Y36</f>
        <v>2.6478496753073674E-2</v>
      </c>
      <c r="BJ36" s="5">
        <f>BG36*Settings!I$7*MAX(W36-voltijdfranchise/1000, 0)/$Y36</f>
        <v>1.8534947727151571E-2</v>
      </c>
      <c r="BM36" s="15" cm="1">
        <f t="array" ref="BM36">IFERROR( $K36*SUMPRODUCT($P36:$P111, $C$6:$C$81, 1-$T36:$T111)/MIN($P36,1), 0)</f>
        <v>3.221835554812949E-2</v>
      </c>
      <c r="BN36" s="5">
        <f>BM36*Settings!I$3*$W36/$Y36</f>
        <v>2.3013111105806779E-2</v>
      </c>
      <c r="BQ36" s="15"/>
      <c r="BR36" s="15">
        <f t="shared" si="48"/>
        <v>0.36674098031243446</v>
      </c>
      <c r="BS36" s="15">
        <f>BM36*(Settings!I$4*$W36/$Y36  - BR36)</f>
        <v>1.1197319808031209E-2</v>
      </c>
      <c r="BV36" s="20">
        <f t="shared" si="49"/>
        <v>3.7069895454303142E-2</v>
      </c>
      <c r="BW36" s="20">
        <f t="shared" si="50"/>
        <v>3.3637661322310413</v>
      </c>
      <c r="BX36" s="20">
        <f t="shared" si="51"/>
        <v>0.29728582805390902</v>
      </c>
      <c r="BY36" s="5">
        <f>IFERROR(Settings!O$5*AVERAGE(Y$6:Y$48)/SUMPRODUCT(Y$6:Y$48, BX$6:BX$48), 0)</f>
        <v>3.4197010420295985E-2</v>
      </c>
      <c r="BZ36" s="14">
        <f>IFERROR(BY36*SUMPRODUCT(Y36:Y$48, BX36:BX$48)/AVERAGE(Y36:Y$48), 0)</f>
        <v>0.12777190508267877</v>
      </c>
      <c r="CA36" s="5">
        <f t="shared" si="52"/>
        <v>4.3596279834830385E-3</v>
      </c>
      <c r="CB36" s="5"/>
      <c r="CC36" s="5"/>
      <c r="CD36" s="20">
        <f t="shared" si="53"/>
        <v>6.9288251002432646E-2</v>
      </c>
      <c r="CE36" s="20">
        <f t="shared" si="54"/>
        <v>2.4446222625310932</v>
      </c>
      <c r="CF36" s="73">
        <f t="shared" si="55"/>
        <v>0.40906115244349778</v>
      </c>
      <c r="CG36" s="5" cm="1">
        <f t="array" ref="CG36">IFERROR(Settings!O$6*AVERAGE(Y$6:Y$48)/SUMPRODUCT(Y$6:Y$48,1/CE$6:CE$48), 0)</f>
        <v>2.3794373702957207E-2</v>
      </c>
      <c r="CI36" s="18">
        <f t="shared" si="9"/>
        <v>55</v>
      </c>
      <c r="CJ36" s="90">
        <f t="shared" si="17"/>
        <v>4.2045653441525555E-2</v>
      </c>
      <c r="CK36" s="104">
        <f t="shared" si="18"/>
        <v>9.6412203571356499E-3</v>
      </c>
      <c r="CL36" s="106">
        <f t="shared" si="19"/>
        <v>0</v>
      </c>
      <c r="CM36" s="89">
        <f t="shared" si="20"/>
        <v>3.9159687171057347E-2</v>
      </c>
      <c r="CN36" s="104">
        <f t="shared" si="21"/>
        <v>9.2075869425831628E-3</v>
      </c>
      <c r="CO36" s="106">
        <f t="shared" si="22"/>
        <v>0</v>
      </c>
      <c r="CP36" s="89">
        <f t="shared" si="23"/>
        <v>2.3794373702957207E-2</v>
      </c>
      <c r="CQ36" s="87">
        <f t="shared" si="24"/>
        <v>2.3013111105806779E-2</v>
      </c>
      <c r="CR36" s="95">
        <f t="shared" si="25"/>
        <v>2.6478496753073674E-2</v>
      </c>
      <c r="CS36" s="96">
        <f t="shared" si="26"/>
        <v>2.6478496753073674E-2</v>
      </c>
      <c r="CT36" s="97">
        <f t="shared" si="27"/>
        <v>1.8534947727151571E-2</v>
      </c>
      <c r="CU36" s="89">
        <f t="shared" si="28"/>
        <v>3.4197010420295985E-2</v>
      </c>
      <c r="CV36" s="87">
        <f t="shared" si="29"/>
        <v>2.3013111105806779E-2</v>
      </c>
      <c r="CW36" s="92">
        <f t="shared" si="30"/>
        <v>4.3596279834830385E-3</v>
      </c>
      <c r="CX36" s="89">
        <f t="shared" si="31"/>
        <v>3.9159687171057347E-2</v>
      </c>
      <c r="CY36" s="87">
        <f t="shared" si="32"/>
        <v>1.1197319808031209E-2</v>
      </c>
      <c r="CZ36" s="115">
        <f t="shared" si="33"/>
        <v>4.3596279834830385E-3</v>
      </c>
      <c r="DA36" s="11"/>
      <c r="DB36">
        <f t="shared" si="10"/>
        <v>55</v>
      </c>
      <c r="DC36" s="11">
        <f t="shared" si="63"/>
        <v>5.1686873798661201E-2</v>
      </c>
      <c r="DD36" s="11">
        <f t="shared" si="64"/>
        <v>4.8367274113640508E-2</v>
      </c>
      <c r="DE36" s="11">
        <f t="shared" si="34"/>
        <v>7.328598156183766E-2</v>
      </c>
      <c r="DF36" s="11">
        <f t="shared" si="35"/>
        <v>7.328598156183766E-2</v>
      </c>
      <c r="DG36" s="11">
        <f t="shared" si="36"/>
        <v>6.5342432535915554E-2</v>
      </c>
      <c r="DH36" s="11">
        <f t="shared" si="37"/>
        <v>6.1569749509585797E-2</v>
      </c>
      <c r="DI36" s="11">
        <f t="shared" si="38"/>
        <v>5.4716634962571592E-2</v>
      </c>
      <c r="DV36">
        <f t="shared" si="39"/>
        <v>55</v>
      </c>
      <c r="DW36" s="11">
        <f>SUMPRODUCT($B36:$B$48, $Y36:$Y$48, CK36:CK$48)/$B36/$Y36</f>
        <v>8.6009236513953868E-2</v>
      </c>
      <c r="DX36" s="11">
        <f>SUMPRODUCT($B36:$B$48, $Y36:$Y$48, CN36:CN$48)/$B36/$Y36</f>
        <v>8.3256732153148508E-2</v>
      </c>
      <c r="DY36" s="11" cm="1">
        <f t="array" ref="DY36">SUMPRODUCT($B36:$B$48, $Y36:$Y$48, $CQ36:$CQ$48 + CR36:CR$48)/$B36/$Y36</f>
        <v>0.96757092072066375</v>
      </c>
      <c r="DZ36" s="11" cm="1">
        <f t="array" ref="DZ36">SUMPRODUCT($B36:$B$48, $Y36:$Y$48, $CQ36:$CQ$48 + CS36:CS$48)/$B36/$Y36</f>
        <v>0.96757092072066375</v>
      </c>
      <c r="EA36" s="11" cm="1">
        <f t="array" ref="EA36">SUMPRODUCT($B36:$B$48, $Y36:$Y$48, $CQ36:$CQ$48 + CT36:CT$48)/$B36/$Y36</f>
        <v>0.75596910299520559</v>
      </c>
      <c r="EB36" s="11" cm="1">
        <f t="array" ref="EB36">SUMPRODUCT($B36:$B$48, $Y36:$Y$48, $CV36:$CV$48 + CW36:CW$48)/$B36/$Y36</f>
        <v>0.30898057091997549</v>
      </c>
      <c r="EC36" s="11" cm="1">
        <f t="array" ref="EC36">SUMPRODUCT($B36:$B$48, $Y36:$Y$48, $CY36:$CY$48 + CZ36:CZ$48)/$B36/$Y36</f>
        <v>0.15499608229890255</v>
      </c>
      <c r="EE36" s="73">
        <f>Settings!T44</f>
        <v>55</v>
      </c>
      <c r="EF36" s="14">
        <f>SUMPRODUCT($B36:$B$48, $Y36:$Y$48, CK36:CK$48)/$B36/$AD35</f>
        <v>1.1959660836175265E-2</v>
      </c>
      <c r="EG36" s="14">
        <f>SUMPRODUCT($B36:$B$48, $Y36:$Y$48, CN36:CN$48)/$B36/$AD35</f>
        <v>1.1576922656654455E-2</v>
      </c>
      <c r="EH36" s="14" cm="1">
        <f t="array" ref="EH36">SUMPRODUCT($B36:$B$48, $Y36:$Y$48, $CQ36:$CQ$48 + CR36:CR$48)/$B36/$AD35</f>
        <v>0.13454159710960334</v>
      </c>
      <c r="EI36" s="14" cm="1">
        <f t="array" ref="EI36">SUMPRODUCT($B36:$B$48, $Y36:$Y$48, $CQ36:$CQ$48 + CS36:CS$48)/$B36/$AD35</f>
        <v>0.13454159710960334</v>
      </c>
      <c r="EJ36" s="14" cm="1">
        <f t="array" ref="EJ36">SUMPRODUCT($B36:$B$48, $Y36:$Y$48, $CQ36:$CQ$48 + CT36:CT$48)/$B36/$AD35</f>
        <v>0.10511817615057542</v>
      </c>
      <c r="EK36" s="14" cm="1">
        <f t="array" ref="EK36">SUMPRODUCT($B36:$B$48, $Y36:$Y$48, $CV36:$CV$48 + CW36:CW$48)/$B36/$AD35</f>
        <v>4.2964023201987042E-2</v>
      </c>
      <c r="EL36" s="14" cm="1">
        <f t="array" ref="EL36">SUMPRODUCT($B36:$B$48, $Y36:$Y$48, $CY36:$CY$48 + CZ36:CZ$48)/$B36/$AD35</f>
        <v>2.155234310131383E-2</v>
      </c>
    </row>
    <row r="37" spans="1:142" x14ac:dyDescent="0.25">
      <c r="A37">
        <v>31</v>
      </c>
      <c r="B37">
        <f>B36/(1+Settings!O$14)</f>
        <v>0.63030781271575409</v>
      </c>
      <c r="C37" s="73">
        <f>C36/(1+Settings!$O$15)</f>
        <v>0.63030781271575409</v>
      </c>
      <c r="D37" s="73">
        <f>D36/(1+Settings!$O$16)</f>
        <v>0.63030781271575409</v>
      </c>
      <c r="E37" s="73">
        <f>E36/(1+Settings!$O$17)</f>
        <v>0.63030781271575409</v>
      </c>
      <c r="F37" s="73">
        <f>F36/(1+Settings!$O$18)</f>
        <v>0.63030781271575409</v>
      </c>
      <c r="H37">
        <f>Grondslag!A33</f>
        <v>56</v>
      </c>
      <c r="I37" s="15">
        <f>IF(Settings!C$7="Unisex", overlevtafel!I63, IF(Settings!C$7="Man", overlevtafel!D63, IF(Settings!C$7="Vrouw",overlevtafel!G63) ) )/I$4</f>
        <v>0.96067991818102216</v>
      </c>
      <c r="J37" s="11">
        <f t="shared" si="58"/>
        <v>3.5355490772601694E-3</v>
      </c>
      <c r="K37" s="11">
        <f>IFERROR(J37/SUM(J37:J$100), 1)</f>
        <v>3.6667625324237119E-3</v>
      </c>
      <c r="M37" s="20">
        <v>46</v>
      </c>
      <c r="N37" s="73">
        <f>IF(Settings!D$7="Unisex", overlevtafel!Q53, IF(Settings!D$7="Man", overlevtafel!L53, IF(Settings!D$7="Vrouw",overlevtafel!O53) ) )</f>
        <v>95717</v>
      </c>
      <c r="O37" s="20">
        <f t="shared" si="59"/>
        <v>56</v>
      </c>
      <c r="P37" s="15">
        <f t="shared" si="40"/>
        <v>0.96071666816488832</v>
      </c>
      <c r="R37" s="73">
        <f>1*($H37&gt;=Settings!D$10)</f>
        <v>0</v>
      </c>
      <c r="S37" s="73">
        <f t="shared" si="41"/>
        <v>56</v>
      </c>
      <c r="T37" s="73">
        <f>1*($S37&gt;=Settings!D$10)</f>
        <v>0</v>
      </c>
      <c r="V37" s="18">
        <f t="shared" si="8"/>
        <v>56</v>
      </c>
      <c r="W37">
        <f>Grondslag!J33</f>
        <v>50</v>
      </c>
      <c r="X37" s="73">
        <f t="shared" si="12"/>
        <v>50</v>
      </c>
      <c r="Y37">
        <f>Grondslag!S33</f>
        <v>35</v>
      </c>
      <c r="AA37" s="54">
        <f t="shared" si="42"/>
        <v>13.529183700702475</v>
      </c>
      <c r="AB37" s="14" cm="1">
        <f t="array" ref="AB37">IFERROR(Settings!O$3/NP_OP*AVERAGE(Y$6:Y$48)/SUM(Y$6:Y$48/AA$6:AA$48), 0)</f>
        <v>0.18717547021577788</v>
      </c>
      <c r="AC37" s="54">
        <f t="shared" si="43"/>
        <v>20.268775215465052</v>
      </c>
      <c r="AD37" s="54">
        <f t="shared" si="13"/>
        <v>274.21998327827208</v>
      </c>
      <c r="AE37" s="14">
        <f t="shared" si="14"/>
        <v>0.57910786329900144</v>
      </c>
      <c r="AF37" s="52" cm="1">
        <f t="array" ref="AF37">IFERROR(AB37*SUMPRODUCT(Y37:Y$48,1/AA37:AA$48)/AVERAGE(Y$6:Y$48), 0)</f>
        <v>0.14901279286913088</v>
      </c>
      <c r="AG37" s="14" cm="1">
        <f t="array" ref="AG37">IFERROR( AB37*SUM(1/AA37:AA$48), 0)</f>
        <v>0.14901279286913086</v>
      </c>
      <c r="AI37" s="20">
        <f t="shared" si="60"/>
        <v>8.8934417903470286E-2</v>
      </c>
      <c r="AJ37" s="20">
        <f t="shared" si="44"/>
        <v>3.6264413743981523</v>
      </c>
      <c r="AK37" s="20">
        <f t="shared" si="45"/>
        <v>0.27575242414223805</v>
      </c>
      <c r="AL37" s="5">
        <f>IFERROR( Settings!O$3*AVERAGE(Y$6:Y$48)/SUMPRODUCT(Y$6:Y$48, AK$6:AK$48), 0)</f>
        <v>3.9159687171057347E-2</v>
      </c>
      <c r="AM37" s="52">
        <f>IFERROR( AL37*SUMPRODUCT(Y37:Y$48, AK37:AK$48)/AVERAGE(Y$6:Y$48), 0)</f>
        <v>0.13325901968756559</v>
      </c>
      <c r="AN37" s="14">
        <f>IFERROR(AL37*SUM(AK37:AK$48),0)</f>
        <v>0.13325901968756557</v>
      </c>
      <c r="AO37" s="5">
        <f t="shared" si="46"/>
        <v>1.0890965825332477E-2</v>
      </c>
      <c r="AQ37" s="5">
        <f>NP_OP*NPuitkering_leeftijd!F38*AJ37/Y37</f>
        <v>4.2167922958118047E-2</v>
      </c>
      <c r="AR37" s="5">
        <f>NP_OP*SUM(NPuitkering_leeftijd!F38:F$49)/AVERAGE(Y37:Y$48)</f>
        <v>0.13953488372093026</v>
      </c>
      <c r="AS37" s="50">
        <f>IFERROR( AQ37*SUM(AK37:AK$48), 0)</f>
        <v>0.14349593884939801</v>
      </c>
      <c r="AT37" s="5">
        <f t="shared" si="15"/>
        <v>1.1375332522536898E-2</v>
      </c>
      <c r="AX37" s="20" cm="1">
        <f t="array" ref="AX37">IFERROR( $K37*SUMPRODUCT($P37:$P112, $C$6:$C$81, 1-$T37:$T112)/MIN($P36,1), 0)</f>
        <v>3.9362449704430987E-2</v>
      </c>
      <c r="AY37" s="5">
        <f t="shared" si="16"/>
        <v>0</v>
      </c>
      <c r="BC37" s="20" cm="1">
        <f t="array" ref="BC37">IFERROR($K37*SUMPRODUCT($P37:$P112, $C$6:$C$81, 1-$T37:$T112)/MIN($P37,1), 0)</f>
        <v>3.9505802378432882E-2</v>
      </c>
      <c r="BD37" s="5">
        <f>BC37*Settings!$I$3*$W37/$Y37</f>
        <v>2.8218430270309201E-2</v>
      </c>
      <c r="BG37" s="20">
        <f t="shared" si="47"/>
        <v>4.975250254713575E-2</v>
      </c>
      <c r="BH37" s="5">
        <f>BG37*Settings!I$7*W37/$Y37</f>
        <v>3.5537501819382679E-2</v>
      </c>
      <c r="BI37" s="5">
        <f>BG37*Settings!I$7*$X37/$Y37</f>
        <v>3.5537501819382679E-2</v>
      </c>
      <c r="BJ37" s="5">
        <f>BG37*Settings!I$7*MAX(W37-voltijdfranchise/1000, 0)/$Y37</f>
        <v>2.4876251273567875E-2</v>
      </c>
      <c r="BM37" s="15" cm="1">
        <f t="array" ref="BM37">IFERROR( $K37*SUMPRODUCT($P37:$P112, $C$6:$C$81, 1-$T37:$T112)/MIN($P37,1), 0)</f>
        <v>3.9505802378432882E-2</v>
      </c>
      <c r="BN37" s="5">
        <f>BM37*Settings!I$3*$W37/$Y37</f>
        <v>2.8218430270309201E-2</v>
      </c>
      <c r="BQ37" s="15"/>
      <c r="BR37" s="15">
        <f t="shared" si="48"/>
        <v>0.37753935897850521</v>
      </c>
      <c r="BS37" s="15">
        <f>BM37*(Settings!I$4*$W37/$Y37  - BR37)</f>
        <v>1.3303434964424146E-2</v>
      </c>
      <c r="BV37" s="20">
        <f t="shared" si="49"/>
        <v>4.975250254713575E-2</v>
      </c>
      <c r="BW37" s="20">
        <f t="shared" si="50"/>
        <v>3.4013657853440797</v>
      </c>
      <c r="BX37" s="20">
        <f t="shared" si="51"/>
        <v>0.29399954697869718</v>
      </c>
      <c r="BY37" s="5">
        <f>IFERROR(Settings!O$5*AVERAGE(Y$6:Y$48)/SUMPRODUCT(Y$6:Y$48, BX$6:BX$48), 0)</f>
        <v>3.4197010420295985E-2</v>
      </c>
      <c r="BZ37" s="14">
        <f>IFERROR(BY37*SUMPRODUCT(Y37:Y$48, BX37:BX$48)/AVERAGE(Y37:Y$48), 0)</f>
        <v>0.11760561852291292</v>
      </c>
      <c r="CA37" s="5">
        <f t="shared" si="52"/>
        <v>5.3509668725593663E-3</v>
      </c>
      <c r="CB37" s="5"/>
      <c r="CC37" s="5"/>
      <c r="CD37" s="20">
        <f t="shared" si="53"/>
        <v>8.9258304925568646E-2</v>
      </c>
      <c r="CE37" s="20">
        <f t="shared" si="54"/>
        <v>2.4994931698122871</v>
      </c>
      <c r="CF37" s="73">
        <f t="shared" si="55"/>
        <v>0.40008110927348539</v>
      </c>
      <c r="CG37" s="5" cm="1">
        <f t="array" ref="CG37">IFERROR(Settings!O$6*AVERAGE(Y$6:Y$48)/SUMPRODUCT(Y$6:Y$48,1/CE$6:CE$48), 0)</f>
        <v>2.3794373702957207E-2</v>
      </c>
      <c r="CI37" s="18">
        <f t="shared" si="9"/>
        <v>56</v>
      </c>
      <c r="CJ37" s="90">
        <f t="shared" si="17"/>
        <v>4.2167922958118047E-2</v>
      </c>
      <c r="CK37" s="104">
        <f t="shared" si="18"/>
        <v>1.1375332522536898E-2</v>
      </c>
      <c r="CL37" s="106">
        <f t="shared" si="19"/>
        <v>0</v>
      </c>
      <c r="CM37" s="89">
        <f t="shared" si="20"/>
        <v>3.9159687171057347E-2</v>
      </c>
      <c r="CN37" s="104">
        <f t="shared" si="21"/>
        <v>1.0890965825332477E-2</v>
      </c>
      <c r="CO37" s="106">
        <f t="shared" si="22"/>
        <v>0</v>
      </c>
      <c r="CP37" s="89">
        <f t="shared" si="23"/>
        <v>2.3794373702957207E-2</v>
      </c>
      <c r="CQ37" s="87">
        <f t="shared" si="24"/>
        <v>2.8218430270309201E-2</v>
      </c>
      <c r="CR37" s="95">
        <f t="shared" si="25"/>
        <v>3.5537501819382679E-2</v>
      </c>
      <c r="CS37" s="96">
        <f t="shared" si="26"/>
        <v>3.5537501819382679E-2</v>
      </c>
      <c r="CT37" s="97">
        <f t="shared" si="27"/>
        <v>2.4876251273567875E-2</v>
      </c>
      <c r="CU37" s="89">
        <f t="shared" si="28"/>
        <v>3.4197010420295985E-2</v>
      </c>
      <c r="CV37" s="87">
        <f t="shared" si="29"/>
        <v>2.8218430270309201E-2</v>
      </c>
      <c r="CW37" s="92">
        <f t="shared" si="30"/>
        <v>5.3509668725593663E-3</v>
      </c>
      <c r="CX37" s="89">
        <f t="shared" si="31"/>
        <v>3.9159687171057347E-2</v>
      </c>
      <c r="CY37" s="87">
        <f t="shared" si="32"/>
        <v>1.3303434964424146E-2</v>
      </c>
      <c r="CZ37" s="115">
        <f t="shared" si="33"/>
        <v>5.3509668725593663E-3</v>
      </c>
      <c r="DA37" s="11"/>
      <c r="DB37">
        <f t="shared" si="10"/>
        <v>56</v>
      </c>
      <c r="DC37" s="11">
        <f t="shared" si="63"/>
        <v>5.3543255480654944E-2</v>
      </c>
      <c r="DD37" s="11">
        <f t="shared" si="64"/>
        <v>5.0050652996389826E-2</v>
      </c>
      <c r="DE37" s="11">
        <f t="shared" si="34"/>
        <v>8.755030579264908E-2</v>
      </c>
      <c r="DF37" s="11">
        <f t="shared" si="35"/>
        <v>8.755030579264908E-2</v>
      </c>
      <c r="DG37" s="11">
        <f t="shared" si="36"/>
        <v>7.6889055246834287E-2</v>
      </c>
      <c r="DH37" s="11">
        <f t="shared" si="37"/>
        <v>6.7766407563164557E-2</v>
      </c>
      <c r="DI37" s="11">
        <f t="shared" si="38"/>
        <v>5.7814089008040859E-2</v>
      </c>
      <c r="DV37">
        <f t="shared" si="39"/>
        <v>56</v>
      </c>
      <c r="DW37" s="11">
        <f>SUMPRODUCT($B37:$B$48, $Y37:$Y$48, CK37:CK$48)/$B37/$Y37</f>
        <v>7.751353639917051E-2</v>
      </c>
      <c r="DX37" s="11">
        <f>SUMPRODUCT($B37:$B$48, $Y37:$Y$48, CN37:CN$48)/$B37/$Y37</f>
        <v>7.5159882388723814E-2</v>
      </c>
      <c r="DY37" s="11" cm="1">
        <f t="array" ref="DY37">SUMPRODUCT($B37:$B$48, $Y37:$Y$48, $CQ37:$CQ$48 + CR37:CR$48)/$B37/$Y37</f>
        <v>0.93185050255470991</v>
      </c>
      <c r="DZ37" s="11" cm="1">
        <f t="array" ref="DZ37">SUMPRODUCT($B37:$B$48, $Y37:$Y$48, $CQ37:$CQ$48 + CS37:CS$48)/$B37/$Y37</f>
        <v>0.93185050255470991</v>
      </c>
      <c r="EA37" s="11" cm="1">
        <f t="array" ref="EA37">SUMPRODUCT($B37:$B$48, $Y37:$Y$48, $CQ37:$CQ$48 + CT37:CT$48)/$B37/$Y37</f>
        <v>0.72513735982468064</v>
      </c>
      <c r="EB37" s="11" cm="1">
        <f t="array" ref="EB37">SUMPRODUCT($B37:$B$48, $Y37:$Y$48, $CV37:$CV$48 + CW37:CW$48)/$B37/$Y37</f>
        <v>0.28583194930814587</v>
      </c>
      <c r="EC37" s="11" cm="1">
        <f t="array" ref="EC37">SUMPRODUCT($B37:$B$48, $Y37:$Y$48, $CY37:$CY$48 + CZ37:CZ$48)/$B37/$Y37</f>
        <v>0.1415307215249991</v>
      </c>
      <c r="EE37" s="73">
        <f>Settings!T45</f>
        <v>56</v>
      </c>
      <c r="EF37" s="14">
        <f>SUMPRODUCT($B37:$B$48, $Y37:$Y$48, CK37:CK$48)/$B37/$AD36</f>
        <v>1.0325455026269593E-2</v>
      </c>
      <c r="EG37" s="14">
        <f>SUMPRODUCT($B37:$B$48, $Y37:$Y$48, CN37:CN$48)/$B37/$AD36</f>
        <v>1.0011928515143641E-2</v>
      </c>
      <c r="EH37" s="14" cm="1">
        <f t="array" ref="EH37">SUMPRODUCT($B37:$B$48, $Y37:$Y$48, $CQ37:$CQ$48 + CR37:CR$48)/$B37/$AD36</f>
        <v>0.12413032487366092</v>
      </c>
      <c r="EI37" s="14" cm="1">
        <f t="array" ref="EI37">SUMPRODUCT($B37:$B$48, $Y37:$Y$48, $CQ37:$CQ$48 + CS37:CS$48)/$B37/$AD36</f>
        <v>0.12413032487366092</v>
      </c>
      <c r="EJ37" s="14" cm="1">
        <f t="array" ref="EJ37">SUMPRODUCT($B37:$B$48, $Y37:$Y$48, $CQ37:$CQ$48 + CT37:CT$48)/$B37/$AD36</f>
        <v>9.6594395566988178E-2</v>
      </c>
      <c r="EK37" s="14" cm="1">
        <f t="array" ref="EK37">SUMPRODUCT($B37:$B$48, $Y37:$Y$48, $CV37:$CV$48 + CW37:CW$48)/$B37/$AD36</f>
        <v>3.8075219822944546E-2</v>
      </c>
      <c r="EL37" s="14" cm="1">
        <f t="array" ref="EL37">SUMPRODUCT($B37:$B$48, $Y37:$Y$48, $CY37:$CY$48 + CZ37:CZ$48)/$B37/$AD36</f>
        <v>1.8853082543109238E-2</v>
      </c>
    </row>
    <row r="38" spans="1:142" x14ac:dyDescent="0.25">
      <c r="A38">
        <v>32</v>
      </c>
      <c r="B38">
        <f>B37/(1+Settings!O$14)</f>
        <v>0.62099291893177744</v>
      </c>
      <c r="C38" s="73">
        <f>C37/(1+Settings!$O$15)</f>
        <v>0.62099291893177744</v>
      </c>
      <c r="D38" s="73">
        <f>D37/(1+Settings!$O$16)</f>
        <v>0.62099291893177744</v>
      </c>
      <c r="E38" s="73">
        <f>E37/(1+Settings!$O$17)</f>
        <v>0.62099291893177744</v>
      </c>
      <c r="F38" s="73">
        <f>F37/(1+Settings!$O$18)</f>
        <v>0.62099291893177744</v>
      </c>
      <c r="H38">
        <f>Grondslag!A34</f>
        <v>57</v>
      </c>
      <c r="I38" s="15">
        <f>IF(Settings!C$7="Unisex", overlevtafel!I64, IF(Settings!C$7="Man", overlevtafel!D64, IF(Settings!C$7="Vrouw",overlevtafel!G64) ) )/I$4</f>
        <v>0.95688781742220463</v>
      </c>
      <c r="J38" s="11">
        <f t="shared" si="58"/>
        <v>3.7921007588175293E-3</v>
      </c>
      <c r="K38" s="11">
        <f>IFERROR(J38/SUM(J38:J$100), 1)</f>
        <v>3.9473093626398795E-3</v>
      </c>
      <c r="M38" s="20">
        <v>47</v>
      </c>
      <c r="N38" s="73">
        <f>IF(Settings!D$7="Unisex", overlevtafel!Q54, IF(Settings!D$7="Man", overlevtafel!L54, IF(Settings!D$7="Vrouw",overlevtafel!O54) ) )</f>
        <v>95570.5</v>
      </c>
      <c r="O38" s="20">
        <f t="shared" si="59"/>
        <v>57</v>
      </c>
      <c r="P38" s="15">
        <f t="shared" si="40"/>
        <v>0.95696410428440515</v>
      </c>
      <c r="R38" s="73">
        <f>1*($H38&gt;=Settings!D$10)</f>
        <v>0</v>
      </c>
      <c r="S38" s="73">
        <f t="shared" si="41"/>
        <v>57</v>
      </c>
      <c r="T38" s="73">
        <f>1*($S38&gt;=Settings!D$10)</f>
        <v>0</v>
      </c>
      <c r="V38" s="18">
        <f t="shared" si="8"/>
        <v>57</v>
      </c>
      <c r="W38">
        <f>Grondslag!J34</f>
        <v>50</v>
      </c>
      <c r="X38" s="73">
        <f t="shared" si="12"/>
        <v>50</v>
      </c>
      <c r="Y38">
        <f>Grondslag!S34</f>
        <v>35</v>
      </c>
      <c r="AA38" s="54">
        <f t="shared" si="42"/>
        <v>13.786541198262364</v>
      </c>
      <c r="AB38" s="14" cm="1">
        <f t="array" ref="AB38">IFERROR(Settings!O$3/NP_OP*AVERAGE(Y$6:Y$48)/SUM(Y$6:Y$48/AA$6:AA$48), 0)</f>
        <v>0.18717547021577788</v>
      </c>
      <c r="AC38" s="54">
        <f t="shared" si="43"/>
        <v>20.743959046082256</v>
      </c>
      <c r="AD38" s="54">
        <f t="shared" si="13"/>
        <v>285.98744600388028</v>
      </c>
      <c r="AE38" s="14">
        <f t="shared" si="14"/>
        <v>0.5926845441737788</v>
      </c>
      <c r="AF38" s="52" cm="1">
        <f t="array" ref="AF38">IFERROR(AB38*SUMPRODUCT(Y38:Y$48,1/AA38:AA$48)/AVERAGE(Y$6:Y$48), 0)</f>
        <v>0.1351778509867127</v>
      </c>
      <c r="AG38" s="14" cm="1">
        <f t="array" ref="AG38">IFERROR( AB38*SUM(1/AA38:AA$48), 0)</f>
        <v>0.13517785098671267</v>
      </c>
      <c r="AI38" s="20">
        <f t="shared" si="60"/>
        <v>9.3522320594441835E-2</v>
      </c>
      <c r="AJ38" s="20">
        <f t="shared" si="44"/>
        <v>3.6189343916396899</v>
      </c>
      <c r="AK38" s="20">
        <f t="shared" si="45"/>
        <v>0.27632443470380619</v>
      </c>
      <c r="AL38" s="5">
        <f>IFERROR( Settings!O$3*AVERAGE(Y$6:Y$48)/SUMPRODUCT(Y$6:Y$48, AK$6:AK$48), 0)</f>
        <v>3.9159687171057347E-2</v>
      </c>
      <c r="AM38" s="52">
        <f>IFERROR( AL38*SUMPRODUCT(Y38:Y$48, AK38:AK$48)/AVERAGE(Y$6:Y$48), 0)</f>
        <v>0.12246064102149484</v>
      </c>
      <c r="AN38" s="14">
        <f>IFERROR(AL38*SUM(AK38:AK$48),0)</f>
        <v>0.12246064102149483</v>
      </c>
      <c r="AO38" s="5">
        <f t="shared" si="46"/>
        <v>1.0440819021269072E-2</v>
      </c>
      <c r="AQ38" s="5">
        <f>NP_OP*NPuitkering_leeftijd!F39*AJ38/Y38</f>
        <v>4.2080632460926623E-2</v>
      </c>
      <c r="AR38" s="5">
        <f>NP_OP*SUM(NPuitkering_leeftijd!F39:F$49)/AVERAGE(Y38:Y$48)</f>
        <v>0.12790697674418605</v>
      </c>
      <c r="AS38" s="50">
        <f>IFERROR( AQ38*SUM(AK38:AK$48), 0)</f>
        <v>0.13159505598818236</v>
      </c>
      <c r="AT38" s="5">
        <f t="shared" si="15"/>
        <v>1.0874688441214166E-2</v>
      </c>
      <c r="AX38" s="20" cm="1">
        <f t="array" ref="AX38">IFERROR( $K38*SUMPRODUCT($P38:$P113, $C$6:$C$81, 1-$T38:$T113)/MIN($P37,1), 0)</f>
        <v>3.9159829120498341E-2</v>
      </c>
      <c r="AY38" s="5">
        <f t="shared" si="16"/>
        <v>0</v>
      </c>
      <c r="BC38" s="20" cm="1">
        <f t="array" ref="BC38">IFERROR($K38*SUMPRODUCT($P38:$P113, $C$6:$C$81, 1-$T38:$T113)/MIN($P38,1), 0)</f>
        <v>3.9313387398876354E-2</v>
      </c>
      <c r="BD38" s="5">
        <f>BC38*Settings!$I$3*$W38/$Y38</f>
        <v>2.8080990999197395E-2</v>
      </c>
      <c r="BG38" s="20">
        <f t="shared" si="47"/>
        <v>5.4575664278487437E-2</v>
      </c>
      <c r="BH38" s="5">
        <f>BG38*Settings!I$7*W38/$Y38</f>
        <v>3.8982617341776743E-2</v>
      </c>
      <c r="BI38" s="5">
        <f>BG38*Settings!I$7*$X38/$Y38</f>
        <v>3.8982617341776743E-2</v>
      </c>
      <c r="BJ38" s="5">
        <f>BG38*Settings!I$7*MAX(W38-voltijdfranchise/1000, 0)/$Y38</f>
        <v>2.7287832139243719E-2</v>
      </c>
      <c r="BM38" s="15" cm="1">
        <f t="array" ref="BM38">IFERROR( $K38*SUMPRODUCT($P38:$P113, $C$6:$C$81, 1-$T38:$T113)/MIN($P38,1), 0)</f>
        <v>3.9313387398876354E-2</v>
      </c>
      <c r="BN38" s="5">
        <f>BM38*Settings!I$3*$W38/$Y38</f>
        <v>2.8080990999197395E-2</v>
      </c>
      <c r="BQ38" s="15"/>
      <c r="BR38" s="15">
        <f t="shared" si="48"/>
        <v>0.38836013739922554</v>
      </c>
      <c r="BS38" s="15">
        <f>BM38*(Settings!I$4*$W38/$Y38  - BR38)</f>
        <v>1.2813238467340794E-2</v>
      </c>
      <c r="BV38" s="20">
        <f t="shared" si="49"/>
        <v>5.4575664278487437E-2</v>
      </c>
      <c r="BW38" s="20">
        <f t="shared" si="50"/>
        <v>3.4287617595554294</v>
      </c>
      <c r="BX38" s="20">
        <f t="shared" si="51"/>
        <v>0.291650476214381</v>
      </c>
      <c r="BY38" s="5">
        <f>IFERROR(Settings!O$5*AVERAGE(Y$6:Y$48)/SUMPRODUCT(Y$6:Y$48, BX$6:BX$48), 0)</f>
        <v>3.4197010420295985E-2</v>
      </c>
      <c r="BZ38" s="14">
        <f>IFERROR(BY38*SUMPRODUCT(Y38:Y$48, BX38:BX$48)/AVERAGE(Y38:Y$48), 0)</f>
        <v>0.1075517129513201</v>
      </c>
      <c r="CA38" s="5">
        <f t="shared" si="52"/>
        <v>5.3253917319053138E-3</v>
      </c>
      <c r="CB38" s="5"/>
      <c r="CC38" s="5"/>
      <c r="CD38" s="20">
        <f t="shared" si="53"/>
        <v>9.3889051677363805E-2</v>
      </c>
      <c r="CE38" s="20">
        <f t="shared" si="54"/>
        <v>2.5570272808354808</v>
      </c>
      <c r="CF38" s="73">
        <f t="shared" si="55"/>
        <v>0.3910791282888702</v>
      </c>
      <c r="CG38" s="5" cm="1">
        <f t="array" ref="CG38">IFERROR(Settings!O$6*AVERAGE(Y$6:Y$48)/SUMPRODUCT(Y$6:Y$48,1/CE$6:CE$48), 0)</f>
        <v>2.3794373702957207E-2</v>
      </c>
      <c r="CI38" s="18">
        <f t="shared" si="9"/>
        <v>57</v>
      </c>
      <c r="CJ38" s="90">
        <f t="shared" si="17"/>
        <v>4.2080632460926623E-2</v>
      </c>
      <c r="CK38" s="104">
        <f t="shared" si="18"/>
        <v>1.0874688441214166E-2</v>
      </c>
      <c r="CL38" s="106">
        <f t="shared" si="19"/>
        <v>0</v>
      </c>
      <c r="CM38" s="89">
        <f t="shared" si="20"/>
        <v>3.9159687171057347E-2</v>
      </c>
      <c r="CN38" s="104">
        <f t="shared" si="21"/>
        <v>1.0440819021269072E-2</v>
      </c>
      <c r="CO38" s="106">
        <f t="shared" si="22"/>
        <v>0</v>
      </c>
      <c r="CP38" s="89">
        <f t="shared" si="23"/>
        <v>2.3794373702957207E-2</v>
      </c>
      <c r="CQ38" s="87">
        <f t="shared" si="24"/>
        <v>2.8080990999197395E-2</v>
      </c>
      <c r="CR38" s="95">
        <f t="shared" si="25"/>
        <v>3.8982617341776743E-2</v>
      </c>
      <c r="CS38" s="96">
        <f t="shared" si="26"/>
        <v>3.8982617341776743E-2</v>
      </c>
      <c r="CT38" s="97">
        <f t="shared" si="27"/>
        <v>2.7287832139243719E-2</v>
      </c>
      <c r="CU38" s="89">
        <f t="shared" si="28"/>
        <v>3.4197010420295985E-2</v>
      </c>
      <c r="CV38" s="87">
        <f t="shared" si="29"/>
        <v>2.8080990999197395E-2</v>
      </c>
      <c r="CW38" s="92">
        <f t="shared" si="30"/>
        <v>5.3253917319053138E-3</v>
      </c>
      <c r="CX38" s="89">
        <f t="shared" si="31"/>
        <v>3.9159687171057347E-2</v>
      </c>
      <c r="CY38" s="87">
        <f t="shared" si="32"/>
        <v>1.2813238467340794E-2</v>
      </c>
      <c r="CZ38" s="115">
        <f t="shared" si="33"/>
        <v>5.3253917319053138E-3</v>
      </c>
      <c r="DA38" s="11"/>
      <c r="DB38">
        <f t="shared" si="10"/>
        <v>57</v>
      </c>
      <c r="DC38" s="11">
        <f t="shared" si="63"/>
        <v>5.2955320902140793E-2</v>
      </c>
      <c r="DD38" s="11">
        <f t="shared" si="64"/>
        <v>4.9600506192326421E-2</v>
      </c>
      <c r="DE38" s="11">
        <f t="shared" si="34"/>
        <v>9.0857982043931348E-2</v>
      </c>
      <c r="DF38" s="11">
        <f t="shared" si="35"/>
        <v>9.0857982043931348E-2</v>
      </c>
      <c r="DG38" s="11">
        <f t="shared" si="36"/>
        <v>7.9163196841398331E-2</v>
      </c>
      <c r="DH38" s="11">
        <f t="shared" si="37"/>
        <v>6.7603393151398697E-2</v>
      </c>
      <c r="DI38" s="11">
        <f t="shared" si="38"/>
        <v>5.7298317370303456E-2</v>
      </c>
      <c r="DV38">
        <f t="shared" si="39"/>
        <v>57</v>
      </c>
      <c r="DW38" s="11">
        <f>SUMPRODUCT($B38:$B$48, $Y38:$Y$48, CK38:CK$48)/$B38/$Y38</f>
        <v>6.7130276934783101E-2</v>
      </c>
      <c r="DX38" s="11">
        <f>SUMPRODUCT($B38:$B$48, $Y38:$Y$48, CN38:CN$48)/$B38/$Y38</f>
        <v>6.5232950311842203E-2</v>
      </c>
      <c r="DY38" s="11" cm="1">
        <f t="array" ref="DY38">SUMPRODUCT($B38:$B$48, $Y38:$Y$48, $CQ38:$CQ$48 + CR38:CR$48)/$B38/$Y38</f>
        <v>0.88111598902199328</v>
      </c>
      <c r="DZ38" s="11" cm="1">
        <f t="array" ref="DZ38">SUMPRODUCT($B38:$B$48, $Y38:$Y$48, $CQ38:$CQ$48 + CS38:CS$48)/$B38/$Y38</f>
        <v>0.88111598902199328</v>
      </c>
      <c r="EA38" s="11" cm="1">
        <f t="array" ref="EA38">SUMPRODUCT($B38:$B$48, $Y38:$Y$48, $CQ38:$CQ$48 + CT38:CT$48)/$B38/$Y38</f>
        <v>0.68212331845501561</v>
      </c>
      <c r="EB38" s="11" cm="1">
        <f t="array" ref="EB38">SUMPRODUCT($B38:$B$48, $Y38:$Y$48, $CV38:$CV$48 + CW38:CW$48)/$B38/$Y38</f>
        <v>0.25604649044775646</v>
      </c>
      <c r="EC38" s="11" cm="1">
        <f t="array" ref="EC38">SUMPRODUCT($B38:$B$48, $Y38:$Y$48, $CY38:$CY$48 + CZ38:CZ$48)/$B38/$Y38</f>
        <v>0.12471946448333583</v>
      </c>
      <c r="EE38" s="73">
        <f>Settings!T46</f>
        <v>57</v>
      </c>
      <c r="EF38" s="14">
        <f>SUMPRODUCT($B38:$B$48, $Y38:$Y$48, CK38:CK$48)/$B38/$AD37</f>
        <v>8.5681563561803946E-3</v>
      </c>
      <c r="EG38" s="14">
        <f>SUMPRODUCT($B38:$B$48, $Y38:$Y$48, CN38:CN$48)/$B38/$AD37</f>
        <v>8.3259915401482105E-3</v>
      </c>
      <c r="EH38" s="14" cm="1">
        <f t="array" ref="EH38">SUMPRODUCT($B38:$B$48, $Y38:$Y$48, $CQ38:$CQ$48 + CR38:CR$48)/$B38/$AD37</f>
        <v>0.11246102215853103</v>
      </c>
      <c r="EI38" s="14" cm="1">
        <f t="array" ref="EI38">SUMPRODUCT($B38:$B$48, $Y38:$Y$48, $CQ38:$CQ$48 + CS38:CS$48)/$B38/$AD37</f>
        <v>0.11246102215853103</v>
      </c>
      <c r="EJ38" s="14" cm="1">
        <f t="array" ref="EJ38">SUMPRODUCT($B38:$B$48, $Y38:$Y$48, $CQ38:$CQ$48 + CT38:CT$48)/$B38/$AD37</f>
        <v>8.7062641680998296E-2</v>
      </c>
      <c r="EK38" s="14" cm="1">
        <f t="array" ref="EK38">SUMPRODUCT($B38:$B$48, $Y38:$Y$48, $CV38:$CV$48 + CW38:CW$48)/$B38/$AD37</f>
        <v>3.2680430720387815E-2</v>
      </c>
      <c r="EL38" s="14" cm="1">
        <f t="array" ref="EL38">SUMPRODUCT($B38:$B$48, $Y38:$Y$48, $CY38:$CY$48 + CZ38:CZ$48)/$B38/$AD37</f>
        <v>1.5918538119401276E-2</v>
      </c>
    </row>
    <row r="39" spans="1:142" x14ac:dyDescent="0.25">
      <c r="A39">
        <v>33</v>
      </c>
      <c r="B39">
        <f>B38/(1+Settings!O$14)</f>
        <v>0.61181568367662809</v>
      </c>
      <c r="C39" s="73">
        <f>C38/(1+Settings!$O$15)</f>
        <v>0.61181568367662809</v>
      </c>
      <c r="D39" s="73">
        <f>D38/(1+Settings!$O$16)</f>
        <v>0.61181568367662809</v>
      </c>
      <c r="E39" s="73">
        <f>E38/(1+Settings!$O$17)</f>
        <v>0.61181568367662809</v>
      </c>
      <c r="F39" s="73">
        <f>F38/(1+Settings!$O$18)</f>
        <v>0.61181568367662809</v>
      </c>
      <c r="H39">
        <f>Grondslag!A35</f>
        <v>58</v>
      </c>
      <c r="I39" s="15">
        <f>IF(Settings!C$7="Unisex", overlevtafel!I65, IF(Settings!C$7="Man", overlevtafel!D65, IF(Settings!C$7="Vrouw",overlevtafel!G65) ) )/I$4</f>
        <v>0.95275873420802315</v>
      </c>
      <c r="J39" s="11">
        <f t="shared" si="58"/>
        <v>4.1290832141814837E-3</v>
      </c>
      <c r="K39" s="11">
        <f>IFERROR(J39/SUM(J39:J$100), 1)</f>
        <v>4.3151174284694069E-3</v>
      </c>
      <c r="M39" s="20">
        <v>48</v>
      </c>
      <c r="N39" s="73">
        <f>IF(Settings!D$7="Unisex", overlevtafel!Q55, IF(Settings!D$7="Man", overlevtafel!L55, IF(Settings!D$7="Vrouw",overlevtafel!O55) ) )</f>
        <v>95393.5</v>
      </c>
      <c r="O39" s="20">
        <f t="shared" si="59"/>
        <v>58</v>
      </c>
      <c r="P39" s="15">
        <f t="shared" si="40"/>
        <v>0.95288127518902033</v>
      </c>
      <c r="R39" s="73">
        <f>1*($H39&gt;=Settings!D$10)</f>
        <v>0</v>
      </c>
      <c r="S39" s="73">
        <f t="shared" si="41"/>
        <v>58</v>
      </c>
      <c r="T39" s="73">
        <f>1*($S39&gt;=Settings!D$10)</f>
        <v>0</v>
      </c>
      <c r="V39" s="18">
        <f t="shared" si="8"/>
        <v>58</v>
      </c>
      <c r="W39">
        <f>Grondslag!J35</f>
        <v>50</v>
      </c>
      <c r="X39" s="73">
        <f t="shared" si="12"/>
        <v>50</v>
      </c>
      <c r="Y39">
        <f>Grondslag!S35</f>
        <v>35</v>
      </c>
      <c r="AA39" s="54">
        <f t="shared" si="42"/>
        <v>14.053983905896285</v>
      </c>
      <c r="AB39" s="14" cm="1">
        <f t="array" ref="AB39">IFERROR(Settings!O$3/NP_OP*AVERAGE(Y$6:Y$48)/SUM(Y$6:Y$48/AA$6:AA$48), 0)</f>
        <v>0.18717547021577788</v>
      </c>
      <c r="AC39" s="54">
        <f t="shared" si="43"/>
        <v>21.210100284141006</v>
      </c>
      <c r="AD39" s="54">
        <f t="shared" si="13"/>
        <v>298.0864080357639</v>
      </c>
      <c r="AE39" s="14">
        <f t="shared" si="14"/>
        <v>0.60600286526117164</v>
      </c>
      <c r="AF39" s="52" cm="1">
        <f t="array" ref="AF39">IFERROR(AB39*SUMPRODUCT(Y39:Y$48,1/AA39:AA$48)/AVERAGE(Y$6:Y$48), 0)</f>
        <v>0.12160117011193543</v>
      </c>
      <c r="AG39" s="14" cm="1">
        <f t="array" ref="AG39">IFERROR( AB39*SUM(1/AA39:AA$48), 0)</f>
        <v>0.12160117011193539</v>
      </c>
      <c r="AI39" s="20">
        <f t="shared" si="60"/>
        <v>9.9797300215368479E-2</v>
      </c>
      <c r="AJ39" s="20">
        <f t="shared" si="44"/>
        <v>3.6091993541340677</v>
      </c>
      <c r="AK39" s="20">
        <f t="shared" si="45"/>
        <v>0.27706976032082431</v>
      </c>
      <c r="AL39" s="5">
        <f>IFERROR( Settings!O$3*AVERAGE(Y$6:Y$48)/SUMPRODUCT(Y$6:Y$48, AK$6:AK$48), 0)</f>
        <v>3.9159687171057347E-2</v>
      </c>
      <c r="AM39" s="52">
        <f>IFERROR( AL39*SUMPRODUCT(Y39:Y$48, AK39:AK$48)/AVERAGE(Y$6:Y$48), 0)</f>
        <v>0.11163986260077455</v>
      </c>
      <c r="AN39" s="14">
        <f>IFERROR(AL39*SUM(AK39:AK$48),0)</f>
        <v>0.11163986260077452</v>
      </c>
      <c r="AO39" s="5">
        <f t="shared" si="46"/>
        <v>1.0058559655696532E-2</v>
      </c>
      <c r="AQ39" s="5">
        <f>NP_OP*NPuitkering_leeftijd!F40*AJ39/Y39</f>
        <v>4.1967434350396141E-2</v>
      </c>
      <c r="AR39" s="5">
        <f>NP_OP*SUM(NPuitkering_leeftijd!F40:F$49)/AVERAGE(Y39:Y$48)</f>
        <v>0.11627906976744186</v>
      </c>
      <c r="AS39" s="50">
        <f>IFERROR( AQ39*SUM(AK39:AK$48), 0)</f>
        <v>0.11964443393327405</v>
      </c>
      <c r="AT39" s="5">
        <f t="shared" si="15"/>
        <v>1.0443903510910653E-2</v>
      </c>
      <c r="AX39" s="20" cm="1">
        <f t="array" ref="AX39">IFERROR( $K39*SUMPRODUCT($P39:$P114, $C$6:$C$81, 1-$T39:$T114)/MIN($P38,1), 0)</f>
        <v>3.9241391331649306E-2</v>
      </c>
      <c r="AY39" s="5">
        <f t="shared" si="16"/>
        <v>0</v>
      </c>
      <c r="BC39" s="20" cm="1">
        <f t="array" ref="BC39">IFERROR($K39*SUMPRODUCT($P39:$P114, $C$6:$C$81, 1-$T39:$T114)/MIN($P39,1), 0)</f>
        <v>3.9409529691006251E-2</v>
      </c>
      <c r="BD39" s="5">
        <f>BC39*Settings!$I$3*$W39/$Y39</f>
        <v>2.8149664065004465E-2</v>
      </c>
      <c r="BG39" s="20">
        <f t="shared" si="47"/>
        <v>6.0815373974623534E-2</v>
      </c>
      <c r="BH39" s="5">
        <f>BG39*Settings!I$7*W39/$Y39</f>
        <v>4.3439552839016814E-2</v>
      </c>
      <c r="BI39" s="5">
        <f>BG39*Settings!I$7*$X39/$Y39</f>
        <v>4.3439552839016814E-2</v>
      </c>
      <c r="BJ39" s="5">
        <f>BG39*Settings!I$7*MAX(W39-voltijdfranchise/1000, 0)/$Y39</f>
        <v>3.0407686987311763E-2</v>
      </c>
      <c r="BM39" s="15" cm="1">
        <f t="array" ref="BM39">IFERROR( $K39*SUMPRODUCT($P39:$P114, $C$6:$C$81, 1-$T39:$T114)/MIN($P39,1), 0)</f>
        <v>3.9409529691006251E-2</v>
      </c>
      <c r="BN39" s="5">
        <f>BM39*Settings!I$3*$W39/$Y39</f>
        <v>2.8149664065004465E-2</v>
      </c>
      <c r="BQ39" s="15"/>
      <c r="BR39" s="15">
        <f t="shared" si="48"/>
        <v>0.39921010253794886</v>
      </c>
      <c r="BS39" s="15">
        <f>BM39*(Settings!I$4*$W39/$Y39  - BR39)</f>
        <v>1.241698167608552E-2</v>
      </c>
      <c r="BV39" s="20">
        <f t="shared" si="49"/>
        <v>6.0815373974623534E-2</v>
      </c>
      <c r="BW39" s="20">
        <f t="shared" si="50"/>
        <v>3.4543792414572994</v>
      </c>
      <c r="BX39" s="20">
        <f t="shared" si="51"/>
        <v>0.28948761270871054</v>
      </c>
      <c r="BY39" s="5">
        <f>IFERROR(Settings!O$5*AVERAGE(Y$6:Y$48)/SUMPRODUCT(Y$6:Y$48, BX$6:BX$48), 0)</f>
        <v>3.4197010420295985E-2</v>
      </c>
      <c r="BZ39" s="14">
        <f>IFERROR(BY39*SUMPRODUCT(Y39:Y$48, BX39:BX$48)/AVERAGE(Y39:Y$48), 0)</f>
        <v>9.7578138577132628E-2</v>
      </c>
      <c r="CA39" s="5">
        <f t="shared" si="52"/>
        <v>5.3322024497216127E-3</v>
      </c>
      <c r="CB39" s="5"/>
      <c r="CC39" s="5"/>
      <c r="CD39" s="20">
        <f t="shared" si="53"/>
        <v>0.10022490366562974</v>
      </c>
      <c r="CE39" s="20">
        <f t="shared" si="54"/>
        <v>2.6177992882852861</v>
      </c>
      <c r="CF39" s="73">
        <f t="shared" si="55"/>
        <v>0.38200025665643034</v>
      </c>
      <c r="CG39" s="5" cm="1">
        <f t="array" ref="CG39">IFERROR(Settings!O$6*AVERAGE(Y$6:Y$48)/SUMPRODUCT(Y$6:Y$48,1/CE$6:CE$48), 0)</f>
        <v>2.3794373702957207E-2</v>
      </c>
      <c r="CI39" s="18">
        <f t="shared" si="9"/>
        <v>58</v>
      </c>
      <c r="CJ39" s="90">
        <f t="shared" si="17"/>
        <v>4.1967434350396141E-2</v>
      </c>
      <c r="CK39" s="104">
        <f t="shared" si="18"/>
        <v>1.0443903510910653E-2</v>
      </c>
      <c r="CL39" s="106">
        <f t="shared" si="19"/>
        <v>0</v>
      </c>
      <c r="CM39" s="89">
        <f t="shared" si="20"/>
        <v>3.9159687171057347E-2</v>
      </c>
      <c r="CN39" s="104">
        <f t="shared" si="21"/>
        <v>1.0058559655696532E-2</v>
      </c>
      <c r="CO39" s="106">
        <f t="shared" si="22"/>
        <v>0</v>
      </c>
      <c r="CP39" s="89">
        <f t="shared" si="23"/>
        <v>2.3794373702957207E-2</v>
      </c>
      <c r="CQ39" s="87">
        <f t="shared" si="24"/>
        <v>2.8149664065004465E-2</v>
      </c>
      <c r="CR39" s="95">
        <f t="shared" si="25"/>
        <v>4.3439552839016814E-2</v>
      </c>
      <c r="CS39" s="96">
        <f t="shared" si="26"/>
        <v>4.3439552839016814E-2</v>
      </c>
      <c r="CT39" s="97">
        <f t="shared" si="27"/>
        <v>3.0407686987311763E-2</v>
      </c>
      <c r="CU39" s="89">
        <f t="shared" si="28"/>
        <v>3.4197010420295985E-2</v>
      </c>
      <c r="CV39" s="87">
        <f t="shared" si="29"/>
        <v>2.8149664065004465E-2</v>
      </c>
      <c r="CW39" s="92">
        <f t="shared" si="30"/>
        <v>5.3322024497216127E-3</v>
      </c>
      <c r="CX39" s="89">
        <f t="shared" si="31"/>
        <v>3.9159687171057347E-2</v>
      </c>
      <c r="CY39" s="87">
        <f t="shared" si="32"/>
        <v>1.241698167608552E-2</v>
      </c>
      <c r="CZ39" s="115">
        <f t="shared" si="33"/>
        <v>5.3322024497216127E-3</v>
      </c>
      <c r="DA39" s="11"/>
      <c r="DB39">
        <f t="shared" si="10"/>
        <v>58</v>
      </c>
      <c r="DC39" s="11">
        <f t="shared" si="63"/>
        <v>5.2411337861306792E-2</v>
      </c>
      <c r="DD39" s="11">
        <f t="shared" si="64"/>
        <v>4.9218246826753881E-2</v>
      </c>
      <c r="DE39" s="11">
        <f t="shared" si="34"/>
        <v>9.5383590606978486E-2</v>
      </c>
      <c r="DF39" s="11">
        <f t="shared" si="35"/>
        <v>9.5383590606978486E-2</v>
      </c>
      <c r="DG39" s="11">
        <f t="shared" si="36"/>
        <v>8.2351724755273442E-2</v>
      </c>
      <c r="DH39" s="11">
        <f t="shared" si="37"/>
        <v>6.7678876935022059E-2</v>
      </c>
      <c r="DI39" s="11">
        <f t="shared" si="38"/>
        <v>5.6908871296864484E-2</v>
      </c>
      <c r="DV39">
        <f t="shared" si="39"/>
        <v>58</v>
      </c>
      <c r="DW39" s="11">
        <f>SUMPRODUCT($B39:$B$48, $Y39:$Y$48, CK39:CK$48)/$B39/$Y39</f>
        <v>5.7099422320972461E-2</v>
      </c>
      <c r="DX39" s="11">
        <f>SUMPRODUCT($B39:$B$48, $Y39:$Y$48, CN39:CN$48)/$B39/$Y39</f>
        <v>5.5614013259931726E-2</v>
      </c>
      <c r="DY39" s="11" cm="1">
        <f t="array" ref="DY39">SUMPRODUCT($B39:$B$48, $Y39:$Y$48, $CQ39:$CQ$48 + CR39:CR$48)/$B39/$Y39</f>
        <v>0.82626316639123432</v>
      </c>
      <c r="DZ39" s="11" cm="1">
        <f t="array" ref="DZ39">SUMPRODUCT($B39:$B$48, $Y39:$Y$48, $CQ39:$CQ$48 + CS39:CS$48)/$B39/$Y39</f>
        <v>0.82626316639123432</v>
      </c>
      <c r="EA39" s="11" cm="1">
        <f t="array" ref="EA39">SUMPRODUCT($B39:$B$48, $Y39:$Y$48, $CQ39:$CQ$48 + CT39:CT$48)/$B39/$Y39</f>
        <v>0.63615581274632316</v>
      </c>
      <c r="EB39" s="11" cm="1">
        <f t="array" ref="EB39">SUMPRODUCT($B39:$B$48, $Y39:$Y$48, $CV39:$CV$48 + CW39:CW$48)/$B39/$Y39</f>
        <v>0.22597970933240349</v>
      </c>
      <c r="EC39" s="11" cm="1">
        <f t="array" ref="EC39">SUMPRODUCT($B39:$B$48, $Y39:$Y$48, $CY39:$CY$48 + CZ39:CZ$48)/$B39/$Y39</f>
        <v>0.10817954679835107</v>
      </c>
      <c r="EE39" s="73">
        <f>Settings!T47</f>
        <v>58</v>
      </c>
      <c r="EF39" s="14">
        <f>SUMPRODUCT($B39:$B$48, $Y39:$Y$48, CK39:CK$48)/$B39/$AD38</f>
        <v>6.9879982815991186E-3</v>
      </c>
      <c r="EG39" s="14">
        <f>SUMPRODUCT($B39:$B$48, $Y39:$Y$48, CN39:CN$48)/$B39/$AD38</f>
        <v>6.8062094728144132E-3</v>
      </c>
      <c r="EH39" s="14" cm="1">
        <f t="array" ref="EH39">SUMPRODUCT($B39:$B$48, $Y39:$Y$48, $CQ39:$CQ$48 + CR39:CR$48)/$B39/$AD38</f>
        <v>0.10112056045740143</v>
      </c>
      <c r="EI39" s="14" cm="1">
        <f t="array" ref="EI39">SUMPRODUCT($B39:$B$48, $Y39:$Y$48, $CQ39:$CQ$48 + CS39:CS$48)/$B39/$AD38</f>
        <v>0.10112056045740143</v>
      </c>
      <c r="EJ39" s="14" cm="1">
        <f t="array" ref="EJ39">SUMPRODUCT($B39:$B$48, $Y39:$Y$48, $CQ39:$CQ$48 + CT39:CT$48)/$B39/$AD38</f>
        <v>7.7854653262714235E-2</v>
      </c>
      <c r="EK39" s="14" cm="1">
        <f t="array" ref="EK39">SUMPRODUCT($B39:$B$48, $Y39:$Y$48, $CV39:$CV$48 + CW39:CW$48)/$B39/$AD38</f>
        <v>2.765607349955777E-2</v>
      </c>
      <c r="EL39" s="14" cm="1">
        <f t="array" ref="EL39">SUMPRODUCT($B39:$B$48, $Y39:$Y$48, $CY39:$CY$48 + CZ39:CZ$48)/$B39/$AD38</f>
        <v>1.3239336868971916E-2</v>
      </c>
    </row>
    <row r="40" spans="1:142" x14ac:dyDescent="0.25">
      <c r="A40">
        <v>34</v>
      </c>
      <c r="B40">
        <f>B39/(1+Settings!O$14)</f>
        <v>0.60277407258781102</v>
      </c>
      <c r="C40" s="73">
        <f>C39/(1+Settings!$O$15)</f>
        <v>0.60277407258781102</v>
      </c>
      <c r="D40" s="73">
        <f>D39/(1+Settings!$O$16)</f>
        <v>0.60277407258781102</v>
      </c>
      <c r="E40" s="73">
        <f>E39/(1+Settings!$O$17)</f>
        <v>0.60277407258781102</v>
      </c>
      <c r="F40" s="73">
        <f>F39/(1+Settings!$O$18)</f>
        <v>0.60277407258781102</v>
      </c>
      <c r="H40">
        <f>Grondslag!A36</f>
        <v>59</v>
      </c>
      <c r="I40" s="15">
        <f>IF(Settings!C$7="Unisex", overlevtafel!I66, IF(Settings!C$7="Man", overlevtafel!D66, IF(Settings!C$7="Vrouw",overlevtafel!G66) ) )/I$4</f>
        <v>0.94832395687519144</v>
      </c>
      <c r="J40" s="11">
        <f t="shared" si="58"/>
        <v>4.4347773328317075E-3</v>
      </c>
      <c r="K40" s="11">
        <f>IFERROR(J40/SUM(J40:J$100), 1)</f>
        <v>4.6546699222701389E-3</v>
      </c>
      <c r="M40" s="20">
        <v>49</v>
      </c>
      <c r="N40" s="73">
        <f>IF(Settings!D$7="Unisex", overlevtafel!Q56, IF(Settings!D$7="Man", overlevtafel!L56, IF(Settings!D$7="Vrouw",overlevtafel!O56) ) )</f>
        <v>95223.5</v>
      </c>
      <c r="O40" s="20">
        <f t="shared" si="59"/>
        <v>59</v>
      </c>
      <c r="P40" s="15">
        <f t="shared" si="40"/>
        <v>0.94849426793442082</v>
      </c>
      <c r="R40" s="73">
        <f>1*($H40&gt;=Settings!D$10)</f>
        <v>0</v>
      </c>
      <c r="S40" s="73">
        <f t="shared" si="41"/>
        <v>59</v>
      </c>
      <c r="T40" s="73">
        <f>1*($S40&gt;=Settings!D$10)</f>
        <v>0</v>
      </c>
      <c r="V40" s="18">
        <f t="shared" si="8"/>
        <v>59</v>
      </c>
      <c r="W40">
        <f>Grondslag!J36</f>
        <v>50</v>
      </c>
      <c r="X40" s="73">
        <f t="shared" si="12"/>
        <v>50</v>
      </c>
      <c r="Y40">
        <f>Grondslag!S36</f>
        <v>35</v>
      </c>
      <c r="AA40" s="54">
        <f t="shared" si="42"/>
        <v>14.33150207477231</v>
      </c>
      <c r="AB40" s="14" cm="1">
        <f t="array" ref="AB40">IFERROR(Settings!O$3/NP_OP*AVERAGE(Y$6:Y$48)/SUM(Y$6:Y$48/AA$6:AA$48), 0)</f>
        <v>0.18717547021577788</v>
      </c>
      <c r="AC40" s="54">
        <f t="shared" si="43"/>
        <v>21.667215066902276</v>
      </c>
      <c r="AD40" s="54">
        <f t="shared" si="13"/>
        <v>310.52373768584783</v>
      </c>
      <c r="AE40" s="14">
        <f t="shared" si="14"/>
        <v>0.61906328762577933</v>
      </c>
      <c r="AF40" s="52" cm="1">
        <f t="array" ref="AF40">IFERROR(AB40*SUMPRODUCT(Y40:Y$48,1/AA40:AA$48)/AVERAGE(Y$6:Y$48), 0)</f>
        <v>0.10828284902454258</v>
      </c>
      <c r="AG40" s="14" cm="1">
        <f t="array" ref="AG40">IFERROR( AB40*SUM(1/AA40:AA$48), 0)</f>
        <v>0.10828284902454256</v>
      </c>
      <c r="AI40" s="20">
        <f t="shared" si="60"/>
        <v>0.1050086888061668</v>
      </c>
      <c r="AJ40" s="20">
        <f t="shared" si="44"/>
        <v>3.5952530809878809</v>
      </c>
      <c r="AK40" s="20">
        <f t="shared" si="45"/>
        <v>0.27814453599612138</v>
      </c>
      <c r="AL40" s="5">
        <f>IFERROR( Settings!O$3*AVERAGE(Y$6:Y$48)/SUMPRODUCT(Y$6:Y$48, AK$6:AK$48), 0)</f>
        <v>3.9159687171057347E-2</v>
      </c>
      <c r="AM40" s="52">
        <f>IFERROR( AL40*SUMPRODUCT(Y40:Y$48, AK40:AK$48)/AVERAGE(Y$6:Y$48), 0)</f>
        <v>0.10078989746205121</v>
      </c>
      <c r="AN40" s="14">
        <f>IFERROR(AL40*SUM(AK40:AK$48),0)</f>
        <v>0.10078989746205122</v>
      </c>
      <c r="AO40" s="5">
        <f t="shared" si="46"/>
        <v>9.4400547715761292E-3</v>
      </c>
      <c r="AQ40" s="5">
        <f>NP_OP*NPuitkering_leeftijd!F41*AJ40/Y40</f>
        <v>4.1805268383580008E-2</v>
      </c>
      <c r="AR40" s="5">
        <f>NP_OP*SUM(NPuitkering_leeftijd!F41:F$49)/AVERAGE(Y40:Y$48)</f>
        <v>0.10465116279069767</v>
      </c>
      <c r="AS40" s="50">
        <f>IFERROR( AQ40*SUM(AK40:AK$48), 0)</f>
        <v>0.10759914131461104</v>
      </c>
      <c r="AT40" s="5">
        <f>AI40*AR41</f>
        <v>9.7682501215038877E-3</v>
      </c>
      <c r="AX40" s="20" cm="1">
        <f t="array" ref="AX40">IFERROR( $K40*SUMPRODUCT($P40:$P115, $C$6:$C$81, 1-$T40:$T115)/MIN($P39,1), 0)</f>
        <v>3.8423797619561537E-2</v>
      </c>
      <c r="AY40" s="5">
        <f t="shared" si="16"/>
        <v>0</v>
      </c>
      <c r="BC40" s="20" cm="1">
        <f t="array" ref="BC40">IFERROR($K40*SUMPRODUCT($P40:$P115, $C$6:$C$81, 1-$T40:$T115)/MIN($P40,1), 0)</f>
        <v>3.8601516647082251E-2</v>
      </c>
      <c r="BD40" s="5">
        <f>BC40*Settings!$I$3*$W40/$Y40</f>
        <v>2.7572511890773036E-2</v>
      </c>
      <c r="BG40" s="20">
        <f t="shared" si="47"/>
        <v>6.6892861841313114E-2</v>
      </c>
      <c r="BH40" s="5">
        <f>BG40*Settings!I$7*W40/$Y40</f>
        <v>4.7780615600937937E-2</v>
      </c>
      <c r="BI40" s="5">
        <f>BG40*Settings!I$7*$X40/$Y40</f>
        <v>4.7780615600937937E-2</v>
      </c>
      <c r="BJ40" s="5">
        <f>BG40*Settings!I$7*MAX(W40-voltijdfranchise/1000, 0)/$Y40</f>
        <v>3.3446430920656557E-2</v>
      </c>
      <c r="BM40" s="15" cm="1">
        <f t="array" ref="BM40">IFERROR( $K40*SUMPRODUCT($P40:$P115, $C$6:$C$81, 1-$T40:$T115)/MIN($P40,1), 0)</f>
        <v>3.8601516647082251E-2</v>
      </c>
      <c r="BN40" s="5">
        <f>BM40*Settings!I$3*$W40/$Y40</f>
        <v>2.7572511890773036E-2</v>
      </c>
      <c r="BQ40" s="15"/>
      <c r="BR40" s="15">
        <f t="shared" si="48"/>
        <v>0.41010215555589585</v>
      </c>
      <c r="BS40" s="15">
        <f>BM40*(Settings!I$4*$W40/$Y40  - BR40)</f>
        <v>1.1741946706077809E-2</v>
      </c>
      <c r="BV40" s="20">
        <f t="shared" si="49"/>
        <v>6.6892861841313114E-2</v>
      </c>
      <c r="BW40" s="20">
        <f t="shared" si="50"/>
        <v>3.4765811276802983</v>
      </c>
      <c r="BX40" s="20">
        <f t="shared" si="51"/>
        <v>0.28763890824755078</v>
      </c>
      <c r="BY40" s="5">
        <f>IFERROR(Settings!O$5*AVERAGE(Y$6:Y$48)/SUMPRODUCT(Y$6:Y$48, BX$6:BX$48), 0)</f>
        <v>3.4197010420295985E-2</v>
      </c>
      <c r="BZ40" s="14">
        <f>IFERROR(BY40*SUMPRODUCT(Y40:Y$48, BX40:BX$48)/AVERAGE(Y40:Y$48), 0)</f>
        <v>8.7678527668786255E-2</v>
      </c>
      <c r="CA40" s="5">
        <f t="shared" si="52"/>
        <v>5.2070833108343456E-3</v>
      </c>
      <c r="CB40" s="5"/>
      <c r="CC40" s="5"/>
      <c r="CD40" s="20">
        <f t="shared" si="53"/>
        <v>0.10549437848839531</v>
      </c>
      <c r="CE40" s="20">
        <f t="shared" si="54"/>
        <v>2.6818389036121495</v>
      </c>
      <c r="CF40" s="73">
        <f t="shared" si="55"/>
        <v>0.37287847478575509</v>
      </c>
      <c r="CG40" s="5" cm="1">
        <f t="array" ref="CG40">IFERROR(Settings!O$6*AVERAGE(Y$6:Y$48)/SUMPRODUCT(Y$6:Y$48,1/CE$6:CE$48), 0)</f>
        <v>2.3794373702957207E-2</v>
      </c>
      <c r="CI40" s="18">
        <f t="shared" si="9"/>
        <v>59</v>
      </c>
      <c r="CJ40" s="90">
        <f t="shared" si="17"/>
        <v>4.1805268383580008E-2</v>
      </c>
      <c r="CK40" s="104">
        <f t="shared" si="18"/>
        <v>9.7682501215038877E-3</v>
      </c>
      <c r="CL40" s="106">
        <f t="shared" si="19"/>
        <v>0</v>
      </c>
      <c r="CM40" s="89">
        <f t="shared" si="20"/>
        <v>3.9159687171057347E-2</v>
      </c>
      <c r="CN40" s="104">
        <f t="shared" si="21"/>
        <v>9.4400547715761292E-3</v>
      </c>
      <c r="CO40" s="106">
        <f t="shared" si="22"/>
        <v>0</v>
      </c>
      <c r="CP40" s="89">
        <f t="shared" si="23"/>
        <v>2.3794373702957207E-2</v>
      </c>
      <c r="CQ40" s="87">
        <f t="shared" si="24"/>
        <v>2.7572511890773036E-2</v>
      </c>
      <c r="CR40" s="95">
        <f t="shared" si="25"/>
        <v>4.7780615600937937E-2</v>
      </c>
      <c r="CS40" s="96">
        <f t="shared" si="26"/>
        <v>4.7780615600937937E-2</v>
      </c>
      <c r="CT40" s="97">
        <f t="shared" si="27"/>
        <v>3.3446430920656557E-2</v>
      </c>
      <c r="CU40" s="89">
        <f t="shared" si="28"/>
        <v>3.4197010420295985E-2</v>
      </c>
      <c r="CV40" s="87">
        <f t="shared" si="29"/>
        <v>2.7572511890773036E-2</v>
      </c>
      <c r="CW40" s="92">
        <f t="shared" si="30"/>
        <v>5.2070833108343456E-3</v>
      </c>
      <c r="CX40" s="89">
        <f t="shared" si="31"/>
        <v>3.9159687171057347E-2</v>
      </c>
      <c r="CY40" s="87">
        <f t="shared" si="32"/>
        <v>1.1741946706077809E-2</v>
      </c>
      <c r="CZ40" s="115">
        <f t="shared" si="33"/>
        <v>5.2070833108343456E-3</v>
      </c>
      <c r="DA40" s="11"/>
      <c r="DB40">
        <f t="shared" si="10"/>
        <v>59</v>
      </c>
      <c r="DC40" s="11">
        <f t="shared" si="63"/>
        <v>5.1573518505083897E-2</v>
      </c>
      <c r="DD40" s="11">
        <f t="shared" si="64"/>
        <v>4.8599741942633473E-2</v>
      </c>
      <c r="DE40" s="11">
        <f t="shared" si="34"/>
        <v>9.9147501194668183E-2</v>
      </c>
      <c r="DF40" s="11">
        <f t="shared" si="35"/>
        <v>9.9147501194668183E-2</v>
      </c>
      <c r="DG40" s="11">
        <f t="shared" si="36"/>
        <v>8.4813316514386811E-2</v>
      </c>
      <c r="DH40" s="11">
        <f t="shared" si="37"/>
        <v>6.6976605621903371E-2</v>
      </c>
      <c r="DI40" s="11">
        <f t="shared" si="38"/>
        <v>5.6108717187969503E-2</v>
      </c>
      <c r="DV40">
        <f t="shared" si="39"/>
        <v>59</v>
      </c>
      <c r="DW40" s="11">
        <f>SUMPRODUCT($B40:$B$48, $Y40:$Y$48, CK40:CK$48)/$B40/$Y40</f>
        <v>4.7355351592212713E-2</v>
      </c>
      <c r="DX40" s="11">
        <f>SUMPRODUCT($B40:$B$48, $Y40:$Y$48, CN40:CN$48)/$B40/$Y40</f>
        <v>4.6238785408298719E-2</v>
      </c>
      <c r="DY40" s="11" cm="1">
        <f t="array" ref="DY40">SUMPRODUCT($B40:$B$48, $Y40:$Y$48, $CQ40:$CQ$48 + CR40:CR$48)/$B40/$Y40</f>
        <v>0.7659940587295212</v>
      </c>
      <c r="DZ40" s="11" cm="1">
        <f t="array" ref="DZ40">SUMPRODUCT($B40:$B$48, $Y40:$Y$48, $CQ40:$CQ$48 + CS40:CS$48)/$B40/$Y40</f>
        <v>0.7659940587295212</v>
      </c>
      <c r="EA40" s="11" cm="1">
        <f t="array" ref="EA40">SUMPRODUCT($B40:$B$48, $Y40:$Y$48, $CQ40:$CQ$48 + CT40:CT$48)/$B40/$Y40</f>
        <v>0.58626243861941685</v>
      </c>
      <c r="EB40" s="11" cm="1">
        <f t="array" ref="EB40">SUMPRODUCT($B40:$B$48, $Y40:$Y$48, $CV40:$CV$48 + CW40:CW$48)/$B40/$Y40</f>
        <v>0.19538531045994256</v>
      </c>
      <c r="EC40" s="11" cm="1">
        <f t="array" ref="EC40">SUMPRODUCT($B40:$B$48, $Y40:$Y$48, $CY40:$CY$48 + CZ40:CZ$48)/$B40/$Y40</f>
        <v>9.1786818112632076E-2</v>
      </c>
      <c r="EE40" s="73">
        <f>Settings!T48</f>
        <v>59</v>
      </c>
      <c r="EF40" s="14">
        <f>SUMPRODUCT($B40:$B$48, $Y40:$Y$48, CK40:CK$48)/$B40/$AD39</f>
        <v>5.5602579018919525E-3</v>
      </c>
      <c r="EG40" s="14">
        <f>SUMPRODUCT($B40:$B$48, $Y40:$Y$48, CN40:CN$48)/$B40/$AD39</f>
        <v>5.4291555926840093E-3</v>
      </c>
      <c r="EH40" s="14" cm="1">
        <f t="array" ref="EH40">SUMPRODUCT($B40:$B$48, $Y40:$Y$48, $CQ40:$CQ$48 + CR40:CR$48)/$B40/$AD39</f>
        <v>8.993966626051815E-2</v>
      </c>
      <c r="EI40" s="14" cm="1">
        <f t="array" ref="EI40">SUMPRODUCT($B40:$B$48, $Y40:$Y$48, $CQ40:$CQ$48 + CS40:CS$48)/$B40/$AD39</f>
        <v>8.993966626051815E-2</v>
      </c>
      <c r="EJ40" s="14" cm="1">
        <f t="array" ref="EJ40">SUMPRODUCT($B40:$B$48, $Y40:$Y$48, $CQ40:$CQ$48 + CT40:CT$48)/$B40/$AD39</f>
        <v>6.883636690076031E-2</v>
      </c>
      <c r="EK40" s="14" cm="1">
        <f t="array" ref="EK40">SUMPRODUCT($B40:$B$48, $Y40:$Y$48, $CV40:$CV$48 + CW40:CW$48)/$B40/$AD39</f>
        <v>2.2941287095779018E-2</v>
      </c>
      <c r="EL40" s="14" cm="1">
        <f t="array" ref="EL40">SUMPRODUCT($B40:$B$48, $Y40:$Y$48, $CY40:$CY$48 + CZ40:CZ$48)/$B40/$AD39</f>
        <v>1.0777206029322504E-2</v>
      </c>
    </row>
    <row r="41" spans="1:142" x14ac:dyDescent="0.25">
      <c r="A41">
        <v>35</v>
      </c>
      <c r="B41">
        <f>B40/(1+Settings!O$14)</f>
        <v>0.59386608136730157</v>
      </c>
      <c r="C41" s="73">
        <f>C40/(1+Settings!$O$15)</f>
        <v>0.59386608136730157</v>
      </c>
      <c r="D41" s="73">
        <f>D40/(1+Settings!$O$16)</f>
        <v>0.59386608136730157</v>
      </c>
      <c r="E41" s="73">
        <f>E40/(1+Settings!$O$17)</f>
        <v>0.59386608136730157</v>
      </c>
      <c r="F41" s="73">
        <f>F40/(1+Settings!$O$18)</f>
        <v>0.59386608136730157</v>
      </c>
      <c r="H41">
        <f>Grondslag!A37</f>
        <v>60</v>
      </c>
      <c r="I41" s="15">
        <f>IF(Settings!C$7="Unisex", overlevtafel!I67, IF(Settings!C$7="Man", overlevtafel!D67, IF(Settings!C$7="Vrouw",overlevtafel!G67) ) )/I$4</f>
        <v>0.94360151423954031</v>
      </c>
      <c r="J41" s="11">
        <f t="shared" si="58"/>
        <v>4.7224426356511362E-3</v>
      </c>
      <c r="K41" s="11">
        <f>IFERROR(J41/SUM(J41:J$100), 1)</f>
        <v>4.9797779526705443E-3</v>
      </c>
      <c r="M41" s="20">
        <v>50</v>
      </c>
      <c r="N41" s="73">
        <f>IF(Settings!D$7="Unisex", overlevtafel!Q57, IF(Settings!D$7="Man", overlevtafel!L57, IF(Settings!D$7="Vrouw",overlevtafel!O57) ) )</f>
        <v>95031</v>
      </c>
      <c r="O41" s="20">
        <f t="shared" si="59"/>
        <v>60</v>
      </c>
      <c r="P41" s="15">
        <f t="shared" si="40"/>
        <v>0.94382386202647228</v>
      </c>
      <c r="R41" s="73">
        <f>1*($H41&gt;=Settings!D$10)</f>
        <v>0</v>
      </c>
      <c r="S41" s="73">
        <f t="shared" si="41"/>
        <v>60</v>
      </c>
      <c r="T41" s="73">
        <f>1*($S41&gt;=Settings!D$10)</f>
        <v>0</v>
      </c>
      <c r="V41" s="18">
        <f t="shared" si="8"/>
        <v>60</v>
      </c>
      <c r="W41">
        <f>Grondslag!J37</f>
        <v>50</v>
      </c>
      <c r="X41" s="73">
        <f t="shared" si="12"/>
        <v>50</v>
      </c>
      <c r="Y41">
        <f>Grondslag!S37</f>
        <v>35</v>
      </c>
      <c r="AA41" s="54">
        <f t="shared" si="42"/>
        <v>14.619275349471186</v>
      </c>
      <c r="AB41" s="14" cm="1">
        <f t="array" ref="AB41">IFERROR(Settings!O$3/NP_OP*AVERAGE(Y$6:Y$48)/SUM(Y$6:Y$48/AA$6:AA$48), 0)</f>
        <v>0.18717547021577788</v>
      </c>
      <c r="AC41" s="54">
        <f t="shared" si="43"/>
        <v>22.115331769060788</v>
      </c>
      <c r="AD41" s="54">
        <f t="shared" si="13"/>
        <v>323.31012457680737</v>
      </c>
      <c r="AE41" s="14">
        <f t="shared" si="14"/>
        <v>0.63186662197316534</v>
      </c>
      <c r="AF41" s="52" cm="1">
        <f t="array" ref="AF41">IFERROR(AB41*SUMPRODUCT(Y41:Y$48,1/AA41:AA$48)/AVERAGE(Y$6:Y$48), 0)</f>
        <v>9.522242665993487E-2</v>
      </c>
      <c r="AG41" s="14" cm="1">
        <f t="array" ref="AG41">IFERROR( AB41*SUM(1/AA41:AA$48), 0)</f>
        <v>9.5222426659934883E-2</v>
      </c>
      <c r="AI41" s="20">
        <f t="shared" si="60"/>
        <v>0.10950115826576172</v>
      </c>
      <c r="AJ41" s="20">
        <f t="shared" si="44"/>
        <v>3.5779455790576158</v>
      </c>
      <c r="AK41" s="20">
        <f t="shared" si="45"/>
        <v>0.27948999723561668</v>
      </c>
      <c r="AL41" s="5">
        <f>IFERROR( Settings!O$3*AVERAGE(Y$6:Y$48)/SUMPRODUCT(Y$6:Y$48, AK$6:AK$48), 0)</f>
        <v>3.9159687171057347E-2</v>
      </c>
      <c r="AM41" s="52">
        <f>IFERROR( AL41*SUMPRODUCT(Y41:Y$48, AK41:AK$48)/AVERAGE(Y$6:Y$48), 0)</f>
        <v>8.9897844444104189E-2</v>
      </c>
      <c r="AN41" s="14">
        <f>IFERROR(AL41*SUM(AK41:AK$48),0)</f>
        <v>8.9897844444104202E-2</v>
      </c>
      <c r="AO41" s="5">
        <f t="shared" si="46"/>
        <v>8.6454562912251579E-3</v>
      </c>
      <c r="AQ41" s="5">
        <f>NP_OP*NPuitkering_leeftijd!F42*AJ41/Y41</f>
        <v>4.1604018361135066E-2</v>
      </c>
      <c r="AR41" s="5">
        <f>NP_OP*SUM(NPuitkering_leeftijd!F42:F$49)/AVERAGE(Y41:Y$48)</f>
        <v>9.3023255813953487E-2</v>
      </c>
      <c r="AS41" s="50">
        <f>IFERROR( AQ41*SUM(AK41:AK$48), 0)</f>
        <v>9.5509230054403135E-2</v>
      </c>
      <c r="AT41" s="5">
        <f>AI41*AR42</f>
        <v>8.9128849751201385E-3</v>
      </c>
      <c r="AX41" s="20" cm="1">
        <f t="array" ref="AX41">IFERROR( $K41*SUMPRODUCT($P41:$P116, $C$6:$C$81, 1-$T41:$T116)/MIN($P40,1), 0)</f>
        <v>3.6862651515892207E-2</v>
      </c>
      <c r="AY41" s="5">
        <f t="shared" si="16"/>
        <v>0</v>
      </c>
      <c r="BC41" s="20" cm="1">
        <f t="array" ref="BC41">IFERROR($K41*SUMPRODUCT($P41:$P116, $C$6:$C$81, 1-$T41:$T116)/MIN($P41,1), 0)</f>
        <v>3.7045062188422594E-2</v>
      </c>
      <c r="BD41" s="5">
        <f>BC41*Settings!$I$3*$W41/$Y41</f>
        <v>2.6460758706016139E-2</v>
      </c>
      <c r="BG41" s="20">
        <f t="shared" si="47"/>
        <v>7.2997950206131243E-2</v>
      </c>
      <c r="BH41" s="5">
        <f>BG41*Settings!I$7*W41/$Y41</f>
        <v>5.2141393004379456E-2</v>
      </c>
      <c r="BI41" s="5">
        <f>BG41*Settings!I$7*$X41/$Y41</f>
        <v>5.2141393004379456E-2</v>
      </c>
      <c r="BJ41" s="5">
        <f>BG41*Settings!I$7*MAX(W41-voltijdfranchise/1000, 0)/$Y41</f>
        <v>3.6498975103065621E-2</v>
      </c>
      <c r="BM41" s="15" cm="1">
        <f t="array" ref="BM41">IFERROR( $K41*SUMPRODUCT($P41:$P116, $C$6:$C$81, 1-$T41:$T116)/MIN($P41,1), 0)</f>
        <v>3.7045062188422594E-2</v>
      </c>
      <c r="BN41" s="5">
        <f>BM41*Settings!I$3*$W41/$Y41</f>
        <v>2.6460758706016139E-2</v>
      </c>
      <c r="BQ41" s="15"/>
      <c r="BR41" s="15">
        <f t="shared" si="48"/>
        <v>0.42104689641508231</v>
      </c>
      <c r="BS41" s="15">
        <f>BM41*(Settings!I$4*$W41/$Y41  - BR41)</f>
        <v>1.0863050244077089E-2</v>
      </c>
      <c r="BV41" s="20">
        <f t="shared" si="49"/>
        <v>7.2997950206131243E-2</v>
      </c>
      <c r="BW41" s="20">
        <f t="shared" si="50"/>
        <v>3.4953652770135553</v>
      </c>
      <c r="BX41" s="20">
        <f t="shared" si="51"/>
        <v>0.28609313211876997</v>
      </c>
      <c r="BY41" s="5">
        <f>IFERROR(Settings!O$5*AVERAGE(Y$6:Y$48)/SUMPRODUCT(Y$6:Y$48, BX$6:BX$48), 0)</f>
        <v>3.4197010420295985E-2</v>
      </c>
      <c r="BZ41" s="14">
        <f>IFERROR(BY41*SUMPRODUCT(Y41:Y$48, BX41:BX$48)/AVERAGE(Y41:Y$48), 0)</f>
        <v>7.7842136926162195E-2</v>
      </c>
      <c r="CA41" s="5">
        <f t="shared" si="52"/>
        <v>4.968138812616707E-3</v>
      </c>
      <c r="CB41" s="5"/>
      <c r="CC41" s="5"/>
      <c r="CD41" s="20">
        <f t="shared" si="53"/>
        <v>0.1100430123945539</v>
      </c>
      <c r="CE41" s="20">
        <f t="shared" si="54"/>
        <v>2.7492268651496325</v>
      </c>
      <c r="CF41" s="73">
        <f t="shared" si="55"/>
        <v>0.36373862509363075</v>
      </c>
      <c r="CG41" s="5" cm="1">
        <f t="array" ref="CG41">IFERROR(Settings!O$6*AVERAGE(Y$6:Y$48)/SUMPRODUCT(Y$6:Y$48,1/CE$6:CE$48), 0)</f>
        <v>2.3794373702957207E-2</v>
      </c>
      <c r="CI41" s="18">
        <f t="shared" si="9"/>
        <v>60</v>
      </c>
      <c r="CJ41" s="90">
        <f t="shared" si="17"/>
        <v>4.1604018361135066E-2</v>
      </c>
      <c r="CK41" s="104">
        <f t="shared" si="18"/>
        <v>8.9128849751201385E-3</v>
      </c>
      <c r="CL41" s="106">
        <f t="shared" si="19"/>
        <v>0</v>
      </c>
      <c r="CM41" s="89">
        <f t="shared" si="20"/>
        <v>3.9159687171057347E-2</v>
      </c>
      <c r="CN41" s="104">
        <f t="shared" si="21"/>
        <v>8.6454562912251579E-3</v>
      </c>
      <c r="CO41" s="106">
        <f t="shared" si="22"/>
        <v>0</v>
      </c>
      <c r="CP41" s="89">
        <f t="shared" si="23"/>
        <v>2.3794373702957207E-2</v>
      </c>
      <c r="CQ41" s="87">
        <f t="shared" si="24"/>
        <v>2.6460758706016139E-2</v>
      </c>
      <c r="CR41" s="95">
        <f t="shared" si="25"/>
        <v>5.2141393004379456E-2</v>
      </c>
      <c r="CS41" s="96">
        <f t="shared" si="26"/>
        <v>5.2141393004379456E-2</v>
      </c>
      <c r="CT41" s="97">
        <f t="shared" si="27"/>
        <v>3.6498975103065621E-2</v>
      </c>
      <c r="CU41" s="89">
        <f t="shared" si="28"/>
        <v>3.4197010420295985E-2</v>
      </c>
      <c r="CV41" s="87">
        <f t="shared" si="29"/>
        <v>2.6460758706016139E-2</v>
      </c>
      <c r="CW41" s="92">
        <f t="shared" si="30"/>
        <v>4.968138812616707E-3</v>
      </c>
      <c r="CX41" s="89">
        <f t="shared" si="31"/>
        <v>3.9159687171057347E-2</v>
      </c>
      <c r="CY41" s="87">
        <f t="shared" si="32"/>
        <v>1.0863050244077089E-2</v>
      </c>
      <c r="CZ41" s="115">
        <f t="shared" si="33"/>
        <v>4.968138812616707E-3</v>
      </c>
      <c r="DA41" s="11"/>
      <c r="DB41">
        <f t="shared" si="10"/>
        <v>60</v>
      </c>
      <c r="DC41" s="11">
        <f t="shared" si="63"/>
        <v>5.0516903336255206E-2</v>
      </c>
      <c r="DD41" s="11">
        <f t="shared" si="64"/>
        <v>4.7805143462282505E-2</v>
      </c>
      <c r="DE41" s="11">
        <f t="shared" si="34"/>
        <v>0.10239652541335281</v>
      </c>
      <c r="DF41" s="11">
        <f t="shared" si="35"/>
        <v>0.10239652541335281</v>
      </c>
      <c r="DG41" s="11">
        <f t="shared" si="36"/>
        <v>8.6754107512038964E-2</v>
      </c>
      <c r="DH41" s="11">
        <f t="shared" si="37"/>
        <v>6.5625907938928835E-2</v>
      </c>
      <c r="DI41" s="11">
        <f t="shared" si="38"/>
        <v>5.4990876227751145E-2</v>
      </c>
      <c r="DV41">
        <f t="shared" si="39"/>
        <v>60</v>
      </c>
      <c r="DW41" s="11">
        <f>SUMPRODUCT($B41:$B$48, $Y41:$Y$48, CK41:CK$48)/$B41/$Y41</f>
        <v>3.8150907992769448E-2</v>
      </c>
      <c r="DX41" s="11">
        <f>SUMPRODUCT($B41:$B$48, $Y41:$Y$48, CN41:CN$48)/$B41/$Y41</f>
        <v>3.7350711596273414E-2</v>
      </c>
      <c r="DY41" s="11" cm="1">
        <f t="array" ref="DY41">SUMPRODUCT($B41:$B$48, $Y41:$Y$48, $CQ41:$CQ$48 + CR41:CR$48)/$B41/$Y41</f>
        <v>0.70100054520637711</v>
      </c>
      <c r="DZ41" s="11" cm="1">
        <f t="array" ref="DZ41">SUMPRODUCT($B41:$B$48, $Y41:$Y$48, $CQ41:$CQ$48 + CS41:CS$48)/$B41/$Y41</f>
        <v>0.70100054520637711</v>
      </c>
      <c r="EA41" s="11" cm="1">
        <f t="array" ref="EA41">SUMPRODUCT($B41:$B$48, $Y41:$Y$48, $CQ41:$CQ$48 + CT41:CT$48)/$B41/$Y41</f>
        <v>0.53312214824510706</v>
      </c>
      <c r="EB41" s="11" cm="1">
        <f t="array" ref="EB41">SUMPRODUCT($B41:$B$48, $Y41:$Y$48, $CV41:$CV$48 + CW41:CW$48)/$B41/$Y41</f>
        <v>0.16504480098721011</v>
      </c>
      <c r="EC41" s="11" cm="1">
        <f t="array" ref="EC41">SUMPRODUCT($B41:$B$48, $Y41:$Y$48, $CY41:$CY$48 + CZ41:CZ$48)/$B41/$Y41</f>
        <v>7.5960354917155692E-2</v>
      </c>
      <c r="EE41" s="73">
        <f>Settings!T49</f>
        <v>60</v>
      </c>
      <c r="EF41" s="14">
        <f>SUMPRODUCT($B41:$B$48, $Y41:$Y$48, CK41:CK$48)/$B41/$AD40</f>
        <v>4.3000956696515585E-3</v>
      </c>
      <c r="EG41" s="14">
        <f>SUMPRODUCT($B41:$B$48, $Y41:$Y$48, CN41:CN$48)/$B41/$AD40</f>
        <v>4.2099032931006376E-3</v>
      </c>
      <c r="EH41" s="14" cm="1">
        <f t="array" ref="EH41">SUMPRODUCT($B41:$B$48, $Y41:$Y$48, $CQ41:$CQ$48 + CR41:CR$48)/$B41/$AD40</f>
        <v>7.901173438484406E-2</v>
      </c>
      <c r="EI41" s="14" cm="1">
        <f t="array" ref="EI41">SUMPRODUCT($B41:$B$48, $Y41:$Y$48, $CQ41:$CQ$48 + CS41:CS$48)/$B41/$AD40</f>
        <v>7.901173438484406E-2</v>
      </c>
      <c r="EJ41" s="14" cm="1">
        <f t="array" ref="EJ41">SUMPRODUCT($B41:$B$48, $Y41:$Y$48, $CQ41:$CQ$48 + CT41:CT$48)/$B41/$AD40</f>
        <v>6.0089690171950892E-2</v>
      </c>
      <c r="EK41" s="14" cm="1">
        <f t="array" ref="EK41">SUMPRODUCT($B41:$B$48, $Y41:$Y$48, $CV41:$CV$48 + CW41:CW$48)/$B41/$AD40</f>
        <v>1.8602661676050094E-2</v>
      </c>
      <c r="EL41" s="14" cm="1">
        <f t="array" ref="EL41">SUMPRODUCT($B41:$B$48, $Y41:$Y$48, $CY41:$CY$48 + CZ41:CZ$48)/$B41/$AD40</f>
        <v>8.5617043061298158E-3</v>
      </c>
    </row>
    <row r="42" spans="1:142" x14ac:dyDescent="0.25">
      <c r="A42">
        <v>36</v>
      </c>
      <c r="B42">
        <f>B41/(1+Settings!O$14)</f>
        <v>0.58508973533724296</v>
      </c>
      <c r="C42" s="73">
        <f>C41/(1+Settings!$O$15)</f>
        <v>0.58508973533724296</v>
      </c>
      <c r="D42" s="73">
        <f>D41/(1+Settings!$O$16)</f>
        <v>0.58508973533724296</v>
      </c>
      <c r="E42" s="73">
        <f>E41/(1+Settings!$O$17)</f>
        <v>0.58508973533724296</v>
      </c>
      <c r="F42" s="73">
        <f>F41/(1+Settings!$O$18)</f>
        <v>0.58508973533724296</v>
      </c>
      <c r="H42">
        <f>Grondslag!A38</f>
        <v>61</v>
      </c>
      <c r="I42" s="15">
        <f>IF(Settings!C$7="Unisex", overlevtafel!I68, IF(Settings!C$7="Man", overlevtafel!D68, IF(Settings!C$7="Vrouw",overlevtafel!G68) ) )/I$4</f>
        <v>0.93846588921223217</v>
      </c>
      <c r="J42" s="11">
        <f t="shared" si="58"/>
        <v>5.1356250273081328E-3</v>
      </c>
      <c r="K42" s="11">
        <f>IFERROR(J42/SUM(J42:J$100), 1)</f>
        <v>5.4425783083095775E-3</v>
      </c>
      <c r="M42" s="20">
        <v>51</v>
      </c>
      <c r="N42" s="73">
        <f>IF(Settings!D$7="Unisex", overlevtafel!Q58, IF(Settings!D$7="Man", overlevtafel!L58, IF(Settings!D$7="Vrouw",overlevtafel!O58) ) )</f>
        <v>94815.5</v>
      </c>
      <c r="O42" s="20">
        <f t="shared" si="59"/>
        <v>61</v>
      </c>
      <c r="P42" s="15">
        <f t="shared" si="40"/>
        <v>0.93874386454545022</v>
      </c>
      <c r="R42" s="73">
        <f>1*($H42&gt;=Settings!D$10)</f>
        <v>0</v>
      </c>
      <c r="S42" s="73">
        <f t="shared" si="41"/>
        <v>61</v>
      </c>
      <c r="T42" s="73">
        <f>1*($S42&gt;=Settings!D$10)</f>
        <v>0</v>
      </c>
      <c r="V42" s="18">
        <f t="shared" si="8"/>
        <v>61</v>
      </c>
      <c r="W42">
        <f>Grondslag!J38</f>
        <v>50</v>
      </c>
      <c r="X42" s="73">
        <f t="shared" si="12"/>
        <v>50</v>
      </c>
      <c r="Y42">
        <f>Grondslag!S38</f>
        <v>35</v>
      </c>
      <c r="AA42" s="54">
        <f t="shared" si="42"/>
        <v>14.919766475424902</v>
      </c>
      <c r="AB42" s="14" cm="1">
        <f t="array" ref="AB42">IFERROR(Settings!O$3/NP_OP*AVERAGE(Y$6:Y$48)/SUM(Y$6:Y$48/AA$6:AA$48), 0)</f>
        <v>0.18717547021577788</v>
      </c>
      <c r="AC42" s="54">
        <f t="shared" si="43"/>
        <v>22.554423189716932</v>
      </c>
      <c r="AD42" s="54">
        <f t="shared" si="13"/>
        <v>336.50672697848466</v>
      </c>
      <c r="AE42" s="14">
        <f t="shared" si="14"/>
        <v>0.64441209113476949</v>
      </c>
      <c r="AF42" s="52" cm="1">
        <f t="array" ref="AF42">IFERROR(AB42*SUMPRODUCT(Y42:Y$48,1/AA42:AA$48)/AVERAGE(Y$6:Y$48), 0)</f>
        <v>8.2419092312548889E-2</v>
      </c>
      <c r="AG42" s="14" cm="1">
        <f t="array" ref="AG42">IFERROR( AB42*SUM(1/AA42:AA$48), 0)</f>
        <v>8.2419092312548875E-2</v>
      </c>
      <c r="AI42" s="20">
        <f t="shared" si="60"/>
        <v>0.11654979589493544</v>
      </c>
      <c r="AJ42" s="20">
        <f t="shared" si="44"/>
        <v>3.5588916062149831</v>
      </c>
      <c r="AK42" s="20">
        <f t="shared" si="45"/>
        <v>0.28098636054373627</v>
      </c>
      <c r="AL42" s="5">
        <f>IFERROR( Settings!O$3*AVERAGE(Y$6:Y$48)/SUMPRODUCT(Y$6:Y$48, AK$6:AK$48), 0)</f>
        <v>3.9159687171057347E-2</v>
      </c>
      <c r="AM42" s="52">
        <f>IFERROR( AL42*SUMPRODUCT(Y42:Y$48, AK42:AK$48)/AVERAGE(Y$6:Y$48), 0)</f>
        <v>7.895310358491775E-2</v>
      </c>
      <c r="AN42" s="14">
        <f>IFERROR(AL42*SUM(AK42:AK$48),0)</f>
        <v>7.895310358491775E-2</v>
      </c>
      <c r="AO42" s="5">
        <f t="shared" si="46"/>
        <v>7.9195313125685549E-3</v>
      </c>
      <c r="AQ42" s="5">
        <f>NP_OP*NPuitkering_leeftijd!F43*AJ42/Y42</f>
        <v>4.1382460537383522E-2</v>
      </c>
      <c r="AR42" s="5">
        <f>NP_OP*SUM(NPuitkering_leeftijd!F43:F$49)/AVERAGE(Y42:Y$48)</f>
        <v>8.1395348837209294E-2</v>
      </c>
      <c r="AS42" s="50">
        <f>IFERROR( AQ42*SUM(AK42:AK$48), 0)</f>
        <v>8.3434621914488416E-2</v>
      </c>
      <c r="AT42" s="5">
        <f>AI42*AR43</f>
        <v>8.1313811089489853E-3</v>
      </c>
      <c r="AX42" s="20" cm="1">
        <f t="array" ref="AX42">IFERROR( $K42*SUMPRODUCT($P42:$P117, $C$6:$C$81, 1-$T42:$T117)/MIN($P41,1), 0)</f>
        <v>3.5570981160467315E-2</v>
      </c>
      <c r="AY42" s="5">
        <f t="shared" si="16"/>
        <v>0</v>
      </c>
      <c r="BC42" s="20" cm="1">
        <f t="array" ref="BC42">IFERROR($K42*SUMPRODUCT($P42:$P117, $C$6:$C$81, 1-$T42:$T117)/MIN($P42,1), 0)</f>
        <v>3.5763472958834648E-2</v>
      </c>
      <c r="BD42" s="5">
        <f>BC42*Settings!$I$3*$W42/$Y42</f>
        <v>2.5545337827739035E-2</v>
      </c>
      <c r="BG42" s="20">
        <f t="shared" si="47"/>
        <v>8.1417030301465701E-2</v>
      </c>
      <c r="BH42" s="5">
        <f>BG42*Settings!I$7*W42/$Y42</f>
        <v>5.815502164390407E-2</v>
      </c>
      <c r="BI42" s="5">
        <f>BG42*Settings!I$7*$X42/$Y42</f>
        <v>5.815502164390407E-2</v>
      </c>
      <c r="BJ42" s="5">
        <f>BG42*Settings!I$7*MAX(W42-voltijdfranchise/1000, 0)/$Y42</f>
        <v>4.070851515073285E-2</v>
      </c>
      <c r="BM42" s="15" cm="1">
        <f t="array" ref="BM42">IFERROR( $K42*SUMPRODUCT($P42:$P117, $C$6:$C$81, 1-$T42:$T117)/MIN($P42,1), 0)</f>
        <v>3.5763472958834648E-2</v>
      </c>
      <c r="BN42" s="5">
        <f>BM42*Settings!I$3*$W42/$Y42</f>
        <v>2.5545337827739035E-2</v>
      </c>
      <c r="BQ42" s="15"/>
      <c r="BR42" s="15">
        <f t="shared" si="48"/>
        <v>0.43205023439330897</v>
      </c>
      <c r="BS42" s="15">
        <f>BM42*(Settings!I$4*$W42/$Y42  - BR42)</f>
        <v>1.0093720953155758E-2</v>
      </c>
      <c r="BV42" s="20">
        <f t="shared" si="49"/>
        <v>8.1417030301465701E-2</v>
      </c>
      <c r="BW42" s="20">
        <f t="shared" si="50"/>
        <v>3.5116129524078308</v>
      </c>
      <c r="BX42" s="20">
        <f t="shared" si="51"/>
        <v>0.28476942463557192</v>
      </c>
      <c r="BY42" s="5">
        <f>IFERROR(Settings!O$5*AVERAGE(Y$6:Y$48)/SUMPRODUCT(Y$6:Y$48, BX$6:BX$48), 0)</f>
        <v>3.4197010420295985E-2</v>
      </c>
      <c r="BZ42" s="14">
        <f>IFERROR(BY42*SUMPRODUCT(Y42:Y$48, BX42:BX$48)/AVERAGE(Y42:Y$48), 0)</f>
        <v>6.8058607105921487E-2</v>
      </c>
      <c r="CA42" s="5">
        <f t="shared" si="52"/>
        <v>4.7482692247581811E-3</v>
      </c>
      <c r="CB42" s="5"/>
      <c r="CC42" s="5"/>
      <c r="CD42" s="20">
        <f t="shared" si="53"/>
        <v>0.11718050326030031</v>
      </c>
      <c r="CE42" s="20">
        <f t="shared" si="54"/>
        <v>2.8209188981981721</v>
      </c>
      <c r="CF42" s="73">
        <f t="shared" si="55"/>
        <v>0.35449441692164135</v>
      </c>
      <c r="CG42" s="5" cm="1">
        <f t="array" ref="CG42">IFERROR(Settings!O$6*AVERAGE(Y$6:Y$48)/SUMPRODUCT(Y$6:Y$48,1/CE$6:CE$48), 0)</f>
        <v>2.3794373702957207E-2</v>
      </c>
      <c r="CI42" s="18">
        <f t="shared" si="9"/>
        <v>61</v>
      </c>
      <c r="CJ42" s="90">
        <f t="shared" si="17"/>
        <v>4.1382460537383522E-2</v>
      </c>
      <c r="CK42" s="104">
        <f t="shared" si="18"/>
        <v>8.1313811089489853E-3</v>
      </c>
      <c r="CL42" s="106">
        <f t="shared" si="19"/>
        <v>0</v>
      </c>
      <c r="CM42" s="89">
        <f t="shared" si="20"/>
        <v>3.9159687171057347E-2</v>
      </c>
      <c r="CN42" s="104">
        <f t="shared" si="21"/>
        <v>7.9195313125685549E-3</v>
      </c>
      <c r="CO42" s="106">
        <f t="shared" si="22"/>
        <v>0</v>
      </c>
      <c r="CP42" s="89">
        <f t="shared" si="23"/>
        <v>2.3794373702957207E-2</v>
      </c>
      <c r="CQ42" s="87">
        <f t="shared" si="24"/>
        <v>2.5545337827739035E-2</v>
      </c>
      <c r="CR42" s="95">
        <f t="shared" si="25"/>
        <v>5.815502164390407E-2</v>
      </c>
      <c r="CS42" s="96">
        <f t="shared" si="26"/>
        <v>5.815502164390407E-2</v>
      </c>
      <c r="CT42" s="97">
        <f t="shared" si="27"/>
        <v>4.070851515073285E-2</v>
      </c>
      <c r="CU42" s="89">
        <f t="shared" si="28"/>
        <v>3.4197010420295985E-2</v>
      </c>
      <c r="CV42" s="87">
        <f t="shared" si="29"/>
        <v>2.5545337827739035E-2</v>
      </c>
      <c r="CW42" s="92">
        <f t="shared" si="30"/>
        <v>4.7482692247581811E-3</v>
      </c>
      <c r="CX42" s="89">
        <f t="shared" si="31"/>
        <v>3.9159687171057347E-2</v>
      </c>
      <c r="CY42" s="87">
        <f t="shared" si="32"/>
        <v>1.0093720953155758E-2</v>
      </c>
      <c r="CZ42" s="115">
        <f t="shared" si="33"/>
        <v>4.7482692247581811E-3</v>
      </c>
      <c r="DA42" s="11"/>
      <c r="DB42">
        <f t="shared" si="10"/>
        <v>61</v>
      </c>
      <c r="DC42" s="11">
        <f t="shared" si="63"/>
        <v>4.9513841646332504E-2</v>
      </c>
      <c r="DD42" s="11">
        <f t="shared" si="64"/>
        <v>4.7079218483625902E-2</v>
      </c>
      <c r="DE42" s="11">
        <f t="shared" si="34"/>
        <v>0.10749473317460032</v>
      </c>
      <c r="DF42" s="11">
        <f t="shared" si="35"/>
        <v>0.10749473317460032</v>
      </c>
      <c r="DG42" s="11">
        <f t="shared" si="36"/>
        <v>9.0048226681429089E-2</v>
      </c>
      <c r="DH42" s="11">
        <f t="shared" si="37"/>
        <v>6.4490617472793207E-2</v>
      </c>
      <c r="DI42" s="11">
        <f t="shared" si="38"/>
        <v>5.4001677348971287E-2</v>
      </c>
      <c r="DV42">
        <f t="shared" si="39"/>
        <v>61</v>
      </c>
      <c r="DW42" s="11">
        <f>SUMPRODUCT($B42:$B$48, $Y42:$Y$48, CK42:CK$48)/$B42/$Y42</f>
        <v>2.9676593362914051E-2</v>
      </c>
      <c r="DX42" s="11">
        <f>SUMPRODUCT($B42:$B$48, $Y42:$Y$48, CN42:CN$48)/$B42/$Y42</f>
        <v>2.9135834134623975E-2</v>
      </c>
      <c r="DY42" s="11" cm="1">
        <f t="array" ref="DY42">SUMPRODUCT($B42:$B$48, $Y42:$Y$48, $CQ42:$CQ$48 + CR42:CR$48)/$B42/$Y42</f>
        <v>0.63173436939842131</v>
      </c>
      <c r="DZ42" s="11" cm="1">
        <f t="array" ref="DZ42">SUMPRODUCT($B42:$B$48, $Y42:$Y$48, $CQ42:$CQ$48 + CS42:CS$48)/$B42/$Y42</f>
        <v>0.63173436939842131</v>
      </c>
      <c r="EA42" s="11" cm="1">
        <f t="array" ref="EA42">SUMPRODUCT($B42:$B$48, $Y42:$Y$48, $CQ42:$CQ$48 + CT42:CT$48)/$B42/$Y42</f>
        <v>0.47721485065256558</v>
      </c>
      <c r="EB42" s="11" cm="1">
        <f t="array" ref="EB42">SUMPRODUCT($B42:$B$48, $Y42:$Y$48, $CV42:$CV$48 + CW42:CW$48)/$B42/$Y42</f>
        <v>0.13562014202060596</v>
      </c>
      <c r="EC42" s="11" cm="1">
        <f t="array" ref="EC42">SUMPRODUCT($B42:$B$48, $Y42:$Y$48, $CY42:$CY$48 + CZ42:CZ$48)/$B42/$Y42</f>
        <v>6.1031103348368809E-2</v>
      </c>
      <c r="EE42" s="73">
        <f>Settings!T50</f>
        <v>61</v>
      </c>
      <c r="EF42" s="14">
        <f>SUMPRODUCT($B42:$B$48, $Y42:$Y$48, CK42:CK$48)/$B42/$AD41</f>
        <v>3.2126453480588015E-3</v>
      </c>
      <c r="EG42" s="14">
        <f>SUMPRODUCT($B42:$B$48, $Y42:$Y$48, CN42:CN$48)/$B42/$AD41</f>
        <v>3.1541053533248715E-3</v>
      </c>
      <c r="EH42" s="14" cm="1">
        <f t="array" ref="EH42">SUMPRODUCT($B42:$B$48, $Y42:$Y$48, $CQ42:$CQ$48 + CR42:CR$48)/$B42/$AD41</f>
        <v>6.838852621113016E-2</v>
      </c>
      <c r="EI42" s="14" cm="1">
        <f t="array" ref="EI42">SUMPRODUCT($B42:$B$48, $Y42:$Y$48, $CQ42:$CQ$48 + CS42:CS$48)/$B42/$AD41</f>
        <v>6.838852621113016E-2</v>
      </c>
      <c r="EJ42" s="14" cm="1">
        <f t="array" ref="EJ42">SUMPRODUCT($B42:$B$48, $Y42:$Y$48, $CQ42:$CQ$48 + CT42:CT$48)/$B42/$AD41</f>
        <v>5.1660985855925004E-2</v>
      </c>
      <c r="EK42" s="14" cm="1">
        <f t="array" ref="EK42">SUMPRODUCT($B42:$B$48, $Y42:$Y$48, $CV42:$CV$48 + CW42:CW$48)/$B42/$AD41</f>
        <v>1.4681584676429008E-2</v>
      </c>
      <c r="EL42" s="14" cm="1">
        <f t="array" ref="EL42">SUMPRODUCT($B42:$B$48, $Y42:$Y$48, $CY42:$CY$48 + CZ42:CZ$48)/$B42/$AD41</f>
        <v>6.6069338842664272E-3</v>
      </c>
    </row>
    <row r="43" spans="1:142" x14ac:dyDescent="0.25">
      <c r="A43">
        <v>37</v>
      </c>
      <c r="B43">
        <f>B42/(1+Settings!O$14)</f>
        <v>0.57644308900220986</v>
      </c>
      <c r="C43" s="73">
        <f>C42/(1+Settings!$O$15)</f>
        <v>0.57644308900220986</v>
      </c>
      <c r="D43" s="73">
        <f>D42/(1+Settings!$O$16)</f>
        <v>0.57644308900220986</v>
      </c>
      <c r="E43" s="73">
        <f>E42/(1+Settings!$O$17)</f>
        <v>0.57644308900220986</v>
      </c>
      <c r="F43" s="73">
        <f>F42/(1+Settings!$O$18)</f>
        <v>0.57644308900220986</v>
      </c>
      <c r="H43">
        <f>Grondslag!A39</f>
        <v>62</v>
      </c>
      <c r="I43" s="15">
        <f>IF(Settings!C$7="Unisex", overlevtafel!I69, IF(Settings!C$7="Man", overlevtafel!D69, IF(Settings!C$7="Vrouw",overlevtafel!G69) ) )/I$4</f>
        <v>0.9330036020683774</v>
      </c>
      <c r="J43" s="11">
        <f t="shared" si="58"/>
        <v>5.4622871438547715E-3</v>
      </c>
      <c r="K43" s="11">
        <f>IFERROR(J43/SUM(J43:J$100), 1)</f>
        <v>5.820443044087663E-3</v>
      </c>
      <c r="M43" s="20">
        <v>52</v>
      </c>
      <c r="N43" s="73">
        <f>IF(Settings!D$7="Unisex", overlevtafel!Q59, IF(Settings!D$7="Man", overlevtafel!L59, IF(Settings!D$7="Vrouw",overlevtafel!O59) ) )</f>
        <v>94595.5</v>
      </c>
      <c r="O43" s="20">
        <f t="shared" si="59"/>
        <v>62</v>
      </c>
      <c r="P43" s="15">
        <f t="shared" si="40"/>
        <v>0.93333974928935193</v>
      </c>
      <c r="R43" s="73">
        <f>1*($H43&gt;=Settings!D$10)</f>
        <v>0</v>
      </c>
      <c r="S43" s="73">
        <f t="shared" si="41"/>
        <v>62</v>
      </c>
      <c r="T43" s="73">
        <f>1*($S43&gt;=Settings!D$10)</f>
        <v>0</v>
      </c>
      <c r="V43" s="18">
        <f t="shared" si="8"/>
        <v>62</v>
      </c>
      <c r="W43">
        <f>Grondslag!J39</f>
        <v>50</v>
      </c>
      <c r="X43" s="73">
        <f t="shared" si="12"/>
        <v>50</v>
      </c>
      <c r="Y43">
        <f>Grondslag!S39</f>
        <v>35</v>
      </c>
      <c r="AA43" s="54">
        <f t="shared" si="42"/>
        <v>15.23222124692281</v>
      </c>
      <c r="AB43" s="14" cm="1">
        <f t="array" ref="AB43">IFERROR(Settings!O$3/NP_OP*AVERAGE(Y$6:Y$48)/SUM(Y$6:Y$48/AA$6:AA$48), 0)</f>
        <v>0.18717547021577788</v>
      </c>
      <c r="AC43" s="54">
        <f t="shared" si="43"/>
        <v>22.984507637110031</v>
      </c>
      <c r="AD43" s="54">
        <f t="shared" si="13"/>
        <v>350.105105580047</v>
      </c>
      <c r="AE43" s="14">
        <f t="shared" si="14"/>
        <v>0.65670021820314373</v>
      </c>
      <c r="AF43" s="52" cm="1">
        <f t="array" ref="AF43">IFERROR(AB43*SUMPRODUCT(Y43:Y$48,1/AA43:AA$48)/AVERAGE(Y$6:Y$48), 0)</f>
        <v>6.987362315094478E-2</v>
      </c>
      <c r="AG43" s="14" cm="1">
        <f t="array" ref="AG43">IFERROR( AB43*SUM(1/AA43:AA$48), 0)</f>
        <v>6.987362315094478E-2</v>
      </c>
      <c r="AI43" s="20">
        <f t="shared" si="60"/>
        <v>0.12128804659741237</v>
      </c>
      <c r="AJ43" s="20">
        <f t="shared" si="44"/>
        <v>3.5347813494322753</v>
      </c>
      <c r="AK43" s="20">
        <f t="shared" si="45"/>
        <v>0.28290292981222476</v>
      </c>
      <c r="AL43" s="5">
        <f>IFERROR( Settings!O$3*AVERAGE(Y$6:Y$48)/SUMPRODUCT(Y$6:Y$48, AK$6:AK$48), 0)</f>
        <v>3.9159687171057347E-2</v>
      </c>
      <c r="AM43" s="52">
        <f>IFERROR( AL43*SUMPRODUCT(Y43:Y$48, AK43:AK$48)/AVERAGE(Y$6:Y$48), 0)</f>
        <v>6.7949765606691123E-2</v>
      </c>
      <c r="AN43" s="14">
        <f>IFERROR(AL43*SUM(AK43:AK$48),0)</f>
        <v>6.7949765606691123E-2</v>
      </c>
      <c r="AO43" s="5">
        <f t="shared" si="46"/>
        <v>6.8978180265987918E-3</v>
      </c>
      <c r="AQ43" s="5">
        <f>NP_OP*NPuitkering_leeftijd!F44*AJ43/Y43</f>
        <v>4.1102108714328782E-2</v>
      </c>
      <c r="AR43" s="5">
        <f>NP_OP*SUM(NPuitkering_leeftijd!F44:F$49)/AVERAGE(Y43:Y$48)</f>
        <v>6.9767441860465129E-2</v>
      </c>
      <c r="AS43" s="50">
        <f>IFERROR( AQ43*SUM(AK43:AK$48), 0)</f>
        <v>7.1320249339059449E-2</v>
      </c>
      <c r="AT43" s="5">
        <f t="shared" si="15"/>
        <v>7.0516306161286261E-3</v>
      </c>
      <c r="AX43" s="20" cm="1">
        <f t="array" ref="AX43">IFERROR( $K43*SUMPRODUCT($P43:$P118, $C$6:$C$81, 1-$T43:$T118)/MIN($P42,1), 0)</f>
        <v>3.2912389279004556E-2</v>
      </c>
      <c r="AY43" s="5">
        <f t="shared" si="16"/>
        <v>0</v>
      </c>
      <c r="BC43" s="20" cm="1">
        <f t="array" ref="BC43">IFERROR($K43*SUMPRODUCT($P43:$P118, $C$6:$C$81, 1-$T43:$T118)/MIN($P43,1), 0)</f>
        <v>3.3102954767244758E-2</v>
      </c>
      <c r="BD43" s="5">
        <f>BC43*Settings!$I$3*$W43/$Y43</f>
        <v>2.3644967690889113E-2</v>
      </c>
      <c r="BG43" s="20">
        <f t="shared" si="47"/>
        <v>8.8887359770109586E-2</v>
      </c>
      <c r="BH43" s="5">
        <f>BG43*Settings!I$7*W43/$Y43</f>
        <v>6.3490971264363982E-2</v>
      </c>
      <c r="BI43" s="5">
        <f>BG43*Settings!I$7*$X43/$Y43</f>
        <v>6.3490971264363982E-2</v>
      </c>
      <c r="BJ43" s="5">
        <f>BG43*Settings!I$7*MAX(W43-voltijdfranchise/1000, 0)/$Y43</f>
        <v>4.4443679885054793E-2</v>
      </c>
      <c r="BM43" s="15" cm="1">
        <f t="array" ref="BM43">IFERROR( $K43*SUMPRODUCT($P43:$P118, $C$6:$C$81, 1-$T43:$T118)/MIN($P43,1), 0)</f>
        <v>3.3102954767244758E-2</v>
      </c>
      <c r="BN43" s="5">
        <f>BM43*Settings!I$3*$W43/$Y43</f>
        <v>2.3644967690889113E-2</v>
      </c>
      <c r="BQ43" s="15"/>
      <c r="BR43" s="15">
        <f t="shared" si="48"/>
        <v>0.44312862462453129</v>
      </c>
      <c r="BS43" s="15">
        <f>BM43*(Settings!I$4*$W43/$Y43  - BR43)</f>
        <v>8.9761008738718732E-3</v>
      </c>
      <c r="BV43" s="20">
        <f t="shared" si="49"/>
        <v>8.8887359770109586E-2</v>
      </c>
      <c r="BW43" s="20">
        <f t="shared" si="50"/>
        <v>3.5223092994454586</v>
      </c>
      <c r="BX43" s="20">
        <f t="shared" si="51"/>
        <v>0.28390465316530744</v>
      </c>
      <c r="BY43" s="5">
        <f>IFERROR(Settings!O$5*AVERAGE(Y$6:Y$48)/SUMPRODUCT(Y$6:Y$48, BX$6:BX$48), 0)</f>
        <v>3.4197010420295985E-2</v>
      </c>
      <c r="BZ43" s="14">
        <f>IFERROR(BY43*SUMPRODUCT(Y43:Y$48, BX43:BX$48)/AVERAGE(Y43:Y$48), 0)</f>
        <v>5.8320344124277161E-2</v>
      </c>
      <c r="CA43" s="5">
        <f t="shared" si="52"/>
        <v>4.3209615551507152E-3</v>
      </c>
      <c r="CB43" s="5"/>
      <c r="CC43" s="5"/>
      <c r="CD43" s="20">
        <f t="shared" si="53"/>
        <v>0.12199031453735439</v>
      </c>
      <c r="CE43" s="20">
        <f t="shared" si="54"/>
        <v>2.8966709464232068</v>
      </c>
      <c r="CF43" s="73">
        <f t="shared" si="55"/>
        <v>0.345223885797175</v>
      </c>
      <c r="CG43" s="5" cm="1">
        <f t="array" ref="CG43">IFERROR(Settings!O$6*AVERAGE(Y$6:Y$48)/SUMPRODUCT(Y$6:Y$48,1/CE$6:CE$48), 0)</f>
        <v>2.3794373702957207E-2</v>
      </c>
      <c r="CI43" s="18">
        <f t="shared" si="9"/>
        <v>62</v>
      </c>
      <c r="CJ43" s="90">
        <f t="shared" si="17"/>
        <v>4.1102108714328782E-2</v>
      </c>
      <c r="CK43" s="104">
        <f t="shared" si="18"/>
        <v>7.0516306161286261E-3</v>
      </c>
      <c r="CL43" s="106">
        <f t="shared" si="19"/>
        <v>0</v>
      </c>
      <c r="CM43" s="89">
        <f t="shared" si="20"/>
        <v>3.9159687171057347E-2</v>
      </c>
      <c r="CN43" s="104">
        <f t="shared" si="21"/>
        <v>6.8978180265987918E-3</v>
      </c>
      <c r="CO43" s="106">
        <f t="shared" si="22"/>
        <v>0</v>
      </c>
      <c r="CP43" s="89">
        <f t="shared" si="23"/>
        <v>2.3794373702957207E-2</v>
      </c>
      <c r="CQ43" s="87">
        <f t="shared" si="24"/>
        <v>2.3644967690889113E-2</v>
      </c>
      <c r="CR43" s="95">
        <f t="shared" si="25"/>
        <v>6.3490971264363982E-2</v>
      </c>
      <c r="CS43" s="96">
        <f t="shared" si="26"/>
        <v>6.3490971264363982E-2</v>
      </c>
      <c r="CT43" s="97">
        <f t="shared" si="27"/>
        <v>4.4443679885054793E-2</v>
      </c>
      <c r="CU43" s="89">
        <f t="shared" si="28"/>
        <v>3.4197010420295985E-2</v>
      </c>
      <c r="CV43" s="87">
        <f t="shared" si="29"/>
        <v>2.3644967690889113E-2</v>
      </c>
      <c r="CW43" s="92">
        <f t="shared" si="30"/>
        <v>4.3209615551507152E-3</v>
      </c>
      <c r="CX43" s="89">
        <f t="shared" si="31"/>
        <v>3.9159687171057347E-2</v>
      </c>
      <c r="CY43" s="87">
        <f t="shared" si="32"/>
        <v>8.9761008738718732E-3</v>
      </c>
      <c r="CZ43" s="115">
        <f t="shared" si="33"/>
        <v>4.3209615551507152E-3</v>
      </c>
      <c r="DA43" s="11"/>
      <c r="DB43">
        <f t="shared" si="10"/>
        <v>62</v>
      </c>
      <c r="DC43" s="11">
        <f t="shared" si="63"/>
        <v>4.8153739330457405E-2</v>
      </c>
      <c r="DD43" s="11">
        <f t="shared" si="64"/>
        <v>4.605750519765614E-2</v>
      </c>
      <c r="DE43" s="11">
        <f t="shared" si="34"/>
        <v>0.11093031265821029</v>
      </c>
      <c r="DF43" s="11">
        <f t="shared" si="35"/>
        <v>0.11093031265821029</v>
      </c>
      <c r="DG43" s="11">
        <f t="shared" si="36"/>
        <v>9.1883021278901106E-2</v>
      </c>
      <c r="DH43" s="11">
        <f t="shared" si="37"/>
        <v>6.2162939666335813E-2</v>
      </c>
      <c r="DI43" s="11">
        <f t="shared" si="38"/>
        <v>5.2456749600079934E-2</v>
      </c>
      <c r="DV43">
        <f t="shared" si="39"/>
        <v>62</v>
      </c>
      <c r="DW43" s="11">
        <f>SUMPRODUCT($B43:$B$48, $Y43:$Y$48, CK43:CK$48)/$B43/$Y43</f>
        <v>2.1868390437774547E-2</v>
      </c>
      <c r="DX43" s="11">
        <f>SUMPRODUCT($B43:$B$48, $Y43:$Y$48, CN43:CN$48)/$B43/$Y43</f>
        <v>2.1534547364386255E-2</v>
      </c>
      <c r="DY43" s="11" cm="1">
        <f t="array" ref="DY43">SUMPRODUCT($B43:$B$48, $Y43:$Y$48, $CQ43:$CQ$48 + CR43:CR$48)/$B43/$Y43</f>
        <v>0.55625452007567988</v>
      </c>
      <c r="DZ43" s="11" cm="1">
        <f t="array" ref="DZ43">SUMPRODUCT($B43:$B$48, $Y43:$Y$48, $CQ43:$CQ$48 + CS43:CS$48)/$B43/$Y43</f>
        <v>0.55625452007567988</v>
      </c>
      <c r="EA43" s="11" cm="1">
        <f t="array" ref="EA43">SUMPRODUCT($B43:$B$48, $Y43:$Y$48, $CQ43:$CQ$48 + CT43:CT$48)/$B43/$Y43</f>
        <v>0.41712541263920516</v>
      </c>
      <c r="EB43" s="11" cm="1">
        <f t="array" ref="EB43">SUMPRODUCT($B43:$B$48, $Y43:$Y$48, $CV43:$CV$48 + CW43:CW$48)/$B43/$Y43</f>
        <v>0.10690643299263035</v>
      </c>
      <c r="EC43" s="11" cm="1">
        <f t="array" ref="EC43">SUMPRODUCT($B43:$B$48, $Y43:$Y$48, $CY43:$CY$48 + CZ43:CZ$48)/$B43/$Y43</f>
        <v>4.6881949868011703E-2</v>
      </c>
      <c r="EE43" s="73">
        <f>Settings!T51</f>
        <v>62</v>
      </c>
      <c r="EF43" s="14">
        <f>SUMPRODUCT($B43:$B$48, $Y43:$Y$48, CK43:CK$48)/$B43/$AD42</f>
        <v>2.2745270865596884E-3</v>
      </c>
      <c r="EG43" s="14">
        <f>SUMPRODUCT($B43:$B$48, $Y43:$Y$48, CN43:CN$48)/$B43/$AD42</f>
        <v>2.239804132657678E-3</v>
      </c>
      <c r="EH43" s="14" cm="1">
        <f t="array" ref="EH43">SUMPRODUCT($B43:$B$48, $Y43:$Y$48, $CQ43:$CQ$48 + CR43:CR$48)/$B43/$AD42</f>
        <v>5.7855925726838689E-2</v>
      </c>
      <c r="EI43" s="14" cm="1">
        <f t="array" ref="EI43">SUMPRODUCT($B43:$B$48, $Y43:$Y$48, $CQ43:$CQ$48 + CS43:CS$48)/$B43/$AD42</f>
        <v>5.7855925726838689E-2</v>
      </c>
      <c r="EJ43" s="14" cm="1">
        <f t="array" ref="EJ43">SUMPRODUCT($B43:$B$48, $Y43:$Y$48, $CQ43:$CQ$48 + CT43:CT$48)/$B43/$AD42</f>
        <v>4.3385134001513219E-2</v>
      </c>
      <c r="EK43" s="14" cm="1">
        <f t="array" ref="EK43">SUMPRODUCT($B43:$B$48, $Y43:$Y$48, $CV43:$CV$48 + CW43:CW$48)/$B43/$AD42</f>
        <v>1.1119317549278288E-2</v>
      </c>
      <c r="EL43" s="14" cm="1">
        <f t="array" ref="EL43">SUMPRODUCT($B43:$B$48, $Y43:$Y$48, $CY43:$CY$48 + CZ43:CZ$48)/$B43/$AD42</f>
        <v>4.8761825955572127E-3</v>
      </c>
    </row>
    <row r="44" spans="1:142" x14ac:dyDescent="0.25">
      <c r="A44">
        <v>38</v>
      </c>
      <c r="B44">
        <f>B43/(1+Settings!O$14)</f>
        <v>0.56792422561794076</v>
      </c>
      <c r="C44" s="73">
        <f>C43/(1+Settings!$O$15)</f>
        <v>0.56792422561794076</v>
      </c>
      <c r="D44" s="73">
        <f>D43/(1+Settings!$O$16)</f>
        <v>0.56792422561794076</v>
      </c>
      <c r="E44" s="73">
        <f>E43/(1+Settings!$O$17)</f>
        <v>0.56792422561794076</v>
      </c>
      <c r="F44" s="73">
        <f>F43/(1+Settings!$O$18)</f>
        <v>0.56792422561794076</v>
      </c>
      <c r="H44">
        <f>Grondslag!A40</f>
        <v>63</v>
      </c>
      <c r="I44" s="15">
        <f>IF(Settings!C$7="Unisex", overlevtafel!I70, IF(Settings!C$7="Man", overlevtafel!D70, IF(Settings!C$7="Vrouw",overlevtafel!G70) ) )/I$4</f>
        <v>0.92718078567107676</v>
      </c>
      <c r="J44" s="11">
        <f t="shared" si="58"/>
        <v>5.8228163973006453E-3</v>
      </c>
      <c r="K44" s="11">
        <f>IFERROR(J44/SUM(J44:J$100), 1)</f>
        <v>6.2409368041974455E-3</v>
      </c>
      <c r="M44" s="20">
        <v>53</v>
      </c>
      <c r="N44" s="73">
        <f>IF(Settings!D$7="Unisex", overlevtafel!Q60, IF(Settings!D$7="Man", overlevtafel!L60, IF(Settings!D$7="Vrouw",overlevtafel!O60) ) )</f>
        <v>94377</v>
      </c>
      <c r="O44" s="20">
        <f t="shared" si="59"/>
        <v>63</v>
      </c>
      <c r="P44" s="15">
        <f t="shared" si="40"/>
        <v>0.92758068995813514</v>
      </c>
      <c r="R44" s="73">
        <f>1*($H44&gt;=Settings!D$10)</f>
        <v>0</v>
      </c>
      <c r="S44" s="73">
        <f t="shared" si="41"/>
        <v>63</v>
      </c>
      <c r="T44" s="73">
        <f>1*($S44&gt;=Settings!D$10)</f>
        <v>0</v>
      </c>
      <c r="V44" s="18">
        <f t="shared" si="8"/>
        <v>63</v>
      </c>
      <c r="W44">
        <f>Grondslag!J40</f>
        <v>50</v>
      </c>
      <c r="X44" s="73">
        <f t="shared" si="12"/>
        <v>50</v>
      </c>
      <c r="Y44">
        <f>Grondslag!S40</f>
        <v>35</v>
      </c>
      <c r="AA44" s="54">
        <f t="shared" si="42"/>
        <v>15.557799809024518</v>
      </c>
      <c r="AB44" s="14" cm="1">
        <f t="array" ref="AB44">IFERROR(Settings!O$3/NP_OP*AVERAGE(Y$6:Y$48)/SUM(Y$6:Y$48/AA$6:AA$48), 0)</f>
        <v>0.18717547021577788</v>
      </c>
      <c r="AC44" s="54">
        <f t="shared" si="43"/>
        <v>23.405591693851278</v>
      </c>
      <c r="AD44" s="54">
        <f t="shared" si="13"/>
        <v>364.13950998470523</v>
      </c>
      <c r="AE44" s="14">
        <f t="shared" si="14"/>
        <v>0.66873119125289371</v>
      </c>
      <c r="AF44" s="52" cm="1">
        <f t="array" ref="AF44">IFERROR(AB44*SUMPRODUCT(Y44:Y$48,1/AA44:AA$48)/AVERAGE(Y$6:Y$48), 0)</f>
        <v>5.7585496082570485E-2</v>
      </c>
      <c r="AG44" s="14" cm="1">
        <f t="array" ref="AG44">IFERROR( AB44*SUM(1/AA44:AA$48), 0)</f>
        <v>5.7585496082570499E-2</v>
      </c>
      <c r="AI44" s="20">
        <f>IFERROR($K44*SUMPRODUCT($P44:$P119, $E$6:$E$81)/MIN($P43,1), 0)</f>
        <v>0.12643091829355438</v>
      </c>
      <c r="AJ44" s="20">
        <f t="shared" si="44"/>
        <v>3.5081007525197623</v>
      </c>
      <c r="AK44" s="20">
        <f t="shared" si="45"/>
        <v>0.28505452680677157</v>
      </c>
      <c r="AL44" s="5">
        <f>IFERROR( Settings!O$3*AVERAGE(Y$6:Y$48)/SUMPRODUCT(Y$6:Y$48, AK$6:AK$48), 0)</f>
        <v>3.9159687171057347E-2</v>
      </c>
      <c r="AM44" s="52">
        <f>IFERROR( AL44*SUMPRODUCT(Y44:Y$48, AK44:AK$48)/AVERAGE(Y$6:Y$48), 0)</f>
        <v>5.6871375375468811E-2</v>
      </c>
      <c r="AN44" s="14">
        <f>IFERROR(AL44*SUM(AK44:AK$48),0)</f>
        <v>5.6871375375468818E-2</v>
      </c>
      <c r="AO44" s="5">
        <f t="shared" si="46"/>
        <v>5.778996616778209E-3</v>
      </c>
      <c r="AQ44" s="5">
        <f>NP_OP*NPuitkering_leeftijd!F45*AJ44/Y44</f>
        <v>4.0791869215346069E-2</v>
      </c>
      <c r="AR44" s="5">
        <f>NP_OP*SUM(NPuitkering_leeftijd!F45:F$49)/AVERAGE(Y44:Y$48)</f>
        <v>5.8139534883720929E-2</v>
      </c>
      <c r="AS44" s="50">
        <f>IFERROR( AQ44*SUM(AK44:AK$48), 0)</f>
        <v>5.9241783425879643E-2</v>
      </c>
      <c r="AT44" s="5">
        <f t="shared" si="15"/>
        <v>5.8805078276071799E-3</v>
      </c>
      <c r="AX44" s="20" cm="1">
        <f t="array" ref="AX44">IFERROR( $K44*SUMPRODUCT($P44:$P119, $C$6:$C$81, 1-$T44:$T119)/MIN($P43,1), 0)</f>
        <v>2.9692320101372759E-2</v>
      </c>
      <c r="AY44" s="5">
        <f t="shared" si="16"/>
        <v>0</v>
      </c>
      <c r="BC44" s="20" cm="1">
        <f t="array" ref="BC44">IFERROR($K44*SUMPRODUCT($P44:$P119, $C$6:$C$81, 1-$T44:$T119)/MIN($P44,1), 0)</f>
        <v>2.9876670460318895E-2</v>
      </c>
      <c r="BD44" s="5">
        <f>BC44*Settings!$I$3*$W44/$Y44</f>
        <v>2.1340478900227781E-2</v>
      </c>
      <c r="BG44" s="20">
        <f t="shared" si="47"/>
        <v>9.733921799015588E-2</v>
      </c>
      <c r="BH44" s="5">
        <f>BG44*Settings!I$7*W44/$Y44</f>
        <v>6.9528012850111343E-2</v>
      </c>
      <c r="BI44" s="5">
        <f>BG44*Settings!I$7*$X44/$Y44</f>
        <v>6.9528012850111343E-2</v>
      </c>
      <c r="BJ44" s="5">
        <f>BG44*Settings!I$7*MAX(W44-voltijdfranchise/1000, 0)/$Y44</f>
        <v>4.866960899507794E-2</v>
      </c>
      <c r="BM44" s="15" cm="1">
        <f t="array" ref="BM44">IFERROR( $K44*SUMPRODUCT($P44:$P119, $C$6:$C$81, 1-$T44:$T119)/MIN($P44,1), 0)</f>
        <v>2.9876670460318895E-2</v>
      </c>
      <c r="BN44" s="5">
        <f>BM44*Settings!I$3*$W44/$Y44</f>
        <v>2.1340478900227781E-2</v>
      </c>
      <c r="BQ44" s="15"/>
      <c r="BR44" s="15">
        <f t="shared" si="48"/>
        <v>0.45429127072097825</v>
      </c>
      <c r="BS44" s="15">
        <f>BM44*(Settings!I$4*$W44/$Y44  - BR44)</f>
        <v>7.7677683118975976E-3</v>
      </c>
      <c r="BV44" s="20">
        <f t="shared" si="49"/>
        <v>9.733921799015588E-2</v>
      </c>
      <c r="BW44" s="20">
        <f t="shared" si="50"/>
        <v>3.5285817260253314</v>
      </c>
      <c r="BX44" s="20">
        <f t="shared" si="51"/>
        <v>0.28339998266851002</v>
      </c>
      <c r="BY44" s="5">
        <f>IFERROR(Settings!O$5*AVERAGE(Y$6:Y$48)/SUMPRODUCT(Y$6:Y$48, BX$6:BX$48), 0)</f>
        <v>3.4197010420295985E-2</v>
      </c>
      <c r="BZ44" s="14">
        <f>IFERROR(BY44*SUMPRODUCT(Y44:Y$48, BX44:BX$48)/AVERAGE(Y44:Y$48), 0)</f>
        <v>4.8611653741612623E-2</v>
      </c>
      <c r="CA44" s="5">
        <f t="shared" si="52"/>
        <v>3.7884639327162221E-3</v>
      </c>
      <c r="CB44" s="5"/>
      <c r="CC44" s="5"/>
      <c r="CD44" s="20">
        <f t="shared" si="53"/>
        <v>0.1272158884504748</v>
      </c>
      <c r="CE44" s="20">
        <f t="shared" si="54"/>
        <v>2.9769542885905547</v>
      </c>
      <c r="CF44" s="73">
        <f t="shared" si="55"/>
        <v>0.33591379076010336</v>
      </c>
      <c r="CG44" s="5" cm="1">
        <f t="array" ref="CG44">IFERROR(Settings!O$6*AVERAGE(Y$6:Y$48)/SUMPRODUCT(Y$6:Y$48,1/CE$6:CE$48), 0)</f>
        <v>2.3794373702957207E-2</v>
      </c>
      <c r="CI44" s="18">
        <f t="shared" si="9"/>
        <v>63</v>
      </c>
      <c r="CJ44" s="90">
        <f t="shared" si="17"/>
        <v>4.0791869215346069E-2</v>
      </c>
      <c r="CK44" s="104">
        <f t="shared" si="18"/>
        <v>5.8805078276071799E-3</v>
      </c>
      <c r="CL44" s="106">
        <f t="shared" si="19"/>
        <v>0</v>
      </c>
      <c r="CM44" s="89">
        <f t="shared" si="20"/>
        <v>3.9159687171057347E-2</v>
      </c>
      <c r="CN44" s="104">
        <f t="shared" si="21"/>
        <v>5.778996616778209E-3</v>
      </c>
      <c r="CO44" s="106">
        <f t="shared" si="22"/>
        <v>0</v>
      </c>
      <c r="CP44" s="89">
        <f t="shared" si="23"/>
        <v>2.3794373702957207E-2</v>
      </c>
      <c r="CQ44" s="87">
        <f t="shared" si="24"/>
        <v>2.1340478900227781E-2</v>
      </c>
      <c r="CR44" s="95">
        <f t="shared" si="25"/>
        <v>6.9528012850111343E-2</v>
      </c>
      <c r="CS44" s="96">
        <f t="shared" si="26"/>
        <v>6.9528012850111343E-2</v>
      </c>
      <c r="CT44" s="97">
        <f t="shared" si="27"/>
        <v>4.866960899507794E-2</v>
      </c>
      <c r="CU44" s="89">
        <f t="shared" si="28"/>
        <v>3.4197010420295985E-2</v>
      </c>
      <c r="CV44" s="87">
        <f t="shared" si="29"/>
        <v>2.1340478900227781E-2</v>
      </c>
      <c r="CW44" s="92">
        <f t="shared" si="30"/>
        <v>3.7884639327162221E-3</v>
      </c>
      <c r="CX44" s="89">
        <f t="shared" si="31"/>
        <v>3.9159687171057347E-2</v>
      </c>
      <c r="CY44" s="87">
        <f t="shared" si="32"/>
        <v>7.7677683118975976E-3</v>
      </c>
      <c r="CZ44" s="115">
        <f t="shared" si="33"/>
        <v>3.7884639327162221E-3</v>
      </c>
      <c r="DA44" s="11"/>
      <c r="DB44">
        <f t="shared" si="10"/>
        <v>63</v>
      </c>
      <c r="DC44" s="11">
        <f t="shared" si="63"/>
        <v>4.6672377042953246E-2</v>
      </c>
      <c r="DD44" s="11">
        <f t="shared" si="64"/>
        <v>4.4938683787835554E-2</v>
      </c>
      <c r="DE44" s="11">
        <f t="shared" si="34"/>
        <v>0.11466286545329633</v>
      </c>
      <c r="DF44" s="11">
        <f t="shared" si="35"/>
        <v>0.11466286545329633</v>
      </c>
      <c r="DG44" s="11">
        <f t="shared" si="36"/>
        <v>9.3804461598262931E-2</v>
      </c>
      <c r="DH44" s="11">
        <f t="shared" si="37"/>
        <v>5.9325953253239992E-2</v>
      </c>
      <c r="DI44" s="11">
        <f t="shared" si="38"/>
        <v>5.0715919415671169E-2</v>
      </c>
      <c r="DV44">
        <f t="shared" si="39"/>
        <v>63</v>
      </c>
      <c r="DW44" s="11">
        <f>SUMPRODUCT($B44:$B$48, $Y44:$Y$48, CK44:CK$48)/$B44/$Y44</f>
        <v>1.5039011218970612E-2</v>
      </c>
      <c r="DX44" s="11">
        <f>SUMPRODUCT($B44:$B$48, $Y44:$Y$48, CN44:CN$48)/$B44/$Y44</f>
        <v>1.4856280277854274E-2</v>
      </c>
      <c r="DY44" s="11" cm="1">
        <f t="array" ref="DY44">SUMPRODUCT($B44:$B$48, $Y44:$Y$48, $CQ44:$CQ$48 + CR44:CR$48)/$B44/$Y44</f>
        <v>0.47615535983723323</v>
      </c>
      <c r="DZ44" s="11" cm="1">
        <f t="array" ref="DZ44">SUMPRODUCT($B44:$B$48, $Y44:$Y$48, $CQ44:$CQ$48 + CS44:CS$48)/$B44/$Y44</f>
        <v>0.47615535983723323</v>
      </c>
      <c r="EA44" s="11" cm="1">
        <f t="array" ref="EA44">SUMPRODUCT($B44:$B$48, $Y44:$Y$48, $CQ44:$CQ$48 + CT44:CT$48)/$B44/$Y44</f>
        <v>0.3542723165392101</v>
      </c>
      <c r="EB44" s="11" cm="1">
        <f t="array" ref="EB44">SUMPRODUCT($B44:$B$48, $Y44:$Y$48, $CV44:$CV$48 + CW44:CW$48)/$B44/$Y44</f>
        <v>8.0124611302789389E-2</v>
      </c>
      <c r="EC44" s="11" cm="1">
        <f t="array" ref="EC44">SUMPRODUCT($B44:$B$48, $Y44:$Y$48, $CY44:$CY$48 + CZ44:CZ$48)/$B44/$Y44</f>
        <v>3.408866075057395E-2</v>
      </c>
      <c r="EE44" s="73">
        <f>Settings!T52</f>
        <v>63</v>
      </c>
      <c r="EF44" s="14">
        <f>SUMPRODUCT($B44:$B$48, $Y44:$Y$48, CK44:CK$48)/$B44/$AD43</f>
        <v>1.5034496334804944E-3</v>
      </c>
      <c r="EG44" s="14">
        <f>SUMPRODUCT($B44:$B$48, $Y44:$Y$48, CN44:CN$48)/$B44/$AD43</f>
        <v>1.4851820251619132E-3</v>
      </c>
      <c r="EH44" s="14" cm="1">
        <f t="array" ref="EH44">SUMPRODUCT($B44:$B$48, $Y44:$Y$48, $CQ44:$CQ$48 + CR44:CR$48)/$B44/$AD43</f>
        <v>4.7601241252086875E-2</v>
      </c>
      <c r="EI44" s="14" cm="1">
        <f t="array" ref="EI44">SUMPRODUCT($B44:$B$48, $Y44:$Y$48, $CQ44:$CQ$48 + CS44:CS$48)/$B44/$AD43</f>
        <v>4.7601241252086875E-2</v>
      </c>
      <c r="EJ44" s="14" cm="1">
        <f t="array" ref="EJ44">SUMPRODUCT($B44:$B$48, $Y44:$Y$48, $CQ44:$CQ$48 + CT44:CT$48)/$B44/$AD43</f>
        <v>3.5416595991449661E-2</v>
      </c>
      <c r="EK44" s="14" cm="1">
        <f t="array" ref="EK44">SUMPRODUCT($B44:$B$48, $Y44:$Y$48, $CV44:$CV$48 + CW44:CW$48)/$B44/$AD43</f>
        <v>8.0100556972781643E-3</v>
      </c>
      <c r="EL44" s="14" cm="1">
        <f t="array" ref="EL44">SUMPRODUCT($B44:$B$48, $Y44:$Y$48, $CY44:$CY$48 + CZ44:CZ$48)/$B44/$AD43</f>
        <v>3.4078426942485722E-3</v>
      </c>
    </row>
    <row r="45" spans="1:142" x14ac:dyDescent="0.25">
      <c r="A45">
        <v>39</v>
      </c>
      <c r="B45">
        <f>B44/(1+Settings!O$14)</f>
        <v>0.55953125676644411</v>
      </c>
      <c r="C45" s="73">
        <f>C44/(1+Settings!$O$15)</f>
        <v>0.55953125676644411</v>
      </c>
      <c r="D45" s="73">
        <f>D44/(1+Settings!$O$16)</f>
        <v>0.55953125676644411</v>
      </c>
      <c r="E45" s="73">
        <f>E44/(1+Settings!$O$17)</f>
        <v>0.55953125676644411</v>
      </c>
      <c r="F45" s="73">
        <f>F44/(1+Settings!$O$18)</f>
        <v>0.55953125676644411</v>
      </c>
      <c r="H45">
        <f>Grondslag!A41</f>
        <v>64</v>
      </c>
      <c r="I45" s="15">
        <f>IF(Settings!C$7="Unisex", overlevtafel!I71, IF(Settings!C$7="Man", overlevtafel!D71, IF(Settings!C$7="Vrouw",overlevtafel!G71) ) )/I$4</f>
        <v>0.92098656928025624</v>
      </c>
      <c r="J45" s="11">
        <f t="shared" si="58"/>
        <v>6.1942163908205172E-3</v>
      </c>
      <c r="K45" s="11">
        <f>IFERROR(J45/SUM(J45:J$100), 1)</f>
        <v>6.6806998337233829E-3</v>
      </c>
      <c r="M45" s="20">
        <v>54</v>
      </c>
      <c r="N45" s="73">
        <f>IF(Settings!D$7="Unisex", overlevtafel!Q61, IF(Settings!D$7="Man", overlevtafel!L61, IF(Settings!D$7="Vrouw",overlevtafel!O61) ) )</f>
        <v>94138.5</v>
      </c>
      <c r="O45" s="20">
        <f t="shared" si="59"/>
        <v>64</v>
      </c>
      <c r="P45" s="15">
        <f t="shared" si="40"/>
        <v>0.92145408175459731</v>
      </c>
      <c r="R45" s="73">
        <f>1*($H45&gt;=Settings!D$10)</f>
        <v>0</v>
      </c>
      <c r="S45" s="73">
        <f t="shared" si="41"/>
        <v>64</v>
      </c>
      <c r="T45" s="73">
        <f>1*($S45&gt;=Settings!D$10)</f>
        <v>0</v>
      </c>
      <c r="V45" s="18">
        <f t="shared" si="8"/>
        <v>64</v>
      </c>
      <c r="W45">
        <f>Grondslag!J41</f>
        <v>50</v>
      </c>
      <c r="X45" s="73">
        <f t="shared" si="12"/>
        <v>50</v>
      </c>
      <c r="Y45">
        <f>Grondslag!S41</f>
        <v>35</v>
      </c>
      <c r="AA45" s="54">
        <f t="shared" si="42"/>
        <v>15.897372376928773</v>
      </c>
      <c r="AB45" s="14" cm="1">
        <f t="array" ref="AB45">IFERROR(Settings!O$3/NP_OP*AVERAGE(Y$6:Y$48)/SUM(Y$6:Y$48/AA$6:AA$48), 0)</f>
        <v>0.18717547021577788</v>
      </c>
      <c r="AC45" s="54">
        <f t="shared" si="43"/>
        <v>23.81768127080927</v>
      </c>
      <c r="AD45" s="54">
        <f t="shared" si="13"/>
        <v>378.63854831705709</v>
      </c>
      <c r="AE45" s="14">
        <f t="shared" si="14"/>
        <v>0.68050517916597919</v>
      </c>
      <c r="AF45" s="52" cm="1">
        <f t="array" ref="AF45">IFERROR(AB45*SUMPRODUCT(Y45:Y$48,1/AA45:AA$48)/AVERAGE(Y$6:Y$48), 0)</f>
        <v>4.5554523032820607E-2</v>
      </c>
      <c r="AG45" s="14" cm="1">
        <f t="array" ref="AG45">IFERROR( AB45*SUM(1/AA45:AA$48), 0)</f>
        <v>4.5554523032820621E-2</v>
      </c>
      <c r="AI45" s="20">
        <f t="shared" si="60"/>
        <v>0.13144185323050836</v>
      </c>
      <c r="AJ45" s="20">
        <f t="shared" si="44"/>
        <v>3.4784548662227919</v>
      </c>
      <c r="AK45" s="20">
        <f t="shared" si="45"/>
        <v>0.28748396585806124</v>
      </c>
      <c r="AL45" s="5">
        <f>IFERROR( Settings!O$3*AVERAGE(Y$6:Y$48)/SUMPRODUCT(Y$6:Y$48, AK$6:AK$48), 0)</f>
        <v>3.9159687171057347E-2</v>
      </c>
      <c r="AM45" s="52">
        <f>IFERROR( AL45*SUMPRODUCT(Y45:Y$48, AK45:AK$48)/AVERAGE(Y$6:Y$48), 0)</f>
        <v>4.5708729279021858E-2</v>
      </c>
      <c r="AN45" s="14">
        <f>IFERROR(AL45*SUM(AK45:AK$48),0)</f>
        <v>4.5708729279021858E-2</v>
      </c>
      <c r="AO45" s="5">
        <f t="shared" si="46"/>
        <v>4.528296333595935E-3</v>
      </c>
      <c r="AQ45" s="5">
        <f>NP_OP*NPuitkering_leeftijd!F46*AJ45/Y45</f>
        <v>4.0447149607241766E-2</v>
      </c>
      <c r="AR45" s="5">
        <f>NP_OP*SUM(NPuitkering_leeftijd!F46:F$49)/AVERAGE(Y45:Y$48)</f>
        <v>4.6511627906976744E-2</v>
      </c>
      <c r="AS45" s="50">
        <f>IFERROR( AQ45*SUM(AK45:AK$48), 0)</f>
        <v>4.7211506144817603E-2</v>
      </c>
      <c r="AT45" s="5">
        <f t="shared" si="15"/>
        <v>4.5851809266456408E-3</v>
      </c>
      <c r="AX45" s="20" cm="1">
        <f t="array" ref="AX45">IFERROR( $K45*SUMPRODUCT($P45:$P120, $C$6:$C$81, 1-$T45:$T120)/MIN($P44,1), 0)</f>
        <v>2.5680726397867542E-2</v>
      </c>
      <c r="AY45" s="5">
        <f t="shared" si="16"/>
        <v>0</v>
      </c>
      <c r="BC45" s="20" cm="1">
        <f t="array" ref="BC45">IFERROR($K45*SUMPRODUCT($P45:$P120, $C$6:$C$81, 1-$T45:$T120)/MIN($P45,1), 0)</f>
        <v>2.5851473646306002E-2</v>
      </c>
      <c r="BD45" s="5">
        <f>BC45*Settings!$I$3*$W45/$Y45</f>
        <v>1.8465338318789999E-2</v>
      </c>
      <c r="BG45" s="20">
        <f t="shared" si="47"/>
        <v>0.10646431649786478</v>
      </c>
      <c r="BH45" s="5">
        <f>BG45*Settings!I$7*W45/$Y45</f>
        <v>7.6045940355617708E-2</v>
      </c>
      <c r="BI45" s="5">
        <f>BG45*Settings!I$7*$X45/$Y45</f>
        <v>7.6045940355617708E-2</v>
      </c>
      <c r="BJ45" s="5">
        <f>BG45*Settings!I$7*MAX(W45-voltijdfranchise/1000, 0)/$Y45</f>
        <v>5.323215824893239E-2</v>
      </c>
      <c r="BM45" s="15" cm="1">
        <f t="array" ref="BM45">IFERROR( $K45*SUMPRODUCT($P45:$P120, $C$6:$C$81, 1-$T45:$T120)/MIN($P45,1), 0)</f>
        <v>2.5851473646306002E-2</v>
      </c>
      <c r="BN45" s="5">
        <f>BM45*Settings!I$3*$W45/$Y45</f>
        <v>1.8465338318789999E-2</v>
      </c>
      <c r="BQ45" s="15"/>
      <c r="BR45" s="15">
        <f t="shared" si="48"/>
        <v>0.46554905289067483</v>
      </c>
      <c r="BS45" s="15">
        <f>BM45*(Settings!I$4*$W45/$Y45  - BR45)</f>
        <v>6.4302092469240022E-3</v>
      </c>
      <c r="BV45" s="20">
        <f t="shared" si="49"/>
        <v>0.10646431649786478</v>
      </c>
      <c r="BW45" s="20">
        <f t="shared" si="50"/>
        <v>3.5294463340169693</v>
      </c>
      <c r="BX45" s="20">
        <f t="shared" si="51"/>
        <v>0.28333055821304126</v>
      </c>
      <c r="BY45" s="5">
        <f>IFERROR(Settings!O$5*AVERAGE(Y$6:Y$48)/SUMPRODUCT(Y$6:Y$48, BX$6:BX$48), 0)</f>
        <v>3.4197010420295985E-2</v>
      </c>
      <c r="BZ45" s="14">
        <f>IFERROR(BY45*SUMPRODUCT(Y45:Y$48, BX45:BX$48)/AVERAGE(Y45:Y$48), 0)</f>
        <v>3.8920221581185882E-2</v>
      </c>
      <c r="CA45" s="5">
        <f t="shared" si="52"/>
        <v>3.1120758456147108E-3</v>
      </c>
      <c r="CB45" s="5"/>
      <c r="CC45" s="5"/>
      <c r="CD45" s="20">
        <f t="shared" si="53"/>
        <v>0.13231579014417078</v>
      </c>
      <c r="CE45" s="20">
        <f t="shared" si="54"/>
        <v>3.0621561652366642</v>
      </c>
      <c r="CF45" s="73">
        <f t="shared" si="55"/>
        <v>0.32656727679423014</v>
      </c>
      <c r="CG45" s="5" cm="1">
        <f t="array" ref="CG45">IFERROR(Settings!O$6*AVERAGE(Y$6:Y$48)/SUMPRODUCT(Y$6:Y$48,1/CE$6:CE$48), 0)</f>
        <v>2.3794373702957207E-2</v>
      </c>
      <c r="CI45" s="18">
        <f t="shared" si="9"/>
        <v>64</v>
      </c>
      <c r="CJ45" s="90">
        <f t="shared" si="17"/>
        <v>4.0447149607241766E-2</v>
      </c>
      <c r="CK45" s="104">
        <f t="shared" si="18"/>
        <v>4.5851809266456408E-3</v>
      </c>
      <c r="CL45" s="106">
        <f t="shared" si="19"/>
        <v>0</v>
      </c>
      <c r="CM45" s="89">
        <f t="shared" si="20"/>
        <v>3.9159687171057347E-2</v>
      </c>
      <c r="CN45" s="104">
        <f t="shared" si="21"/>
        <v>4.528296333595935E-3</v>
      </c>
      <c r="CO45" s="106">
        <f t="shared" si="22"/>
        <v>0</v>
      </c>
      <c r="CP45" s="89">
        <f t="shared" si="23"/>
        <v>2.3794373702957207E-2</v>
      </c>
      <c r="CQ45" s="87">
        <f t="shared" si="24"/>
        <v>1.8465338318789999E-2</v>
      </c>
      <c r="CR45" s="95">
        <f t="shared" si="25"/>
        <v>7.6045940355617708E-2</v>
      </c>
      <c r="CS45" s="96">
        <f t="shared" si="26"/>
        <v>7.6045940355617708E-2</v>
      </c>
      <c r="CT45" s="97">
        <f t="shared" si="27"/>
        <v>5.323215824893239E-2</v>
      </c>
      <c r="CU45" s="89">
        <f t="shared" si="28"/>
        <v>3.4197010420295985E-2</v>
      </c>
      <c r="CV45" s="87">
        <f t="shared" si="29"/>
        <v>1.8465338318789999E-2</v>
      </c>
      <c r="CW45" s="92">
        <f t="shared" si="30"/>
        <v>3.1120758456147108E-3</v>
      </c>
      <c r="CX45" s="89">
        <f t="shared" si="31"/>
        <v>3.9159687171057347E-2</v>
      </c>
      <c r="CY45" s="87">
        <f t="shared" si="32"/>
        <v>6.4302092469240022E-3</v>
      </c>
      <c r="CZ45" s="115">
        <f t="shared" si="33"/>
        <v>3.1120758456147108E-3</v>
      </c>
      <c r="DA45" s="11"/>
      <c r="DB45">
        <f t="shared" si="10"/>
        <v>64</v>
      </c>
      <c r="DC45" s="11">
        <f t="shared" si="63"/>
        <v>4.5032330533887409E-2</v>
      </c>
      <c r="DD45" s="11">
        <f t="shared" si="64"/>
        <v>4.3687983504653284E-2</v>
      </c>
      <c r="DE45" s="11">
        <f t="shared" si="34"/>
        <v>0.11830565237736491</v>
      </c>
      <c r="DF45" s="11">
        <f t="shared" si="35"/>
        <v>0.11830565237736491</v>
      </c>
      <c r="DG45" s="11">
        <f t="shared" si="36"/>
        <v>9.5491870270679596E-2</v>
      </c>
      <c r="DH45" s="11">
        <f t="shared" si="37"/>
        <v>5.5774424584700694E-2</v>
      </c>
      <c r="DI45" s="11">
        <f t="shared" si="38"/>
        <v>4.8701972263596058E-2</v>
      </c>
      <c r="DV45">
        <f t="shared" si="39"/>
        <v>64</v>
      </c>
      <c r="DW45" s="11">
        <f>SUMPRODUCT($B45:$B$48, $Y45:$Y$48, CK45:CK$48)/$B45/$Y45</f>
        <v>9.2958809422338789E-3</v>
      </c>
      <c r="DX45" s="11">
        <f>SUMPRODUCT($B45:$B$48, $Y45:$Y$48, CN45:CN$48)/$B45/$Y45</f>
        <v>9.2134429159922045E-3</v>
      </c>
      <c r="DY45" s="11" cm="1">
        <f t="array" ref="DY45">SUMPRODUCT($B45:$B$48, $Y45:$Y$48, $CQ45:$CQ$48 + CR45:CR$48)/$B45/$Y45</f>
        <v>0.39106617110819747</v>
      </c>
      <c r="DZ45" s="11" cm="1">
        <f t="array" ref="DZ45">SUMPRODUCT($B45:$B$48, $Y45:$Y$48, $CQ45:$CQ$48 + CS45:CS$48)/$B45/$Y45</f>
        <v>0.39106617110819747</v>
      </c>
      <c r="EA45" s="11" cm="1">
        <f t="array" ref="EA45">SUMPRODUCT($B45:$B$48, $Y45:$Y$48, $CQ45:$CQ$48 + CT45:CT$48)/$B45/$Y45</f>
        <v>0.28852616207356291</v>
      </c>
      <c r="EB45" s="11" cm="1">
        <f t="array" ref="EB45">SUMPRODUCT($B45:$B$48, $Y45:$Y$48, $CV45:$CV$48 + CW45:CW$48)/$B45/$Y45</f>
        <v>5.5820603496893072E-2</v>
      </c>
      <c r="EC45" s="11" cm="1">
        <f t="array" ref="EC45">SUMPRODUCT($B45:$B$48, $Y45:$Y$48, $CY45:$CY$48 + CZ45:CZ$48)/$B45/$Y45</f>
        <v>2.2870414933549521E-2</v>
      </c>
      <c r="EE45" s="73">
        <f>Settings!T53</f>
        <v>64</v>
      </c>
      <c r="EF45" s="14">
        <f>SUMPRODUCT($B45:$B$48, $Y45:$Y$48, CK45:CK$48)/$B45/$AD44</f>
        <v>8.9349225793117454E-4</v>
      </c>
      <c r="EG45" s="14">
        <f>SUMPRODUCT($B45:$B$48, $Y45:$Y$48, CN45:CN$48)/$B45/$AD44</f>
        <v>8.8556856154739082E-4</v>
      </c>
      <c r="EH45" s="14" cm="1">
        <f t="array" ref="EH45">SUMPRODUCT($B45:$B$48, $Y45:$Y$48, $CQ45:$CQ$48 + CR45:CR$48)/$B45/$AD44</f>
        <v>3.7588110088251102E-2</v>
      </c>
      <c r="EI45" s="14" cm="1">
        <f t="array" ref="EI45">SUMPRODUCT($B45:$B$48, $Y45:$Y$48, $CQ45:$CQ$48 + CS45:CS$48)/$B45/$AD44</f>
        <v>3.7588110088251102E-2</v>
      </c>
      <c r="EJ45" s="14" cm="1">
        <f t="array" ref="EJ45">SUMPRODUCT($B45:$B$48, $Y45:$Y$48, $CQ45:$CQ$48 + CT45:CT$48)/$B45/$AD44</f>
        <v>2.7732271274267549E-2</v>
      </c>
      <c r="EK45" s="14" cm="1">
        <f t="array" ref="EK45">SUMPRODUCT($B45:$B$48, $Y45:$Y$48, $CV45:$CV$48 + CW45:CW$48)/$B45/$AD44</f>
        <v>5.3653093630881155E-3</v>
      </c>
      <c r="EL45" s="14" cm="1">
        <f t="array" ref="EL45">SUMPRODUCT($B45:$B$48, $Y45:$Y$48, $CY45:$CY$48 + CZ45:CZ$48)/$B45/$AD44</f>
        <v>2.1982358429269455E-3</v>
      </c>
    </row>
    <row r="46" spans="1:142" x14ac:dyDescent="0.25">
      <c r="A46">
        <v>40</v>
      </c>
      <c r="B46">
        <f>B45/(1+Settings!O$14)</f>
        <v>0.55126232193738345</v>
      </c>
      <c r="C46" s="73">
        <f>C45/(1+Settings!$O$15)</f>
        <v>0.55126232193738345</v>
      </c>
      <c r="D46" s="73">
        <f>D45/(1+Settings!$O$16)</f>
        <v>0.55126232193738345</v>
      </c>
      <c r="E46" s="73">
        <f>E45/(1+Settings!$O$17)</f>
        <v>0.55126232193738345</v>
      </c>
      <c r="F46" s="73">
        <f>F45/(1+Settings!$O$18)</f>
        <v>0.55126232193738345</v>
      </c>
      <c r="H46">
        <f>Grondslag!A42</f>
        <v>65</v>
      </c>
      <c r="I46" s="15">
        <f>IF(Settings!C$7="Unisex", overlevtafel!I72, IF(Settings!C$7="Man", overlevtafel!D72, IF(Settings!C$7="Vrouw",overlevtafel!G72) ) )/I$4</f>
        <v>0.91442554387643693</v>
      </c>
      <c r="J46" s="11">
        <f t="shared" si="58"/>
        <v>6.5610254038193094E-3</v>
      </c>
      <c r="K46" s="11">
        <f>IFERROR(J46/SUM(J46:J$100), 1)</f>
        <v>7.1239101210830253E-3</v>
      </c>
      <c r="M46" s="20">
        <v>55</v>
      </c>
      <c r="N46" s="73">
        <f>IF(Settings!D$7="Unisex", overlevtafel!Q62, IF(Settings!D$7="Man", overlevtafel!L62, IF(Settings!D$7="Vrouw",overlevtafel!O62) ) )</f>
        <v>93876.5</v>
      </c>
      <c r="O46" s="20">
        <f t="shared" si="59"/>
        <v>65</v>
      </c>
      <c r="P46" s="15">
        <f t="shared" si="40"/>
        <v>0.91496419867907541</v>
      </c>
      <c r="R46" s="73">
        <f>1*($H46&gt;=Settings!D$10)</f>
        <v>0</v>
      </c>
      <c r="S46" s="73">
        <f t="shared" si="41"/>
        <v>65</v>
      </c>
      <c r="T46" s="73">
        <f>1*($S46&gt;=Settings!D$10)</f>
        <v>0</v>
      </c>
      <c r="V46" s="18">
        <f t="shared" si="8"/>
        <v>65</v>
      </c>
      <c r="W46">
        <f>Grondslag!J42</f>
        <v>50</v>
      </c>
      <c r="X46" s="73">
        <f t="shared" si="12"/>
        <v>50</v>
      </c>
      <c r="Y46">
        <f>Grondslag!S42</f>
        <v>35</v>
      </c>
      <c r="AA46" s="54">
        <f t="shared" si="42"/>
        <v>16.251607954530655</v>
      </c>
      <c r="AB46" s="14" cm="1">
        <f t="array" ref="AB46">IFERROR(Settings!O$3/NP_OP*AVERAGE(Y$6:Y$48)/SUM(Y$6:Y$48/AA$6:AA$48), 0)</f>
        <v>0.18717547021577788</v>
      </c>
      <c r="AC46" s="54">
        <f t="shared" si="43"/>
        <v>24.220788549540167</v>
      </c>
      <c r="AD46" s="54">
        <f t="shared" si="13"/>
        <v>393.626759856712</v>
      </c>
      <c r="AE46" s="14">
        <f t="shared" si="14"/>
        <v>0.69202252998686187</v>
      </c>
      <c r="AF46" s="52" cm="1">
        <f t="array" ref="AF46">IFERROR(AB46*SUMPRODUCT(Y46:Y$48,1/AA46:AA$48)/AVERAGE(Y$6:Y$48), 0)</f>
        <v>3.378053511973516E-2</v>
      </c>
      <c r="AG46" s="14" cm="1">
        <f t="array" ref="AG46">IFERROR( AB46*SUM(1/AA46:AA$48), 0)</f>
        <v>3.3780535119735174E-2</v>
      </c>
      <c r="AI46" s="20">
        <f t="shared" si="60"/>
        <v>0.13597950969320213</v>
      </c>
      <c r="AJ46" s="20">
        <f t="shared" si="44"/>
        <v>3.4458628496473169</v>
      </c>
      <c r="AK46" s="20">
        <f t="shared" si="45"/>
        <v>0.29020307645220111</v>
      </c>
      <c r="AL46" s="5">
        <f>IFERROR( Settings!O$3*AVERAGE(Y$6:Y$48)/SUMPRODUCT(Y$6:Y$48, AK$6:AK$48), 0)</f>
        <v>3.9159687171057347E-2</v>
      </c>
      <c r="AM46" s="52">
        <f>IFERROR( AL46*SUMPRODUCT(Y46:Y$48, AK46:AK$48)/AVERAGE(Y$6:Y$48), 0)</f>
        <v>3.4450947109325246E-2</v>
      </c>
      <c r="AN46" s="14">
        <f>IFERROR(AL46*SUM(AK46:AK$48),0)</f>
        <v>3.4450947109325246E-2</v>
      </c>
      <c r="AO46" s="5">
        <f t="shared" si="46"/>
        <v>3.1393161637683015E-3</v>
      </c>
      <c r="AQ46" s="5">
        <f>NP_OP*NPuitkering_leeftijd!F47*AJ46/Y46</f>
        <v>4.0068172670317634E-2</v>
      </c>
      <c r="AR46" s="5">
        <f>NP_OP*SUM(NPuitkering_leeftijd!F47:F$49)/AVERAGE(Y46:Y$48)</f>
        <v>3.4883720930232558E-2</v>
      </c>
      <c r="AS46" s="50">
        <f>IFERROR( AQ46*SUM(AK46:AK$48), 0)</f>
        <v>3.5250192153032781E-2</v>
      </c>
      <c r="AT46" s="5">
        <f t="shared" si="15"/>
        <v>3.1623141789116774E-3</v>
      </c>
      <c r="AX46" s="20" cm="1">
        <f t="array" ref="AX46">IFERROR( $K46*SUMPRODUCT($P46:$P121, $C$6:$C$81, 1-$T46:$T121)/MIN($P45,1), 0)</f>
        <v>2.0749238266416788E-2</v>
      </c>
      <c r="AY46" s="5">
        <f t="shared" si="16"/>
        <v>0</v>
      </c>
      <c r="BC46" s="20" cm="1">
        <f t="array" ref="BC46">IFERROR($K46*SUMPRODUCT($P46:$P121, $C$6:$C$81, 1-$T46:$T121)/MIN($P46,1), 0)</f>
        <v>2.0896413566225892E-2</v>
      </c>
      <c r="BD46" s="5">
        <f>BC46*Settings!$I$3*$W46/$Y46</f>
        <v>1.492600969016135E-2</v>
      </c>
      <c r="BG46" s="20">
        <f t="shared" si="47"/>
        <v>0.11604760503328074</v>
      </c>
      <c r="BH46" s="5">
        <f>BG46*Settings!I$7*W46/$Y46</f>
        <v>8.2891146452343384E-2</v>
      </c>
      <c r="BI46" s="5">
        <f>BG46*Settings!I$7*$X46/$Y46</f>
        <v>8.2891146452343384E-2</v>
      </c>
      <c r="BJ46" s="5">
        <f>BG46*Settings!I$7*MAX(W46-voltijdfranchise/1000, 0)/$Y46</f>
        <v>5.8023802516640369E-2</v>
      </c>
      <c r="BM46" s="15" cm="1">
        <f t="array" ref="BM46">IFERROR( $K46*SUMPRODUCT($P46:$P121, $C$6:$C$81, 1-$T46:$T121)/MIN($P46,1), 0)</f>
        <v>2.0896413566225892E-2</v>
      </c>
      <c r="BN46" s="5">
        <f>BM46*Settings!I$3*$W46/$Y46</f>
        <v>1.492600969016135E-2</v>
      </c>
      <c r="BQ46" s="15"/>
      <c r="BR46" s="15">
        <f t="shared" si="48"/>
        <v>0.47691331458062147</v>
      </c>
      <c r="BS46" s="15">
        <f>BM46*(Settings!I$4*$W46/$Y46  - BR46)</f>
        <v>4.9602318334450966E-3</v>
      </c>
      <c r="BV46" s="20">
        <f t="shared" si="49"/>
        <v>0.11604760503328074</v>
      </c>
      <c r="BW46" s="20">
        <f t="shared" si="50"/>
        <v>3.524075503559176</v>
      </c>
      <c r="BX46" s="20">
        <f t="shared" si="51"/>
        <v>0.28376236519054143</v>
      </c>
      <c r="BY46" s="5">
        <f>IFERROR(Settings!O$5*AVERAGE(Y$6:Y$48)/SUMPRODUCT(Y$6:Y$48, BX$6:BX$48), 0)</f>
        <v>3.4197010420295985E-2</v>
      </c>
      <c r="BZ46" s="14">
        <f>IFERROR(BY46*SUMPRODUCT(Y46:Y$48, BX46:BX$48)/AVERAGE(Y46:Y$48), 0)</f>
        <v>2.9231163529586233E-2</v>
      </c>
      <c r="CA46" s="5">
        <f t="shared" si="52"/>
        <v>2.2661009201737489E-3</v>
      </c>
      <c r="CB46" s="5"/>
      <c r="CC46" s="5"/>
      <c r="CD46" s="20">
        <f t="shared" si="53"/>
        <v>0.13694401859950656</v>
      </c>
      <c r="CE46" s="20">
        <f t="shared" si="54"/>
        <v>3.1525931117232386</v>
      </c>
      <c r="CF46" s="73">
        <f t="shared" si="55"/>
        <v>0.31719919588779094</v>
      </c>
      <c r="CG46" s="5" cm="1">
        <f t="array" ref="CG46">IFERROR(Settings!O$6*AVERAGE(Y$6:Y$48)/SUMPRODUCT(Y$6:Y$48,1/CE$6:CE$48), 0)</f>
        <v>2.3794373702957207E-2</v>
      </c>
      <c r="CI46" s="18">
        <f t="shared" si="9"/>
        <v>65</v>
      </c>
      <c r="CJ46" s="90">
        <f t="shared" si="17"/>
        <v>4.0068172670317634E-2</v>
      </c>
      <c r="CK46" s="104">
        <f t="shared" si="18"/>
        <v>3.1623141789116774E-3</v>
      </c>
      <c r="CL46" s="106">
        <f t="shared" si="19"/>
        <v>0</v>
      </c>
      <c r="CM46" s="89">
        <f t="shared" si="20"/>
        <v>3.9159687171057347E-2</v>
      </c>
      <c r="CN46" s="104">
        <f t="shared" si="21"/>
        <v>3.1393161637683015E-3</v>
      </c>
      <c r="CO46" s="106">
        <f t="shared" si="22"/>
        <v>0</v>
      </c>
      <c r="CP46" s="89">
        <f t="shared" si="23"/>
        <v>2.3794373702957207E-2</v>
      </c>
      <c r="CQ46" s="87">
        <f t="shared" si="24"/>
        <v>1.492600969016135E-2</v>
      </c>
      <c r="CR46" s="95">
        <f t="shared" si="25"/>
        <v>8.2891146452343384E-2</v>
      </c>
      <c r="CS46" s="96">
        <f t="shared" si="26"/>
        <v>8.2891146452343384E-2</v>
      </c>
      <c r="CT46" s="97">
        <f t="shared" si="27"/>
        <v>5.8023802516640369E-2</v>
      </c>
      <c r="CU46" s="89">
        <f t="shared" si="28"/>
        <v>3.4197010420295985E-2</v>
      </c>
      <c r="CV46" s="87">
        <f t="shared" si="29"/>
        <v>1.492600969016135E-2</v>
      </c>
      <c r="CW46" s="92">
        <f t="shared" si="30"/>
        <v>2.2661009201737489E-3</v>
      </c>
      <c r="CX46" s="89">
        <f t="shared" si="31"/>
        <v>3.9159687171057347E-2</v>
      </c>
      <c r="CY46" s="87">
        <f t="shared" si="32"/>
        <v>4.9602318334450966E-3</v>
      </c>
      <c r="CZ46" s="115">
        <f t="shared" si="33"/>
        <v>2.2661009201737489E-3</v>
      </c>
      <c r="DA46" s="11"/>
      <c r="DB46">
        <f t="shared" si="10"/>
        <v>65</v>
      </c>
      <c r="DC46" s="11">
        <f t="shared" si="63"/>
        <v>4.323048684922931E-2</v>
      </c>
      <c r="DD46" s="11">
        <f t="shared" si="64"/>
        <v>4.2299003334825648E-2</v>
      </c>
      <c r="DE46" s="11">
        <f t="shared" si="34"/>
        <v>0.12161152984546195</v>
      </c>
      <c r="DF46" s="11">
        <f t="shared" si="35"/>
        <v>0.12161152984546195</v>
      </c>
      <c r="DG46" s="11">
        <f t="shared" si="36"/>
        <v>9.6744185909758917E-2</v>
      </c>
      <c r="DH46" s="11">
        <f t="shared" si="37"/>
        <v>5.1389121030631084E-2</v>
      </c>
      <c r="DI46" s="11">
        <f t="shared" si="38"/>
        <v>4.6386019924676197E-2</v>
      </c>
      <c r="DV46">
        <f t="shared" si="39"/>
        <v>65</v>
      </c>
      <c r="DW46" s="11">
        <f>SUMPRODUCT($B46:$B$48, $Y46:$Y$48, CK46:CK$48)/$B46/$Y46</f>
        <v>4.7813605158220614E-3</v>
      </c>
      <c r="DX46" s="11">
        <f>SUMPRODUCT($B46:$B$48, $Y46:$Y$48, CN46:CN$48)/$B46/$Y46</f>
        <v>4.7554237811322127E-3</v>
      </c>
      <c r="DY46" s="11" cm="1">
        <f t="array" ref="DY46">SUMPRODUCT($B46:$B$48, $Y46:$Y$48, $CQ46:$CQ$48 + CR46:CR$48)/$B46/$Y46</f>
        <v>0.30100321582029654</v>
      </c>
      <c r="DZ46" s="11" cm="1">
        <f t="array" ref="DZ46">SUMPRODUCT($B46:$B$48, $Y46:$Y$48, $CQ46:$CQ$48 + CS46:CS$48)/$B46/$Y46</f>
        <v>0.30100321582029654</v>
      </c>
      <c r="EA46" s="11" cm="1">
        <f t="array" ref="EA46">SUMPRODUCT($B46:$B$48, $Y46:$Y$48, $CQ46:$CQ$48 + CT46:CT$48)/$B46/$Y46</f>
        <v>0.22008109548842811</v>
      </c>
      <c r="EB46" s="11" cm="1">
        <f t="array" ref="EB46">SUMPRODUCT($B46:$B$48, $Y46:$Y$48, $CV46:$CV$48 + CW46:CW$48)/$B46/$Y46</f>
        <v>3.4756837172475678E-2</v>
      </c>
      <c r="EC46" s="11" cm="1">
        <f t="array" ref="EC46">SUMPRODUCT($B46:$B$48, $Y46:$Y$48, $CY46:$CY$48 + CZ46:CZ$48)/$B46/$Y46</f>
        <v>1.3528051788625971E-2</v>
      </c>
      <c r="EE46" s="73">
        <f>Settings!T54</f>
        <v>65</v>
      </c>
      <c r="EF46" s="14">
        <f>SUMPRODUCT($B46:$B$48, $Y46:$Y$48, CK46:CK$48)/$B46/$AD45</f>
        <v>4.4197195134406075E-4</v>
      </c>
      <c r="EG46" s="14">
        <f>SUMPRODUCT($B46:$B$48, $Y46:$Y$48, CN46:CN$48)/$B46/$AD45</f>
        <v>4.3957445188665063E-4</v>
      </c>
      <c r="EH46" s="14" cm="1">
        <f t="array" ref="EH46">SUMPRODUCT($B46:$B$48, $Y46:$Y$48, $CQ46:$CQ$48 + CR46:CR$48)/$B46/$AD45</f>
        <v>2.7823666133667636E-2</v>
      </c>
      <c r="EI46" s="14" cm="1">
        <f t="array" ref="EI46">SUMPRODUCT($B46:$B$48, $Y46:$Y$48, $CQ46:$CQ$48 + CS46:CS$48)/$B46/$AD45</f>
        <v>2.7823666133667636E-2</v>
      </c>
      <c r="EJ46" s="14" cm="1">
        <f t="array" ref="EJ46">SUMPRODUCT($B46:$B$48, $Y46:$Y$48, $CQ46:$CQ$48 + CT46:CT$48)/$B46/$AD45</f>
        <v>2.0343513296076046E-2</v>
      </c>
      <c r="EK46" s="14" cm="1">
        <f t="array" ref="EK46">SUMPRODUCT($B46:$B$48, $Y46:$Y$48, $CV46:$CV$48 + CW46:CW$48)/$B46/$AD45</f>
        <v>3.2127983440767053E-3</v>
      </c>
      <c r="EL46" s="14" cm="1">
        <f t="array" ref="EL46">SUMPRODUCT($B46:$B$48, $Y46:$Y$48, $CY46:$CY$48 + CZ46:CZ$48)/$B46/$AD45</f>
        <v>1.2504849670124814E-3</v>
      </c>
    </row>
    <row r="47" spans="1:142" x14ac:dyDescent="0.25">
      <c r="A47">
        <v>41</v>
      </c>
      <c r="B47">
        <f>B46/(1+Settings!O$14)</f>
        <v>0.54311558811564875</v>
      </c>
      <c r="C47" s="73">
        <f>C46/(1+Settings!$O$15)</f>
        <v>0.54311558811564875</v>
      </c>
      <c r="D47" s="73">
        <f>D46/(1+Settings!$O$16)</f>
        <v>0.54311558811564875</v>
      </c>
      <c r="E47" s="73">
        <f>E46/(1+Settings!$O$17)</f>
        <v>0.54311558811564875</v>
      </c>
      <c r="F47" s="73">
        <f>F46/(1+Settings!$O$18)</f>
        <v>0.54311558811564875</v>
      </c>
      <c r="H47">
        <f>Grondslag!A43</f>
        <v>66</v>
      </c>
      <c r="I47" s="15">
        <f>IF(Settings!C$7="Unisex", overlevtafel!I73, IF(Settings!C$7="Man", overlevtafel!D73, IF(Settings!C$7="Vrouw",overlevtafel!G73) ) )/I$4</f>
        <v>0.90743867595446726</v>
      </c>
      <c r="J47" s="11">
        <f t="shared" si="58"/>
        <v>6.986867921969675E-3</v>
      </c>
      <c r="K47" s="11">
        <f>IFERROR(J47/SUM(J47:J$100), 1)</f>
        <v>7.6407183911915439E-3</v>
      </c>
      <c r="M47" s="20">
        <v>56</v>
      </c>
      <c r="N47" s="73">
        <f>IF(Settings!D$7="Unisex", overlevtafel!Q63, IF(Settings!D$7="Man", overlevtafel!L63, IF(Settings!D$7="Vrouw",overlevtafel!O63) ) )</f>
        <v>93535.85517086761</v>
      </c>
      <c r="O47" s="20">
        <f t="shared" si="59"/>
        <v>66</v>
      </c>
      <c r="P47" s="15">
        <f t="shared" si="40"/>
        <v>0.90805506798729596</v>
      </c>
      <c r="R47" s="73">
        <f>1*($H47&gt;=Settings!D$10)</f>
        <v>0</v>
      </c>
      <c r="S47" s="73">
        <f t="shared" si="41"/>
        <v>66</v>
      </c>
      <c r="T47" s="73">
        <f>1*($S47&gt;=Settings!D$10)</f>
        <v>0</v>
      </c>
      <c r="V47" s="18">
        <f t="shared" si="8"/>
        <v>66</v>
      </c>
      <c r="W47">
        <f>Grondslag!J43</f>
        <v>50</v>
      </c>
      <c r="X47" s="73">
        <f t="shared" si="12"/>
        <v>50</v>
      </c>
      <c r="Y47">
        <f>Grondslag!S43</f>
        <v>35</v>
      </c>
      <c r="AA47" s="54">
        <f t="shared" si="42"/>
        <v>16.622389064983498</v>
      </c>
      <c r="AB47" s="14" cm="1">
        <f t="array" ref="AB47">IFERROR(Settings!O$3/NP_OP*AVERAGE(Y$6:Y$48)/SUM(Y$6:Y$48/AA$6:AA$48), 0)</f>
        <v>0.18717547021577788</v>
      </c>
      <c r="AC47" s="54">
        <f t="shared" si="43"/>
        <v>24.614904066385623</v>
      </c>
      <c r="AD47" s="54">
        <f t="shared" si="13"/>
        <v>409.1585121887062</v>
      </c>
      <c r="AE47" s="14">
        <f t="shared" si="14"/>
        <v>0.70328297332530354</v>
      </c>
      <c r="AF47" s="52" cm="1">
        <f t="array" ref="AF47">IFERROR(AB47*SUMPRODUCT(Y47:Y$48,1/AA47:AA$48)/AVERAGE(Y$6:Y$48), 0)</f>
        <v>2.2263184298852438E-2</v>
      </c>
      <c r="AG47" s="14" cm="1">
        <f t="array" ref="AG47">IFERROR( AB47*SUM(1/AA47:AA$48), 0)</f>
        <v>2.2263184298852445E-2</v>
      </c>
      <c r="AI47" s="20">
        <f t="shared" si="60"/>
        <v>0.14132655474890746</v>
      </c>
      <c r="AJ47" s="20">
        <f t="shared" si="44"/>
        <v>3.4111569922259584</v>
      </c>
      <c r="AK47" s="20">
        <f t="shared" si="45"/>
        <v>0.29315566603325627</v>
      </c>
      <c r="AL47" s="5">
        <f>IFERROR( Settings!O$3*AVERAGE(Y$6:Y$48)/SUMPRODUCT(Y$6:Y$48, AK$6:AK$48), 0)</f>
        <v>3.9159687171057347E-2</v>
      </c>
      <c r="AM47" s="52">
        <f>IFERROR( AL47*SUMPRODUCT(Y47:Y$48, AK47:AK$48)/AVERAGE(Y$6:Y$48), 0)</f>
        <v>2.3086685419378611E-2</v>
      </c>
      <c r="AN47" s="14">
        <f>IFERROR(AL47*SUM(AK47:AK$48),0)</f>
        <v>2.3086685419378607E-2</v>
      </c>
      <c r="AO47" s="5">
        <f t="shared" si="46"/>
        <v>1.6403492316243702E-3</v>
      </c>
      <c r="AQ47" s="5">
        <f>NP_OP*NPuitkering_leeftijd!F48*AJ47/Y47</f>
        <v>3.9664616188673937E-2</v>
      </c>
      <c r="AR47" s="5">
        <f>NP_OP*SUM(NPuitkering_leeftijd!F48:F$49)/AVERAGE(Y47:Y$48)</f>
        <v>2.3255813953488372E-2</v>
      </c>
      <c r="AS47" s="50">
        <f>IFERROR( AQ47*SUM(AK47:AK$48), 0)</f>
        <v>2.3384367506007885E-2</v>
      </c>
      <c r="AT47" s="5">
        <f t="shared" si="15"/>
        <v>1.6433320319640401E-3</v>
      </c>
      <c r="AX47" s="20" cm="1">
        <f t="array" ref="AX47">IFERROR( $K47*SUMPRODUCT($P47:$P122, $C$6:$C$81, 1-$T47:$T122)/MIN($P46,1), 0)</f>
        <v>1.4993212415109012E-2</v>
      </c>
      <c r="AY47" s="5">
        <f t="shared" si="16"/>
        <v>0</v>
      </c>
      <c r="BC47" s="20" cm="1">
        <f t="array" ref="BC47">IFERROR($K47*SUMPRODUCT($P47:$P122, $C$6:$C$81, 1-$T47:$T122)/MIN($P47,1), 0)</f>
        <v>1.5107291470132851E-2</v>
      </c>
      <c r="BD47" s="5">
        <f>BC47*Settings!$I$3*$W47/$Y47</f>
        <v>1.0790922478666322E-2</v>
      </c>
      <c r="BG47" s="20">
        <f t="shared" si="47"/>
        <v>0.12729457651846984</v>
      </c>
      <c r="BH47" s="5">
        <f>BG47*Settings!I$7*W47/$Y47</f>
        <v>9.0924697513192737E-2</v>
      </c>
      <c r="BI47" s="5">
        <f>BG47*Settings!I$7*$X47/$Y47</f>
        <v>9.0924697513192737E-2</v>
      </c>
      <c r="BJ47" s="5">
        <f>BG47*Settings!I$7*MAX(W47-voltijdfranchise/1000, 0)/$Y47</f>
        <v>6.3647288259234922E-2</v>
      </c>
      <c r="BM47" s="15" cm="1">
        <f t="array" ref="BM47">IFERROR( $K47*SUMPRODUCT($P47:$P122, $C$6:$C$81, 1-$T47:$T122)/MIN($P47,1), 0)</f>
        <v>1.5107291470132851E-2</v>
      </c>
      <c r="BN47" s="5">
        <f>BM47*Settings!I$3*$W47/$Y47</f>
        <v>1.0790922478666322E-2</v>
      </c>
      <c r="BQ47" s="15"/>
      <c r="BR47" s="15">
        <f t="shared" si="48"/>
        <v>0.48839319875490678</v>
      </c>
      <c r="BS47" s="15">
        <f>BM47*(Settings!I$4*$W47/$Y47  - BR47)</f>
        <v>3.4126240730454212E-3</v>
      </c>
      <c r="BV47" s="20">
        <f t="shared" si="49"/>
        <v>0.12729457651846984</v>
      </c>
      <c r="BW47" s="20">
        <f t="shared" si="50"/>
        <v>3.5123045140071025</v>
      </c>
      <c r="BX47" s="20">
        <f t="shared" si="51"/>
        <v>0.28471335444065027</v>
      </c>
      <c r="BY47" s="5">
        <f>IFERROR(Settings!O$5*AVERAGE(Y$6:Y$48)/SUMPRODUCT(Y$6:Y$48, BX$6:BX$48), 0)</f>
        <v>3.4197010420295985E-2</v>
      </c>
      <c r="BZ47" s="14">
        <f>IFERROR(BY47*SUMPRODUCT(Y47:Y$48, BX47:BX$48)/AVERAGE(Y47:Y$48), 0)</f>
        <v>1.9527338970277454E-2</v>
      </c>
      <c r="CA47" s="5">
        <f t="shared" si="52"/>
        <v>1.2463403613070026E-3</v>
      </c>
      <c r="CB47" s="5"/>
      <c r="CC47" s="5"/>
      <c r="CD47" s="20">
        <f t="shared" si="53"/>
        <v>0.14240186798860271</v>
      </c>
      <c r="CE47" s="20">
        <f t="shared" si="54"/>
        <v>3.2490541001506075</v>
      </c>
      <c r="CF47" s="73">
        <f t="shared" si="55"/>
        <v>0.30778188641230864</v>
      </c>
      <c r="CG47" s="5" cm="1">
        <f t="array" ref="CG47">IFERROR(Settings!O$6*AVERAGE(Y$6:Y$48)/SUMPRODUCT(Y$6:Y$48,1/CE$6:CE$48), 0)</f>
        <v>2.3794373702957207E-2</v>
      </c>
      <c r="CI47" s="18">
        <f t="shared" si="9"/>
        <v>66</v>
      </c>
      <c r="CJ47" s="90">
        <f t="shared" si="17"/>
        <v>3.9664616188673937E-2</v>
      </c>
      <c r="CK47" s="104">
        <f t="shared" si="18"/>
        <v>1.6433320319640401E-3</v>
      </c>
      <c r="CL47" s="106">
        <f t="shared" si="19"/>
        <v>0</v>
      </c>
      <c r="CM47" s="89">
        <f t="shared" si="20"/>
        <v>3.9159687171057347E-2</v>
      </c>
      <c r="CN47" s="104">
        <f t="shared" si="21"/>
        <v>1.6403492316243702E-3</v>
      </c>
      <c r="CO47" s="106">
        <f t="shared" si="22"/>
        <v>0</v>
      </c>
      <c r="CP47" s="89">
        <f t="shared" si="23"/>
        <v>2.3794373702957207E-2</v>
      </c>
      <c r="CQ47" s="87">
        <f t="shared" si="24"/>
        <v>1.0790922478666322E-2</v>
      </c>
      <c r="CR47" s="95">
        <f t="shared" si="25"/>
        <v>9.0924697513192737E-2</v>
      </c>
      <c r="CS47" s="96">
        <f t="shared" si="26"/>
        <v>9.0924697513192737E-2</v>
      </c>
      <c r="CT47" s="97">
        <f t="shared" si="27"/>
        <v>6.3647288259234922E-2</v>
      </c>
      <c r="CU47" s="89">
        <f t="shared" si="28"/>
        <v>3.4197010420295985E-2</v>
      </c>
      <c r="CV47" s="87">
        <f t="shared" si="29"/>
        <v>1.0790922478666322E-2</v>
      </c>
      <c r="CW47" s="92">
        <f t="shared" si="30"/>
        <v>1.2463403613070026E-3</v>
      </c>
      <c r="CX47" s="89">
        <f t="shared" si="31"/>
        <v>3.9159687171057347E-2</v>
      </c>
      <c r="CY47" s="87">
        <f t="shared" si="32"/>
        <v>3.4126240730454212E-3</v>
      </c>
      <c r="CZ47" s="115">
        <f t="shared" si="33"/>
        <v>1.2463403613070026E-3</v>
      </c>
      <c r="DA47" s="11"/>
      <c r="DB47">
        <f t="shared" si="10"/>
        <v>66</v>
      </c>
      <c r="DC47" s="11">
        <f t="shared" si="63"/>
        <v>4.1307948220637977E-2</v>
      </c>
      <c r="DD47" s="11">
        <f t="shared" si="64"/>
        <v>4.0800036402681719E-2</v>
      </c>
      <c r="DE47" s="11">
        <f t="shared" si="34"/>
        <v>0.12550999369481627</v>
      </c>
      <c r="DF47" s="11">
        <f t="shared" si="35"/>
        <v>0.12550999369481627</v>
      </c>
      <c r="DG47" s="11">
        <f t="shared" si="36"/>
        <v>9.8232584440858445E-2</v>
      </c>
      <c r="DH47" s="11">
        <f t="shared" si="37"/>
        <v>4.6234273260269312E-2</v>
      </c>
      <c r="DI47" s="11">
        <f t="shared" si="38"/>
        <v>4.3818651605409771E-2</v>
      </c>
      <c r="DV47">
        <f t="shared" si="39"/>
        <v>66</v>
      </c>
      <c r="DW47" s="11">
        <f>SUMPRODUCT($B47:$B$48, $Y47:$Y$48, CK47:CK$48)/$B47/$Y47</f>
        <v>1.6433320319640399E-3</v>
      </c>
      <c r="DX47" s="11">
        <f>SUMPRODUCT($B47:$B$48, $Y47:$Y$48, CN47:CN$48)/$B47/$Y47</f>
        <v>1.6403492316243702E-3</v>
      </c>
      <c r="DY47" s="11" cm="1">
        <f t="array" ref="DY47">SUMPRODUCT($B47:$B$48, $Y47:$Y$48, $CQ47:$CQ$48 + CR47:CR$48)/$B47/$Y47</f>
        <v>0.2062338505729587</v>
      </c>
      <c r="DZ47" s="11" cm="1">
        <f t="array" ref="DZ47">SUMPRODUCT($B47:$B$48, $Y47:$Y$48, $CQ47:$CQ$48 + CS47:CS$48)/$B47/$Y47</f>
        <v>0.2062338505729587</v>
      </c>
      <c r="EA47" s="11" cm="1">
        <f t="array" ref="EA47">SUMPRODUCT($B47:$B$48, $Y47:$Y$48, $CQ47:$CQ$48 + CT47:CT$48)/$B47/$Y47</f>
        <v>0.14933825253085078</v>
      </c>
      <c r="EB47" s="11" cm="1">
        <f t="array" ref="EB47">SUMPRODUCT($B47:$B$48, $Y47:$Y$48, $CV47:$CV$48 + CW47:CW$48)/$B47/$Y47</f>
        <v>1.7828197460572692E-2</v>
      </c>
      <c r="EC47" s="11" cm="1">
        <f t="array" ref="EC47">SUMPRODUCT($B47:$B$48, $Y47:$Y$48, $CY47:$CY$48 + CZ47:CZ$48)/$B47/$Y47</f>
        <v>6.3962448205322339E-3</v>
      </c>
      <c r="EE47" s="73">
        <f>Settings!T55</f>
        <v>66</v>
      </c>
      <c r="EF47" s="14">
        <f>SUMPRODUCT($B47:$B$48, $Y47:$Y$48, CK47:CK$48)/$B47/$AD46</f>
        <v>1.4611969252212068E-4</v>
      </c>
      <c r="EG47" s="14">
        <f>SUMPRODUCT($B47:$B$48, $Y47:$Y$48, CN47:CN$48)/$B47/$AD46</f>
        <v>1.458544717024629E-4</v>
      </c>
      <c r="EH47" s="14" cm="1">
        <f t="array" ref="EH47">SUMPRODUCT($B47:$B$48, $Y47:$Y$48, $CQ47:$CQ$48 + CR47:CR$48)/$B47/$AD46</f>
        <v>1.8337637341224254E-2</v>
      </c>
      <c r="EI47" s="14" cm="1">
        <f t="array" ref="EI47">SUMPRODUCT($B47:$B$48, $Y47:$Y$48, $CQ47:$CQ$48 + CS47:CS$48)/$B47/$AD46</f>
        <v>1.8337637341224254E-2</v>
      </c>
      <c r="EJ47" s="14" cm="1">
        <f t="array" ref="EJ47">SUMPRODUCT($B47:$B$48, $Y47:$Y$48, $CQ47:$CQ$48 + CT47:CT$48)/$B47/$AD46</f>
        <v>1.3278667437352206E-2</v>
      </c>
      <c r="EK47" s="14" cm="1">
        <f t="array" ref="EK47">SUMPRODUCT($B47:$B$48, $Y47:$Y$48, $CV47:$CV$48 + CW47:CW$48)/$B47/$AD46</f>
        <v>1.5852248240114262E-3</v>
      </c>
      <c r="EL47" s="14" cm="1">
        <f t="array" ref="EL47">SUMPRODUCT($B47:$B$48, $Y47:$Y$48, $CY47:$CY$48 + CZ47:CZ$48)/$B47/$AD46</f>
        <v>5.6873310341024779E-4</v>
      </c>
    </row>
    <row r="48" spans="1:142" x14ac:dyDescent="0.25">
      <c r="A48">
        <v>42</v>
      </c>
      <c r="B48">
        <f>B47/(1+Settings!O$14)</f>
        <v>0.53508924937502345</v>
      </c>
      <c r="C48" s="73">
        <f>C47/(1+Settings!$O$15)</f>
        <v>0.53508924937502345</v>
      </c>
      <c r="D48" s="73">
        <f>D47/(1+Settings!$O$16)</f>
        <v>0.53508924937502345</v>
      </c>
      <c r="E48" s="73">
        <f>E47/(1+Settings!$O$17)</f>
        <v>0.53508924937502345</v>
      </c>
      <c r="F48" s="73">
        <f>F47/(1+Settings!$O$18)</f>
        <v>0.53508924937502345</v>
      </c>
      <c r="H48">
        <f>Grondslag!A44</f>
        <v>67</v>
      </c>
      <c r="I48" s="15">
        <f>IF(Settings!C$7="Unisex", overlevtafel!I74, IF(Settings!C$7="Man", overlevtafel!D74, IF(Settings!C$7="Vrouw",overlevtafel!G74) ) )/I$4</f>
        <v>0.89997143760083076</v>
      </c>
      <c r="J48" s="11">
        <f t="shared" si="58"/>
        <v>7.4672383536364961E-3</v>
      </c>
      <c r="K48" s="11">
        <f>IFERROR(J48/SUM(J48:J$100), 1)</f>
        <v>8.2289180651427003E-3</v>
      </c>
      <c r="M48" s="20">
        <v>57</v>
      </c>
      <c r="N48" s="73">
        <f>IF(Settings!D$7="Unisex", overlevtafel!Q64, IF(Settings!D$7="Man", overlevtafel!L64, IF(Settings!D$7="Vrouw",overlevtafel!O64) ) )</f>
        <v>93170.503675181826</v>
      </c>
      <c r="O48" s="20">
        <f t="shared" si="59"/>
        <v>67</v>
      </c>
      <c r="P48" s="15">
        <f t="shared" si="40"/>
        <v>0.90066928784311306</v>
      </c>
      <c r="R48" s="73">
        <f>1*($H48&gt;=Settings!D$10)</f>
        <v>0</v>
      </c>
      <c r="S48" s="73">
        <f t="shared" si="41"/>
        <v>67</v>
      </c>
      <c r="T48" s="73">
        <f>1*($S48&gt;=Settings!D$10)</f>
        <v>0</v>
      </c>
      <c r="V48" s="18">
        <f t="shared" si="8"/>
        <v>67</v>
      </c>
      <c r="W48">
        <f>Grondslag!J44</f>
        <v>50</v>
      </c>
      <c r="X48" s="73">
        <f t="shared" si="12"/>
        <v>50</v>
      </c>
      <c r="Y48">
        <f>Grondslag!S44</f>
        <v>35</v>
      </c>
      <c r="AA48" s="54">
        <f t="shared" si="42"/>
        <v>17.011712889475195</v>
      </c>
      <c r="AB48" s="14" cm="1">
        <f t="array" ref="AB48">IFERROR(Settings!O$3/NP_OP*AVERAGE(Y$6:Y$48)/SUM(Y$6:Y$48/AA$6:AA$48), 0)</f>
        <v>0.18717547021577788</v>
      </c>
      <c r="AC48" s="54">
        <f t="shared" si="43"/>
        <v>25.000000000000004</v>
      </c>
      <c r="AD48" s="54">
        <f t="shared" si="13"/>
        <v>425.29282223687994</v>
      </c>
      <c r="AE48" s="14">
        <f t="shared" si="14"/>
        <v>0.71428571428571441</v>
      </c>
      <c r="AF48" s="52" cm="1">
        <f t="array" ref="AF48">IFERROR(AB48*SUMPRODUCT(Y48:Y$48,1/AA48:AA$48)/AVERAGE(Y$6:Y$48), 0)</f>
        <v>1.1002740960410845E-2</v>
      </c>
      <c r="AG48" s="14" cm="1">
        <f t="array" ref="AG48">IFERROR( AB48*SUM(1/AA48:AA$48), 0)</f>
        <v>1.1002740960410845E-2</v>
      </c>
      <c r="AI48" s="20">
        <f t="shared" si="60"/>
        <v>0.14731239624995907</v>
      </c>
      <c r="AJ48" s="20">
        <f t="shared" si="44"/>
        <v>3.3738569605998672</v>
      </c>
      <c r="AK48" s="20">
        <f t="shared" si="45"/>
        <v>0.29639667943189901</v>
      </c>
      <c r="AL48" s="5">
        <f>IFERROR( Settings!O$3*AVERAGE(Y$6:Y$48)/SUMPRODUCT(Y$6:Y$48, AK$6:AK$48), 0)</f>
        <v>3.9159687171057347E-2</v>
      </c>
      <c r="AM48" s="52">
        <f>IFERROR( AL48*SUMPRODUCT(Y48:Y$48, AK48:AK$48)/AVERAGE(Y$6:Y$48), 0)</f>
        <v>1.1606801245093333E-2</v>
      </c>
      <c r="AN48" s="14">
        <f>IFERROR(AL48*SUM(AK48:AK$48),0)</f>
        <v>1.1606801245093333E-2</v>
      </c>
      <c r="AO48" s="5">
        <f>AI48*AN49</f>
        <v>0</v>
      </c>
      <c r="AQ48" s="5">
        <f>NP_OP*NPuitkering_leeftijd!F49*AJ48/Y48</f>
        <v>3.923089489069613E-2</v>
      </c>
      <c r="AR48" s="5">
        <f>NP_OP*SUM(NPuitkering_leeftijd!F49:F$49)/AVERAGE(Y48:Y$48)</f>
        <v>1.1627906976744186E-2</v>
      </c>
      <c r="AS48" s="50">
        <f>IFERROR( AQ48*SUM(AK48:AK$48), 0)</f>
        <v>1.1627906976744186E-2</v>
      </c>
      <c r="AT48" s="5">
        <f>AI48*AR49</f>
        <v>0</v>
      </c>
      <c r="AX48" s="20" cm="1">
        <f t="array" ref="AX48">IFERROR( $K48*SUMPRODUCT($P48:$P123, $C$6:$C$81, 1-$T48:$T123)/MIN($P47,1), 0)</f>
        <v>8.1619871552016492E-3</v>
      </c>
      <c r="AY48" s="5">
        <f t="shared" si="16"/>
        <v>0</v>
      </c>
      <c r="BC48" s="20" cm="1">
        <f t="array" ref="BC48">IFERROR($K48*SUMPRODUCT($P48:$P123, $C$6:$C$81, 1-$T48:$T123)/MIN($P48,1), 0)</f>
        <v>8.2289180958717012E-3</v>
      </c>
      <c r="BD48" s="5">
        <f>BC48*Settings!$I$3*$W48/$Y48</f>
        <v>5.8777986399083581E-3</v>
      </c>
      <c r="BG48" s="20">
        <f t="shared" si="47"/>
        <v>0.14029148755987089</v>
      </c>
      <c r="BH48" s="5">
        <f>BG48*Settings!I$7*W48/$Y48</f>
        <v>0.10020820539990778</v>
      </c>
      <c r="BI48" s="5">
        <f>BG48*Settings!I$7*$X48/$Y48</f>
        <v>0.10020820539990778</v>
      </c>
      <c r="BJ48" s="5">
        <f>BG48*Settings!I$7*MAX(W48-voltijdfranchise/1000, 0)/$Y48</f>
        <v>7.0145743779935446E-2</v>
      </c>
      <c r="BM48" s="15" cm="1">
        <f t="array" ref="BM48">IFERROR( $K48*SUMPRODUCT($P48:$P123, $C$6:$C$81, 1-$T48:$T123)/MIN($P48,1), 0)</f>
        <v>8.2289180958717012E-3</v>
      </c>
      <c r="BN48" s="5">
        <f>BM48*Settings!I$3*$W48/$Y48</f>
        <v>5.8777986399083581E-3</v>
      </c>
      <c r="BQ48" s="15"/>
      <c r="BR48" s="15">
        <f t="shared" si="48"/>
        <v>0.50000000000000011</v>
      </c>
      <c r="BS48" s="15">
        <f>BM48*(Settings!I$4*$W48/$Y48  - BR48)</f>
        <v>1.7633395919725067E-3</v>
      </c>
      <c r="BV48" s="20">
        <f t="shared" si="49"/>
        <v>0.14029148755987089</v>
      </c>
      <c r="BW48" s="20">
        <f t="shared" si="50"/>
        <v>3.4927007860712367</v>
      </c>
      <c r="BX48" s="20">
        <f t="shared" si="51"/>
        <v>0.28631138515728671</v>
      </c>
      <c r="BY48" s="5">
        <f>IFERROR(Settings!O$5*AVERAGE(Y$6:Y$48)/SUMPRODUCT(Y$6:Y$48, BX$6:BX$48), 0)</f>
        <v>3.4197010420295985E-2</v>
      </c>
      <c r="BZ48" s="14">
        <f>IFERROR(BY48*SUMPRODUCT(Y48:Y$48, BX48:BX$48)/AVERAGE(Y48:Y$48), 0)</f>
        <v>9.7909934216731109E-3</v>
      </c>
      <c r="CA48" s="5">
        <f>BV48*BZ49</f>
        <v>0</v>
      </c>
      <c r="CB48" s="5"/>
      <c r="CC48" s="5"/>
      <c r="CD48" s="20">
        <f t="shared" si="53"/>
        <v>0.14852040565574273</v>
      </c>
      <c r="CE48" s="20">
        <f t="shared" si="54"/>
        <v>3.3524196440035143</v>
      </c>
      <c r="CF48" s="73">
        <f t="shared" si="55"/>
        <v>0.29829201179771864</v>
      </c>
      <c r="CG48" s="5" cm="1">
        <f t="array" ref="CG48">IFERROR(Settings!O$6*AVERAGE(Y$6:Y$48)/SUMPRODUCT(Y$6:Y$48,1/CE$6:CE$48), 0)</f>
        <v>2.3794373702957207E-2</v>
      </c>
      <c r="CI48" s="18">
        <f t="shared" si="9"/>
        <v>67</v>
      </c>
      <c r="CJ48" s="90">
        <f t="shared" si="17"/>
        <v>3.923089489069613E-2</v>
      </c>
      <c r="CK48" s="104">
        <f t="shared" si="18"/>
        <v>0</v>
      </c>
      <c r="CL48" s="106">
        <f t="shared" si="19"/>
        <v>0</v>
      </c>
      <c r="CM48" s="89">
        <f t="shared" si="20"/>
        <v>3.9159687171057347E-2</v>
      </c>
      <c r="CN48" s="104">
        <f t="shared" si="21"/>
        <v>0</v>
      </c>
      <c r="CO48" s="106">
        <f t="shared" si="22"/>
        <v>0</v>
      </c>
      <c r="CP48" s="89">
        <f t="shared" si="23"/>
        <v>2.3794373702957207E-2</v>
      </c>
      <c r="CQ48" s="87">
        <f t="shared" si="24"/>
        <v>5.8777986399083581E-3</v>
      </c>
      <c r="CR48" s="95">
        <f t="shared" si="25"/>
        <v>0.10020820539990778</v>
      </c>
      <c r="CS48" s="96">
        <f t="shared" si="26"/>
        <v>0.10020820539990778</v>
      </c>
      <c r="CT48" s="97">
        <f t="shared" si="27"/>
        <v>7.0145743779935446E-2</v>
      </c>
      <c r="CU48" s="89">
        <f t="shared" si="28"/>
        <v>3.4197010420295985E-2</v>
      </c>
      <c r="CV48" s="87">
        <f t="shared" si="29"/>
        <v>5.8777986399083581E-3</v>
      </c>
      <c r="CW48" s="92">
        <f t="shared" si="30"/>
        <v>0</v>
      </c>
      <c r="CX48" s="89">
        <f t="shared" si="31"/>
        <v>3.9159687171057347E-2</v>
      </c>
      <c r="CY48" s="87">
        <f t="shared" si="32"/>
        <v>1.7633395919725067E-3</v>
      </c>
      <c r="CZ48" s="115">
        <f t="shared" si="33"/>
        <v>0</v>
      </c>
      <c r="DA48" s="11"/>
      <c r="DB48">
        <f t="shared" si="10"/>
        <v>67</v>
      </c>
      <c r="DC48" s="11">
        <f t="shared" si="63"/>
        <v>3.923089489069613E-2</v>
      </c>
      <c r="DD48" s="11">
        <f t="shared" si="64"/>
        <v>3.9159687171057347E-2</v>
      </c>
      <c r="DE48" s="11">
        <f t="shared" si="34"/>
        <v>0.12988037774277333</v>
      </c>
      <c r="DF48" s="11">
        <f t="shared" si="35"/>
        <v>0.12988037774277333</v>
      </c>
      <c r="DG48" s="11">
        <f t="shared" si="36"/>
        <v>9.9817916122801012E-2</v>
      </c>
      <c r="DH48" s="11">
        <f t="shared" si="37"/>
        <v>4.0074809060204344E-2</v>
      </c>
      <c r="DI48" s="11">
        <f t="shared" si="38"/>
        <v>4.0923026763029856E-2</v>
      </c>
      <c r="DV48">
        <f t="shared" si="39"/>
        <v>67</v>
      </c>
      <c r="DW48" s="11">
        <f>SUMPRODUCT($B48:$B$48, $Y48:$Y$48, CK48:CK$48)/$B48/$Y48</f>
        <v>0</v>
      </c>
      <c r="DX48" s="11">
        <f>SUMPRODUCT($B48:$B$48, $Y48:$Y$48, CN48:CN$48)/$B48/$Y48</f>
        <v>0</v>
      </c>
      <c r="DY48" s="11" cm="1">
        <f t="array" ref="DY48">SUMPRODUCT($B48:$B$48, $Y48:$Y$48, $CQ48:$CQ$48 + CR48:CR$48)/$B48/$Y48</f>
        <v>0.10608600403981612</v>
      </c>
      <c r="DZ48" s="11" cm="1">
        <f t="array" ref="DZ48">SUMPRODUCT($B48:$B$48, $Y48:$Y$48, $CQ48:$CQ$48 + CS48:CS$48)/$B48/$Y48</f>
        <v>0.10608600403981612</v>
      </c>
      <c r="EA48" s="11" cm="1">
        <f t="array" ref="EA48">SUMPRODUCT($B48:$B$48, $Y48:$Y$48, $CQ48:$CQ$48 + CT48:CT$48)/$B48/$Y48</f>
        <v>7.6023542419843798E-2</v>
      </c>
      <c r="EB48" s="11" cm="1">
        <f t="array" ref="EB48">SUMPRODUCT($B48:$B$48, $Y48:$Y$48, $CV48:$CV$48 + CW48:CW$48)/$B48/$Y48</f>
        <v>5.8777986399083581E-3</v>
      </c>
      <c r="EC48" s="11" cm="1">
        <f t="array" ref="EC48">SUMPRODUCT($B48:$B$48, $Y48:$Y$48, $CY48:$CY$48 + CZ48:CZ$48)/$B48/$Y48</f>
        <v>1.7633395919725067E-3</v>
      </c>
      <c r="EE48" s="73">
        <f>Settings!T56</f>
        <v>67</v>
      </c>
      <c r="EF48" s="14">
        <f>SUMPRODUCT($B48:$B$48, $Y48:$Y$48, CK48:CK$48)/$B48/$AD47</f>
        <v>0</v>
      </c>
      <c r="EG48" s="14">
        <f>SUMPRODUCT($B48:$B$48, $Y48:$Y$48, CN48:CN$48)/$B48/$AD47</f>
        <v>0</v>
      </c>
      <c r="EH48" s="14" cm="1">
        <f t="array" ref="EH48">SUMPRODUCT($B48:$B$48, $Y48:$Y$48, $CQ48:$CQ$48 + CR48:CR$48)/$B48/$AD47</f>
        <v>9.0747473919865641E-3</v>
      </c>
      <c r="EI48" s="14" cm="1">
        <f t="array" ref="EI48">SUMPRODUCT($B48:$B$48, $Y48:$Y$48, $CQ48:$CQ$48 + CS48:CS$48)/$B48/$AD47</f>
        <v>9.0747473919865641E-3</v>
      </c>
      <c r="EJ48" s="14" cm="1">
        <f t="array" ref="EJ48">SUMPRODUCT($B48:$B$48, $Y48:$Y$48, $CQ48:$CQ$48 + CT48:CT$48)/$B48/$AD47</f>
        <v>6.503161746436662E-3</v>
      </c>
      <c r="EK48" s="14" cm="1">
        <f t="array" ref="EK48">SUMPRODUCT($B48:$B$48, $Y48:$Y$48, $CV48:$CV$48 + CW48:CW$48)/$B48/$AD47</f>
        <v>5.0279524015355676E-4</v>
      </c>
      <c r="EL48" s="14" cm="1">
        <f t="array" ref="EL48">SUMPRODUCT($B48:$B$48, $Y48:$Y$48, $CY48:$CY$48 + CZ48:CZ$48)/$B48/$AD47</f>
        <v>1.5083857204606696E-4</v>
      </c>
    </row>
    <row r="49" spans="1:127" x14ac:dyDescent="0.25">
      <c r="A49">
        <v>43</v>
      </c>
      <c r="B49">
        <f>B48/(1+Settings!O$14)</f>
        <v>0.52718152647785566</v>
      </c>
      <c r="C49" s="73">
        <f>C48/(1+Settings!$O$15)</f>
        <v>0.52718152647785566</v>
      </c>
      <c r="D49" s="73">
        <f>D48/(1+Settings!$O$16)</f>
        <v>0.52718152647785566</v>
      </c>
      <c r="E49" s="73">
        <f>E48/(1+Settings!$O$17)</f>
        <v>0.52718152647785566</v>
      </c>
      <c r="F49" s="73">
        <f>F48/(1+Settings!$O$18)</f>
        <v>0.52718152647785566</v>
      </c>
      <c r="H49">
        <f>Grondslag!A45</f>
        <v>68</v>
      </c>
      <c r="I49" s="15">
        <f>IF(Settings!C$7="Unisex", overlevtafel!I75, IF(Settings!C$7="Man", overlevtafel!D75, IF(Settings!C$7="Vrouw",overlevtafel!G75) ) )/I$4</f>
        <v>0.89213189477100041</v>
      </c>
      <c r="J49" s="11">
        <f t="shared" si="58"/>
        <v>7.8395428298303482E-3</v>
      </c>
      <c r="K49" s="11">
        <f>IFERROR(J49/SUM(J49:J$100), 1)</f>
        <v>8.7108797808415524E-3</v>
      </c>
      <c r="M49" s="20">
        <v>58</v>
      </c>
      <c r="N49" s="73">
        <f>IF(Settings!D$7="Unisex", overlevtafel!Q65, IF(Settings!D$7="Man", overlevtafel!L65, IF(Settings!D$7="Vrouw",overlevtafel!O65) ) )</f>
        <v>92772.997393040612</v>
      </c>
      <c r="O49" s="20">
        <f t="shared" si="59"/>
        <v>68</v>
      </c>
      <c r="P49" s="15">
        <f t="shared" si="40"/>
        <v>0.89291681325596584</v>
      </c>
      <c r="R49" s="73">
        <f>1*($H49&gt;=Settings!D$10)</f>
        <v>1</v>
      </c>
      <c r="S49" s="73">
        <f t="shared" si="41"/>
        <v>68</v>
      </c>
      <c r="T49" s="73">
        <f>1*($S49&gt;=Settings!D$10)</f>
        <v>1</v>
      </c>
      <c r="V49" s="18"/>
      <c r="AI49" s="20">
        <f t="shared" si="60"/>
        <v>0.15073588132704144</v>
      </c>
      <c r="BV49" s="20">
        <f t="shared" si="49"/>
        <v>0.15204459905110451</v>
      </c>
      <c r="BX49" s="15"/>
      <c r="BZ49" s="14"/>
      <c r="CA49" s="5"/>
      <c r="CB49" s="5"/>
      <c r="CC49" s="5"/>
      <c r="CD49" s="20">
        <f>IFERROR( $K49*SUMPRODUCT($P49:$P124, $E$6:$E$81)/$P49, 0)</f>
        <v>0.15204459908440787</v>
      </c>
      <c r="CI49" s="18"/>
      <c r="CJ49" s="18"/>
      <c r="DW49" s="11"/>
    </row>
    <row r="50" spans="1:127" x14ac:dyDescent="0.25">
      <c r="A50">
        <v>44</v>
      </c>
      <c r="B50">
        <f>B49/(1+Settings!O$14)</f>
        <v>0.51939066648064602</v>
      </c>
      <c r="C50" s="73">
        <f>C49/(1+Settings!$O$15)</f>
        <v>0.51939066648064602</v>
      </c>
      <c r="D50" s="73">
        <f>D49/(1+Settings!$O$16)</f>
        <v>0.51939066648064602</v>
      </c>
      <c r="E50" s="73">
        <f>E49/(1+Settings!$O$17)</f>
        <v>0.51939066648064602</v>
      </c>
      <c r="F50" s="73">
        <f>F49/(1+Settings!$O$18)</f>
        <v>0.51939066648064602</v>
      </c>
      <c r="H50">
        <f>Grondslag!A46</f>
        <v>69</v>
      </c>
      <c r="I50" s="15">
        <f>IF(Settings!C$7="Unisex", overlevtafel!I76, IF(Settings!C$7="Man", overlevtafel!D76, IF(Settings!C$7="Vrouw",overlevtafel!G76) ) )/I$4</f>
        <v>0.88369605113142058</v>
      </c>
      <c r="J50" s="11">
        <f t="shared" si="58"/>
        <v>8.435843639579832E-3</v>
      </c>
      <c r="K50" s="11">
        <f>IFERROR(J50/SUM(J50:J$100), 1)</f>
        <v>9.4558258401078212E-3</v>
      </c>
      <c r="M50" s="20">
        <v>59</v>
      </c>
      <c r="N50" s="73">
        <f>IF(Settings!D$7="Unisex", overlevtafel!Q66, IF(Settings!D$7="Man", overlevtafel!L66, IF(Settings!D$7="Vrouw",overlevtafel!O66) ) )</f>
        <v>92345.876173229175</v>
      </c>
      <c r="O50" s="20">
        <f t="shared" si="59"/>
        <v>69</v>
      </c>
      <c r="P50" s="15">
        <f t="shared" si="40"/>
        <v>0.88457354368378782</v>
      </c>
      <c r="R50" s="73">
        <f>1*($H50&gt;=Settings!D$10)</f>
        <v>1</v>
      </c>
      <c r="S50" s="73">
        <f t="shared" si="41"/>
        <v>69</v>
      </c>
      <c r="T50" s="73">
        <f>1*($S50&gt;=Settings!D$10)</f>
        <v>1</v>
      </c>
      <c r="AI50" s="20">
        <f t="shared" si="60"/>
        <v>0.15792535331233354</v>
      </c>
      <c r="AL50" s="11"/>
      <c r="AM50" s="11"/>
      <c r="AN50" s="11"/>
      <c r="AO50" s="11"/>
      <c r="AP50" s="11"/>
      <c r="AQ50" s="11"/>
      <c r="BS50" s="15"/>
      <c r="BV50" s="20">
        <f t="shared" si="49"/>
        <v>0.15941490019242072</v>
      </c>
      <c r="BX50" s="15"/>
      <c r="BZ50" s="5"/>
      <c r="CA50" s="5"/>
      <c r="CB50" s="5"/>
      <c r="CC50" s="5"/>
      <c r="CD50" s="20">
        <f t="shared" si="53"/>
        <v>0.1594149002294605</v>
      </c>
      <c r="CI50" s="18"/>
      <c r="CJ50" s="18"/>
    </row>
    <row r="51" spans="1:127" x14ac:dyDescent="0.25">
      <c r="A51">
        <v>45</v>
      </c>
      <c r="B51">
        <f>B50/(1+Settings!O$14)</f>
        <v>0.51171494234546411</v>
      </c>
      <c r="C51" s="73">
        <f>C50/(1+Settings!$O$15)</f>
        <v>0.51171494234546411</v>
      </c>
      <c r="D51" s="73">
        <f>D50/(1+Settings!$O$16)</f>
        <v>0.51171494234546411</v>
      </c>
      <c r="E51" s="73">
        <f>E50/(1+Settings!$O$17)</f>
        <v>0.51171494234546411</v>
      </c>
      <c r="F51" s="73">
        <f>F50/(1+Settings!$O$18)</f>
        <v>0.51171494234546411</v>
      </c>
      <c r="H51">
        <f>Grondslag!A47</f>
        <v>70</v>
      </c>
      <c r="I51" s="15">
        <f>IF(Settings!C$7="Unisex", overlevtafel!I77, IF(Settings!C$7="Man", overlevtafel!D77, IF(Settings!C$7="Vrouw",overlevtafel!G77) ) )/I$4</f>
        <v>0.87469826628396041</v>
      </c>
      <c r="J51" s="11">
        <f t="shared" si="58"/>
        <v>8.9977848474601663E-3</v>
      </c>
      <c r="K51" s="11">
        <f>IFERROR(J51/SUM(J51:J$100), 1)</f>
        <v>1.0181990780465394E-2</v>
      </c>
      <c r="M51" s="20">
        <v>60</v>
      </c>
      <c r="N51" s="73">
        <f>IF(Settings!D$7="Unisex", overlevtafel!Q67, IF(Settings!D$7="Man", overlevtafel!L67, IF(Settings!D$7="Vrouw",overlevtafel!O67) ) )</f>
        <v>91891.16311882835</v>
      </c>
      <c r="O51" s="20">
        <f t="shared" si="59"/>
        <v>70</v>
      </c>
      <c r="P51" s="15">
        <f t="shared" si="40"/>
        <v>0.87567315314651228</v>
      </c>
      <c r="R51" s="73">
        <f>1*($H51&gt;=Settings!D$10)</f>
        <v>1</v>
      </c>
      <c r="S51" s="73">
        <f t="shared" si="41"/>
        <v>70</v>
      </c>
      <c r="T51" s="73">
        <f>1*($S51&gt;=Settings!D$10)</f>
        <v>1</v>
      </c>
      <c r="AI51" s="20">
        <f t="shared" si="60"/>
        <v>0.16389738641326682</v>
      </c>
      <c r="BV51" s="20">
        <f t="shared" si="49"/>
        <v>0.16556324850583573</v>
      </c>
      <c r="BX51" s="15"/>
      <c r="BZ51" s="5"/>
      <c r="CA51" s="5"/>
      <c r="CB51" s="5"/>
      <c r="CC51" s="5"/>
      <c r="CD51" s="20">
        <f t="shared" si="53"/>
        <v>0.16556324854672971</v>
      </c>
    </row>
    <row r="52" spans="1:127" x14ac:dyDescent="0.25">
      <c r="A52">
        <v>46</v>
      </c>
      <c r="B52">
        <f>B51/(1+Settings!O$14)</f>
        <v>0.50415265255710751</v>
      </c>
      <c r="C52" s="73">
        <f>C51/(1+Settings!$O$15)</f>
        <v>0.50415265255710751</v>
      </c>
      <c r="D52" s="73">
        <f>D51/(1+Settings!$O$16)</f>
        <v>0.50415265255710751</v>
      </c>
      <c r="E52" s="73">
        <f>E51/(1+Settings!$O$17)</f>
        <v>0.50415265255710751</v>
      </c>
      <c r="F52" s="73">
        <f>F51/(1+Settings!$O$18)</f>
        <v>0.50415265255710751</v>
      </c>
      <c r="H52">
        <f>Grondslag!A48</f>
        <v>71</v>
      </c>
      <c r="I52" s="15">
        <f>IF(Settings!C$7="Unisex", overlevtafel!I78, IF(Settings!C$7="Man", overlevtafel!D78, IF(Settings!C$7="Vrouw",overlevtafel!G78) ) )/I$4</f>
        <v>0.86515019674489213</v>
      </c>
      <c r="J52" s="11">
        <f t="shared" si="58"/>
        <v>9.5480695390682824E-3</v>
      </c>
      <c r="K52" s="11">
        <f>IFERROR(J52/SUM(J52:J$100), 1)</f>
        <v>1.091584391928492E-2</v>
      </c>
      <c r="M52" s="20">
        <v>61</v>
      </c>
      <c r="N52" s="73">
        <f>IF(Settings!D$7="Unisex", overlevtafel!Q68, IF(Settings!D$7="Man", overlevtafel!L68, IF(Settings!D$7="Vrouw",overlevtafel!O68) ) )</f>
        <v>91396.572024077308</v>
      </c>
      <c r="O52" s="20">
        <f t="shared" si="59"/>
        <v>71</v>
      </c>
      <c r="P52" s="15">
        <f t="shared" si="40"/>
        <v>0.86622730707360818</v>
      </c>
      <c r="R52" s="73">
        <f>1*($H52&gt;=Settings!D$10)</f>
        <v>1</v>
      </c>
      <c r="S52" s="73">
        <f t="shared" si="41"/>
        <v>71</v>
      </c>
      <c r="T52" s="73">
        <f>1*($S52&gt;=Settings!D$10)</f>
        <v>1</v>
      </c>
      <c r="AI52" s="20">
        <f t="shared" si="60"/>
        <v>0.16907885287305408</v>
      </c>
      <c r="BV52" s="20">
        <f t="shared" si="49"/>
        <v>0.17092258692116546</v>
      </c>
      <c r="BX52" s="15"/>
      <c r="BZ52" s="5"/>
      <c r="CA52" s="5"/>
      <c r="CB52" s="5"/>
      <c r="CC52" s="5"/>
      <c r="CD52" s="20">
        <f t="shared" si="53"/>
        <v>0.17092258696614973</v>
      </c>
    </row>
    <row r="53" spans="1:127" x14ac:dyDescent="0.25">
      <c r="A53">
        <v>47</v>
      </c>
      <c r="B53">
        <f>B52/(1+Settings!O$14)</f>
        <v>0.4967021207459188</v>
      </c>
      <c r="C53" s="73">
        <f>C52/(1+Settings!$O$15)</f>
        <v>0.4967021207459188</v>
      </c>
      <c r="D53" s="73">
        <f>D52/(1+Settings!$O$16)</f>
        <v>0.4967021207459188</v>
      </c>
      <c r="E53" s="73">
        <f>E52/(1+Settings!$O$17)</f>
        <v>0.4967021207459188</v>
      </c>
      <c r="F53" s="73">
        <f>F52/(1+Settings!$O$18)</f>
        <v>0.4967021207459188</v>
      </c>
      <c r="H53">
        <f>Grondslag!A49</f>
        <v>72</v>
      </c>
      <c r="I53" s="15">
        <f>IF(Settings!C$7="Unisex", overlevtafel!I79, IF(Settings!C$7="Man", overlevtafel!D79, IF(Settings!C$7="Vrouw",overlevtafel!G79) ) )/I$4</f>
        <v>0.85482543909376529</v>
      </c>
      <c r="J53" s="11">
        <f t="shared" si="58"/>
        <v>1.0324757651126837E-2</v>
      </c>
      <c r="K53" s="11">
        <f>IFERROR(J53/SUM(J53:J$100), 1)</f>
        <v>1.1934064075717517E-2</v>
      </c>
      <c r="M53" s="20">
        <v>62</v>
      </c>
      <c r="N53" s="73">
        <f>IF(Settings!D$7="Unisex", overlevtafel!Q69, IF(Settings!D$7="Man", overlevtafel!L69, IF(Settings!D$7="Vrouw",overlevtafel!O69) ) )</f>
        <v>90870.424660685952</v>
      </c>
      <c r="O53" s="20">
        <f t="shared" si="59"/>
        <v>72</v>
      </c>
      <c r="P53" s="15">
        <f t="shared" si="40"/>
        <v>0.85600874900973289</v>
      </c>
      <c r="R53" s="73">
        <f>1*($H53&gt;=Settings!D$10)</f>
        <v>1</v>
      </c>
      <c r="S53" s="73">
        <f t="shared" si="41"/>
        <v>72</v>
      </c>
      <c r="T53" s="73">
        <f>1*($S53&gt;=Settings!D$10)</f>
        <v>1</v>
      </c>
      <c r="AI53" s="20">
        <f t="shared" si="60"/>
        <v>0.17755600934390614</v>
      </c>
      <c r="BV53" s="20">
        <f t="shared" si="49"/>
        <v>0.17967557453518396</v>
      </c>
      <c r="BX53" s="15"/>
      <c r="BZ53" s="5"/>
      <c r="CA53" s="5"/>
      <c r="CB53" s="5"/>
      <c r="CC53" s="5"/>
      <c r="CD53" s="20">
        <f t="shared" si="53"/>
        <v>0.17967557458569791</v>
      </c>
    </row>
    <row r="54" spans="1:127" x14ac:dyDescent="0.25">
      <c r="A54">
        <v>48</v>
      </c>
      <c r="B54">
        <f>B53/(1+Settings!O$14)</f>
        <v>0.48936169531617618</v>
      </c>
      <c r="C54" s="73">
        <f>C53/(1+Settings!$O$15)</f>
        <v>0.48936169531617618</v>
      </c>
      <c r="D54" s="73">
        <f>D53/(1+Settings!$O$16)</f>
        <v>0.48936169531617618</v>
      </c>
      <c r="E54" s="73">
        <f>E53/(1+Settings!$O$17)</f>
        <v>0.48936169531617618</v>
      </c>
      <c r="F54" s="73">
        <f>F53/(1+Settings!$O$18)</f>
        <v>0.48936169531617618</v>
      </c>
      <c r="H54">
        <f>Grondslag!A50</f>
        <v>73</v>
      </c>
      <c r="I54" s="15">
        <f>IF(Settings!C$7="Unisex", overlevtafel!I80, IF(Settings!C$7="Man", overlevtafel!D80, IF(Settings!C$7="Vrouw",overlevtafel!G80) ) )/I$4</f>
        <v>0.84379022309353591</v>
      </c>
      <c r="J54" s="11">
        <f t="shared" si="58"/>
        <v>1.1035216000229386E-2</v>
      </c>
      <c r="K54" s="11">
        <f>IFERROR(J54/SUM(J54:J$100), 1)</f>
        <v>1.2909321302872484E-2</v>
      </c>
      <c r="M54" s="20">
        <v>63</v>
      </c>
      <c r="N54" s="73">
        <f>IF(Settings!D$7="Unisex", overlevtafel!Q70, IF(Settings!D$7="Man", overlevtafel!L70, IF(Settings!D$7="Vrouw",overlevtafel!O70) ) )</f>
        <v>90309.719764669018</v>
      </c>
      <c r="O54" s="20">
        <f t="shared" si="59"/>
        <v>73</v>
      </c>
      <c r="P54" s="15">
        <f t="shared" si="40"/>
        <v>0.84508615857329283</v>
      </c>
      <c r="R54" s="73">
        <f>1*($H54&gt;=Settings!D$10)</f>
        <v>1</v>
      </c>
      <c r="S54" s="73">
        <f t="shared" si="41"/>
        <v>73</v>
      </c>
      <c r="T54" s="73">
        <f>1*($S54&gt;=Settings!D$10)</f>
        <v>1</v>
      </c>
      <c r="AI54" s="20">
        <f t="shared" si="60"/>
        <v>0.1841711655713052</v>
      </c>
      <c r="BV54" s="20">
        <f t="shared" si="49"/>
        <v>0.18655154554067738</v>
      </c>
      <c r="BX54" s="15"/>
      <c r="BZ54" s="5"/>
      <c r="CA54" s="5"/>
      <c r="CB54" s="5"/>
      <c r="CC54" s="5"/>
      <c r="CD54" s="20">
        <f t="shared" si="53"/>
        <v>0.1865515455968558</v>
      </c>
    </row>
    <row r="55" spans="1:127" x14ac:dyDescent="0.25">
      <c r="A55">
        <v>49</v>
      </c>
      <c r="B55">
        <f>B54/(1+Settings!O$14)</f>
        <v>0.48212974907997658</v>
      </c>
      <c r="C55" s="73">
        <f>C54/(1+Settings!$O$15)</f>
        <v>0.48212974907997658</v>
      </c>
      <c r="D55" s="73">
        <f>D54/(1+Settings!$O$16)</f>
        <v>0.48212974907997658</v>
      </c>
      <c r="E55" s="73">
        <f>E54/(1+Settings!$O$17)</f>
        <v>0.48212974907997658</v>
      </c>
      <c r="F55" s="73">
        <f>F54/(1+Settings!$O$18)</f>
        <v>0.48212974907997658</v>
      </c>
      <c r="H55">
        <f>Grondslag!A51</f>
        <v>74</v>
      </c>
      <c r="I55" s="15">
        <f>IF(Settings!C$7="Unisex", overlevtafel!I81, IF(Settings!C$7="Man", overlevtafel!D81, IF(Settings!C$7="Vrouw",overlevtafel!G81) ) )/I$4</f>
        <v>0.83189391318294481</v>
      </c>
      <c r="J55" s="11">
        <f t="shared" si="58"/>
        <v>1.1896309910591096E-2</v>
      </c>
      <c r="K55" s="11">
        <f>IFERROR(J55/SUM(J55:J$100), 1)</f>
        <v>1.4098658480532066E-2</v>
      </c>
      <c r="M55" s="20">
        <v>64</v>
      </c>
      <c r="N55" s="73">
        <f>IF(Settings!D$7="Unisex", overlevtafel!Q71, IF(Settings!D$7="Man", overlevtafel!L71, IF(Settings!D$7="Vrouw",overlevtafel!O71) ) )</f>
        <v>89713.230126668466</v>
      </c>
      <c r="O55" s="20">
        <f t="shared" si="59"/>
        <v>74</v>
      </c>
      <c r="P55" s="15">
        <f t="shared" si="40"/>
        <v>0.83330722740715979</v>
      </c>
      <c r="R55" s="73">
        <f>1*($H55&gt;=Settings!D$10)</f>
        <v>1</v>
      </c>
      <c r="S55" s="73">
        <f t="shared" si="41"/>
        <v>74</v>
      </c>
      <c r="T55" s="73">
        <f>1*($S55&gt;=Settings!D$10)</f>
        <v>1</v>
      </c>
      <c r="AI55" s="20">
        <f t="shared" si="60"/>
        <v>0.19248449985048574</v>
      </c>
      <c r="BV55" s="20">
        <f t="shared" si="49"/>
        <v>0.19520529903125575</v>
      </c>
      <c r="BX55" s="15"/>
      <c r="BZ55" s="5"/>
      <c r="CA55" s="5"/>
      <c r="CB55" s="5"/>
      <c r="CC55" s="5"/>
      <c r="CD55" s="20">
        <f t="shared" si="53"/>
        <v>0.19520529909441048</v>
      </c>
      <c r="CY55" s="11"/>
      <c r="CZ55" s="11"/>
      <c r="DA55" s="11"/>
      <c r="DB55" s="11"/>
    </row>
    <row r="56" spans="1:127" x14ac:dyDescent="0.25">
      <c r="A56">
        <v>50</v>
      </c>
      <c r="B56">
        <f>B55/(1+Settings!O$14)</f>
        <v>0.4750046788965287</v>
      </c>
      <c r="C56" s="73">
        <f>C55/(1+Settings!$O$15)</f>
        <v>0.4750046788965287</v>
      </c>
      <c r="D56" s="73">
        <f>D55/(1+Settings!$O$16)</f>
        <v>0.4750046788965287</v>
      </c>
      <c r="E56" s="73">
        <f>E55/(1+Settings!$O$17)</f>
        <v>0.4750046788965287</v>
      </c>
      <c r="F56" s="73">
        <f>F55/(1+Settings!$O$18)</f>
        <v>0.4750046788965287</v>
      </c>
      <c r="H56">
        <f>Grondslag!A52</f>
        <v>75</v>
      </c>
      <c r="I56" s="15">
        <f>IF(Settings!C$7="Unisex", overlevtafel!I82, IF(Settings!C$7="Man", overlevtafel!D82, IF(Settings!C$7="Vrouw",overlevtafel!G82) ) )/I$4</f>
        <v>0.81909100388996703</v>
      </c>
      <c r="J56" s="11">
        <f t="shared" si="58"/>
        <v>1.2802909292977782E-2</v>
      </c>
      <c r="K56" s="11">
        <f>IFERROR(J56/SUM(J56:J$100), 1)</f>
        <v>1.5390074851140779E-2</v>
      </c>
      <c r="M56" s="20">
        <v>65</v>
      </c>
      <c r="N56" s="73">
        <f>IF(Settings!D$7="Unisex", overlevtafel!Q72, IF(Settings!D$7="Man", overlevtafel!L72, IF(Settings!D$7="Vrouw",overlevtafel!O72) ) )</f>
        <v>89081.371865494119</v>
      </c>
      <c r="O56" s="20">
        <f t="shared" si="59"/>
        <v>75</v>
      </c>
      <c r="P56" s="15">
        <f t="shared" si="40"/>
        <v>0.82062756973758466</v>
      </c>
      <c r="R56" s="73">
        <f>1*($H56&gt;=Settings!D$10)</f>
        <v>1</v>
      </c>
      <c r="S56" s="73">
        <f t="shared" si="41"/>
        <v>75</v>
      </c>
      <c r="T56" s="73">
        <f>1*($S56&gt;=Settings!D$10)</f>
        <v>1</v>
      </c>
      <c r="AI56" s="20">
        <f t="shared" si="60"/>
        <v>0.20066117853120521</v>
      </c>
      <c r="BV56" s="20">
        <f t="shared" si="49"/>
        <v>0.20376162882908291</v>
      </c>
      <c r="BX56" s="15"/>
      <c r="BZ56" s="5"/>
      <c r="CA56" s="5"/>
      <c r="CB56" s="5"/>
      <c r="CC56" s="5"/>
      <c r="CD56" s="20">
        <f t="shared" si="53"/>
        <v>0.20376162890013783</v>
      </c>
    </row>
    <row r="57" spans="1:127" x14ac:dyDescent="0.25">
      <c r="A57">
        <v>51</v>
      </c>
      <c r="B57">
        <f>B56/(1+Settings!O$14)</f>
        <v>0.46798490531677711</v>
      </c>
      <c r="C57" s="73">
        <f>C56/(1+Settings!$O$15)</f>
        <v>0.46798490531677711</v>
      </c>
      <c r="D57" s="73">
        <f>D56/(1+Settings!$O$16)</f>
        <v>0.46798490531677711</v>
      </c>
      <c r="E57" s="73">
        <f>E56/(1+Settings!$O$17)</f>
        <v>0.46798490531677711</v>
      </c>
      <c r="F57" s="73">
        <f>F56/(1+Settings!$O$18)</f>
        <v>0.46798490531677711</v>
      </c>
      <c r="H57">
        <f>Grondslag!A53</f>
        <v>76</v>
      </c>
      <c r="I57" s="15">
        <f>IF(Settings!C$7="Unisex", overlevtafel!I83, IF(Settings!C$7="Man", overlevtafel!D83, IF(Settings!C$7="Vrouw",overlevtafel!G83) ) )/I$4</f>
        <v>0.80523243397268551</v>
      </c>
      <c r="J57" s="11">
        <f t="shared" si="58"/>
        <v>1.3858569917281516E-2</v>
      </c>
      <c r="K57" s="11">
        <f>IFERROR(J57/SUM(J57:J$100), 1)</f>
        <v>1.6919451172465554E-2</v>
      </c>
      <c r="M57" s="20">
        <v>66</v>
      </c>
      <c r="N57" s="73">
        <f>IF(Settings!D$7="Unisex", overlevtafel!Q73, IF(Settings!D$7="Man", overlevtafel!L73, IF(Settings!D$7="Vrouw",overlevtafel!O73) ) )</f>
        <v>88408.695446777128</v>
      </c>
      <c r="O57" s="20">
        <f t="shared" si="59"/>
        <v>76</v>
      </c>
      <c r="P57" s="15">
        <f t="shared" si="40"/>
        <v>0.80689699176110929</v>
      </c>
      <c r="R57" s="73">
        <f>1*($H57&gt;=Settings!D$10)</f>
        <v>1</v>
      </c>
      <c r="S57" s="73">
        <f t="shared" si="41"/>
        <v>76</v>
      </c>
      <c r="T57" s="73">
        <f>1*($S57&gt;=Settings!D$10)</f>
        <v>1</v>
      </c>
      <c r="AI57" s="20">
        <f t="shared" si="60"/>
        <v>0.21019718825076891</v>
      </c>
      <c r="BV57" s="20">
        <f t="shared" si="49"/>
        <v>0.21377401261387408</v>
      </c>
      <c r="BX57" s="15"/>
      <c r="BZ57" s="5"/>
      <c r="CA57" s="5"/>
      <c r="CB57" s="5"/>
      <c r="CC57" s="5"/>
      <c r="CD57" s="20">
        <f t="shared" si="53"/>
        <v>0.21377401269451096</v>
      </c>
    </row>
    <row r="58" spans="1:127" x14ac:dyDescent="0.25">
      <c r="A58">
        <v>52</v>
      </c>
      <c r="B58">
        <f>B57/(1+Settings!O$14)</f>
        <v>0.46106887223327797</v>
      </c>
      <c r="C58" s="73">
        <f>C57/(1+Settings!$O$15)</f>
        <v>0.46106887223327797</v>
      </c>
      <c r="D58" s="73">
        <f>D57/(1+Settings!$O$16)</f>
        <v>0.46106887223327797</v>
      </c>
      <c r="E58" s="73">
        <f>E57/(1+Settings!$O$17)</f>
        <v>0.46106887223327797</v>
      </c>
      <c r="F58" s="73">
        <f>F57/(1+Settings!$O$18)</f>
        <v>0.46106887223327797</v>
      </c>
      <c r="H58">
        <f>Grondslag!A54</f>
        <v>77</v>
      </c>
      <c r="I58" s="15">
        <f>IF(Settings!C$7="Unisex", overlevtafel!I84, IF(Settings!C$7="Man", overlevtafel!D84, IF(Settings!C$7="Vrouw",overlevtafel!G84) ) )/I$4</f>
        <v>0.79012293452598736</v>
      </c>
      <c r="J58" s="11">
        <f t="shared" si="58"/>
        <v>1.5109499446698149E-2</v>
      </c>
      <c r="K58" s="11">
        <f>IFERROR(J58/SUM(J58:J$100), 1)</f>
        <v>1.8764147063534856E-2</v>
      </c>
      <c r="M58" s="20">
        <v>67</v>
      </c>
      <c r="N58" s="73">
        <f>IF(Settings!D$7="Unisex", overlevtafel!Q74, IF(Settings!D$7="Man", overlevtafel!L74, IF(Settings!D$7="Vrouw",overlevtafel!O74) ) )</f>
        <v>87689.612199049414</v>
      </c>
      <c r="O58" s="20">
        <f t="shared" si="59"/>
        <v>77</v>
      </c>
      <c r="P58" s="15">
        <f t="shared" si="40"/>
        <v>0.79191782582774251</v>
      </c>
      <c r="R58" s="73">
        <f>1*($H58&gt;=Settings!D$10)</f>
        <v>1</v>
      </c>
      <c r="S58" s="73">
        <f t="shared" si="41"/>
        <v>77</v>
      </c>
      <c r="T58" s="73">
        <f>1*($S58&gt;=Settings!D$10)</f>
        <v>1</v>
      </c>
      <c r="AI58" s="20">
        <f t="shared" si="60"/>
        <v>0.22159200221379838</v>
      </c>
      <c r="BV58" s="20">
        <f t="shared" si="49"/>
        <v>0.22578342610800869</v>
      </c>
      <c r="BX58" s="15"/>
      <c r="BZ58" s="5"/>
      <c r="CA58" s="5"/>
      <c r="CB58" s="5"/>
      <c r="CC58" s="5"/>
      <c r="CD58" s="20">
        <f t="shared" si="53"/>
        <v>0.22578342620049555</v>
      </c>
    </row>
    <row r="59" spans="1:127" x14ac:dyDescent="0.25">
      <c r="A59">
        <v>53</v>
      </c>
      <c r="B59">
        <f>B58/(1+Settings!O$14)</f>
        <v>0.45425504653524929</v>
      </c>
      <c r="C59" s="73">
        <f>C58/(1+Settings!$O$15)</f>
        <v>0.45425504653524929</v>
      </c>
      <c r="D59" s="73">
        <f>D58/(1+Settings!$O$16)</f>
        <v>0.45425504653524929</v>
      </c>
      <c r="E59" s="73">
        <f>E58/(1+Settings!$O$17)</f>
        <v>0.45425504653524929</v>
      </c>
      <c r="F59" s="73">
        <f>F58/(1+Settings!$O$18)</f>
        <v>0.45425504653524929</v>
      </c>
      <c r="H59">
        <f>Grondslag!A55</f>
        <v>78</v>
      </c>
      <c r="I59" s="15">
        <f>IF(Settings!C$7="Unisex", overlevtafel!I85, IF(Settings!C$7="Man", overlevtafel!D85, IF(Settings!C$7="Vrouw",overlevtafel!G85) ) )/I$4</f>
        <v>0.77365628283241195</v>
      </c>
      <c r="J59" s="11">
        <f t="shared" si="58"/>
        <v>1.6466651693575418E-2</v>
      </c>
      <c r="K59" s="11">
        <f>IFERROR(J59/SUM(J59:J$100), 1)</f>
        <v>2.0840620337777175E-2</v>
      </c>
      <c r="M59" s="20">
        <v>68</v>
      </c>
      <c r="N59" s="73">
        <f>IF(Settings!D$7="Unisex", overlevtafel!Q75, IF(Settings!D$7="Man", overlevtafel!L75, IF(Settings!D$7="Vrouw",overlevtafel!O75) ) )</f>
        <v>86934.827397007466</v>
      </c>
      <c r="O59" s="20">
        <f t="shared" si="59"/>
        <v>78</v>
      </c>
      <c r="P59" s="15">
        <f t="shared" si="40"/>
        <v>0.77558197715098898</v>
      </c>
      <c r="R59" s="73">
        <f>1*($H59&gt;=Settings!D$10)</f>
        <v>1</v>
      </c>
      <c r="S59" s="73">
        <f t="shared" si="41"/>
        <v>78</v>
      </c>
      <c r="T59" s="73">
        <f>1*($S59&gt;=Settings!D$10)</f>
        <v>1</v>
      </c>
      <c r="AI59" s="20">
        <f t="shared" si="60"/>
        <v>0.23337731990974717</v>
      </c>
      <c r="BV59" s="20">
        <f t="shared" si="49"/>
        <v>0.23829287572767507</v>
      </c>
      <c r="BX59" s="15"/>
      <c r="BZ59" s="5"/>
      <c r="CA59" s="5"/>
      <c r="CB59" s="5"/>
      <c r="CC59" s="5"/>
      <c r="CD59" s="20">
        <f t="shared" si="53"/>
        <v>0.23829287583413364</v>
      </c>
    </row>
    <row r="60" spans="1:127" x14ac:dyDescent="0.25">
      <c r="A60">
        <v>54</v>
      </c>
      <c r="B60">
        <f>B59/(1+Settings!O$14)</f>
        <v>0.44754191776871854</v>
      </c>
      <c r="C60" s="73">
        <f>C59/(1+Settings!$O$15)</f>
        <v>0.44754191776871854</v>
      </c>
      <c r="D60" s="73">
        <f>D59/(1+Settings!$O$16)</f>
        <v>0.44754191776871854</v>
      </c>
      <c r="E60" s="73">
        <f>E59/(1+Settings!$O$17)</f>
        <v>0.44754191776871854</v>
      </c>
      <c r="F60" s="73">
        <f>F59/(1+Settings!$O$18)</f>
        <v>0.44754191776871854</v>
      </c>
      <c r="H60">
        <f>Grondslag!A56</f>
        <v>79</v>
      </c>
      <c r="I60" s="15">
        <f>IF(Settings!C$7="Unisex", overlevtafel!I86, IF(Settings!C$7="Man", overlevtafel!D86, IF(Settings!C$7="Vrouw",overlevtafel!G86) ) )/I$4</f>
        <v>0.7555186239837034</v>
      </c>
      <c r="J60" s="11">
        <f t="shared" si="58"/>
        <v>1.8137658848708549E-2</v>
      </c>
      <c r="K60" s="11">
        <f>IFERROR(J60/SUM(J60:J$100), 1)</f>
        <v>2.3444079375864745E-2</v>
      </c>
      <c r="M60" s="20">
        <v>69</v>
      </c>
      <c r="N60" s="73">
        <f>IF(Settings!D$7="Unisex", overlevtafel!Q76, IF(Settings!D$7="Man", overlevtafel!L76, IF(Settings!D$7="Vrouw",overlevtafel!O76) ) )</f>
        <v>86122.522499825427</v>
      </c>
      <c r="O60" s="20">
        <f t="shared" si="59"/>
        <v>79</v>
      </c>
      <c r="P60" s="15">
        <f t="shared" si="40"/>
        <v>0.75757567090333156</v>
      </c>
      <c r="R60" s="73">
        <f>1*($H60&gt;=Settings!D$10)</f>
        <v>1</v>
      </c>
      <c r="S60" s="73">
        <f t="shared" si="41"/>
        <v>79</v>
      </c>
      <c r="T60" s="73">
        <f>1*($S60&gt;=Settings!D$10)</f>
        <v>1</v>
      </c>
      <c r="AI60" s="20">
        <f t="shared" si="60"/>
        <v>0.24828615336428397</v>
      </c>
      <c r="BV60" s="20">
        <f t="shared" si="49"/>
        <v>0.25418749971417959</v>
      </c>
      <c r="BX60" s="15"/>
      <c r="BZ60" s="5"/>
      <c r="CA60" s="5"/>
      <c r="CB60" s="5"/>
      <c r="CC60" s="5"/>
      <c r="CD60" s="20">
        <f t="shared" si="53"/>
        <v>0.25418749983862265</v>
      </c>
    </row>
    <row r="61" spans="1:127" x14ac:dyDescent="0.25">
      <c r="A61">
        <v>55</v>
      </c>
      <c r="B61">
        <f>B60/(1+Settings!O$14)</f>
        <v>0.44092799780169317</v>
      </c>
      <c r="C61" s="73">
        <f>C60/(1+Settings!$O$15)</f>
        <v>0.44092799780169317</v>
      </c>
      <c r="D61" s="73">
        <f>D60/(1+Settings!$O$16)</f>
        <v>0.44092799780169317</v>
      </c>
      <c r="E61" s="73">
        <f>E60/(1+Settings!$O$17)</f>
        <v>0.44092799780169317</v>
      </c>
      <c r="F61" s="73">
        <f>F60/(1+Settings!$O$18)</f>
        <v>0.44092799780169317</v>
      </c>
      <c r="H61">
        <f>Grondslag!A57</f>
        <v>80</v>
      </c>
      <c r="I61" s="15">
        <f>IF(Settings!C$7="Unisex", overlevtafel!I87, IF(Settings!C$7="Man", overlevtafel!D87, IF(Settings!C$7="Vrouw",overlevtafel!G87) ) )/I$4</f>
        <v>0.73584707159029195</v>
      </c>
      <c r="J61" s="11">
        <f t="shared" si="58"/>
        <v>1.9671552393411451E-2</v>
      </c>
      <c r="K61" s="11">
        <f>IFERROR(J61/SUM(J61:J$100), 1)</f>
        <v>2.6037151534049806E-2</v>
      </c>
      <c r="M61" s="20">
        <v>70</v>
      </c>
      <c r="N61" s="73">
        <f>IF(Settings!D$7="Unisex", overlevtafel!Q77, IF(Settings!D$7="Man", overlevtafel!L77, IF(Settings!D$7="Vrouw",overlevtafel!O77) ) )</f>
        <v>85255.976026921009</v>
      </c>
      <c r="O61" s="20">
        <f t="shared" si="59"/>
        <v>80</v>
      </c>
      <c r="P61" s="15">
        <f t="shared" si="40"/>
        <v>0.73803602792197032</v>
      </c>
      <c r="R61" s="73">
        <f>1*($H61&gt;=Settings!D$10)</f>
        <v>1</v>
      </c>
      <c r="S61" s="73">
        <f t="shared" si="41"/>
        <v>80</v>
      </c>
      <c r="T61" s="73">
        <f>1*($S61&gt;=Settings!D$10)</f>
        <v>1</v>
      </c>
      <c r="AI61" s="20">
        <f>IFERROR($K61*SUMPRODUCT($P61:$P136, $E$6:$E$81)/MIN($P60,1), 0)</f>
        <v>0.26010916561785358</v>
      </c>
      <c r="BV61" s="20">
        <f t="shared" si="49"/>
        <v>0.26699560467204148</v>
      </c>
      <c r="BX61" s="15"/>
      <c r="BZ61" s="5"/>
      <c r="CA61" s="5"/>
      <c r="CB61" s="5"/>
      <c r="CC61" s="5"/>
      <c r="CD61" s="20">
        <f t="shared" si="53"/>
        <v>0.2669956048160359</v>
      </c>
    </row>
    <row r="62" spans="1:127" x14ac:dyDescent="0.25">
      <c r="A62">
        <v>56</v>
      </c>
      <c r="B62">
        <f>B61/(1+Settings!O$14)</f>
        <v>0.43441182049427901</v>
      </c>
      <c r="C62" s="73">
        <f>C61/(1+Settings!$O$15)</f>
        <v>0.43441182049427901</v>
      </c>
      <c r="D62" s="73">
        <f>D61/(1+Settings!$O$16)</f>
        <v>0.43441182049427901</v>
      </c>
      <c r="E62" s="73">
        <f>E61/(1+Settings!$O$17)</f>
        <v>0.43441182049427901</v>
      </c>
      <c r="F62" s="73">
        <f>F61/(1+Settings!$O$18)</f>
        <v>0.43441182049427901</v>
      </c>
      <c r="H62">
        <f>Grondslag!A58</f>
        <v>81</v>
      </c>
      <c r="I62" s="15">
        <f>IF(Settings!C$7="Unisex", overlevtafel!I88, IF(Settings!C$7="Man", overlevtafel!D88, IF(Settings!C$7="Vrouw",overlevtafel!G88) ) )/I$4</f>
        <v>0.7140195462925597</v>
      </c>
      <c r="J62" s="11">
        <f t="shared" si="58"/>
        <v>2.1827525297732242E-2</v>
      </c>
      <c r="K62" s="11">
        <f>IFERROR(J62/SUM(J62:J$100), 1)</f>
        <v>2.9663128001693961E-2</v>
      </c>
      <c r="M62" s="20">
        <v>71</v>
      </c>
      <c r="N62" s="73">
        <f>IF(Settings!D$7="Unisex", overlevtafel!Q78, IF(Settings!D$7="Man", overlevtafel!L78, IF(Settings!D$7="Vrouw",overlevtafel!O78) ) )</f>
        <v>84336.323730340024</v>
      </c>
      <c r="O62" s="20">
        <f t="shared" si="59"/>
        <v>81</v>
      </c>
      <c r="P62" s="15">
        <f t="shared" si="40"/>
        <v>0.71633526617377641</v>
      </c>
      <c r="R62" s="73">
        <f>1*($H62&gt;=Settings!D$10)</f>
        <v>1</v>
      </c>
      <c r="S62" s="73">
        <f t="shared" si="41"/>
        <v>81</v>
      </c>
      <c r="T62" s="73">
        <f>1*($S62&gt;=Settings!D$10)</f>
        <v>1</v>
      </c>
      <c r="AI62" s="20">
        <f t="shared" si="60"/>
        <v>0.27863244391185682</v>
      </c>
      <c r="BV62" s="20">
        <f t="shared" si="49"/>
        <v>0.28707337435781438</v>
      </c>
      <c r="BX62" s="15"/>
      <c r="BZ62" s="5"/>
      <c r="CA62" s="5"/>
      <c r="CB62" s="5"/>
      <c r="CC62" s="5"/>
      <c r="CD62" s="20">
        <f t="shared" si="53"/>
        <v>0.28707337452936654</v>
      </c>
    </row>
    <row r="63" spans="1:127" x14ac:dyDescent="0.25">
      <c r="A63">
        <v>57</v>
      </c>
      <c r="B63">
        <f>B62/(1+Settings!O$14)</f>
        <v>0.42799194137367397</v>
      </c>
      <c r="C63" s="73">
        <f>C62/(1+Settings!$O$15)</f>
        <v>0.42799194137367397</v>
      </c>
      <c r="D63" s="73">
        <f>D62/(1+Settings!$O$16)</f>
        <v>0.42799194137367397</v>
      </c>
      <c r="E63" s="73">
        <f>E62/(1+Settings!$O$17)</f>
        <v>0.42799194137367397</v>
      </c>
      <c r="F63" s="73">
        <f>F62/(1+Settings!$O$18)</f>
        <v>0.42799194137367397</v>
      </c>
      <c r="H63">
        <f>Grondslag!A59</f>
        <v>82</v>
      </c>
      <c r="I63" s="15">
        <f>IF(Settings!C$7="Unisex", overlevtafel!I89, IF(Settings!C$7="Man", overlevtafel!D89, IF(Settings!C$7="Vrouw",overlevtafel!G89) ) )/I$4</f>
        <v>0.68979157674028291</v>
      </c>
      <c r="J63" s="11">
        <f t="shared" si="58"/>
        <v>2.4227969552276796E-2</v>
      </c>
      <c r="K63" s="11">
        <f>IFERROR(J63/SUM(J63:J$100), 1)</f>
        <v>3.3931802480147294E-2</v>
      </c>
      <c r="M63" s="20">
        <v>72</v>
      </c>
      <c r="N63" s="73">
        <f>IF(Settings!D$7="Unisex", overlevtafel!Q79, IF(Settings!D$7="Man", overlevtafel!L79, IF(Settings!D$7="Vrouw",overlevtafel!O79) ) )</f>
        <v>83341.439807962102</v>
      </c>
      <c r="O63" s="20">
        <f t="shared" si="59"/>
        <v>82</v>
      </c>
      <c r="P63" s="15">
        <f t="shared" si="40"/>
        <v>0.692223660163784</v>
      </c>
      <c r="R63" s="73">
        <f>1*($H63&gt;=Settings!D$10)</f>
        <v>1</v>
      </c>
      <c r="S63" s="73">
        <f t="shared" si="41"/>
        <v>82</v>
      </c>
      <c r="T63" s="73">
        <f>1*($S63&gt;=Settings!D$10)</f>
        <v>1</v>
      </c>
      <c r="AI63" s="20">
        <f t="shared" si="60"/>
        <v>0.29886967907295148</v>
      </c>
      <c r="BV63" s="20">
        <f t="shared" si="49"/>
        <v>0.3092799383896484</v>
      </c>
      <c r="BX63" s="15"/>
      <c r="BZ63" s="5"/>
      <c r="CA63" s="5"/>
      <c r="CB63" s="5"/>
      <c r="CC63" s="5"/>
      <c r="CD63" s="20">
        <f t="shared" si="53"/>
        <v>0.30927993859576935</v>
      </c>
    </row>
    <row r="64" spans="1:127" x14ac:dyDescent="0.25">
      <c r="A64">
        <v>58</v>
      </c>
      <c r="B64">
        <f>B63/(1+Settings!O$14)</f>
        <v>0.42166693731396454</v>
      </c>
      <c r="C64" s="73">
        <f>C63/(1+Settings!$O$15)</f>
        <v>0.42166693731396454</v>
      </c>
      <c r="D64" s="73">
        <f>D63/(1+Settings!$O$16)</f>
        <v>0.42166693731396454</v>
      </c>
      <c r="E64" s="73">
        <f>E63/(1+Settings!$O$17)</f>
        <v>0.42166693731396454</v>
      </c>
      <c r="F64" s="73">
        <f>F63/(1+Settings!$O$18)</f>
        <v>0.42166693731396454</v>
      </c>
      <c r="H64">
        <f>Grondslag!A60</f>
        <v>83</v>
      </c>
      <c r="I64" s="15">
        <f>IF(Settings!C$7="Unisex", overlevtafel!I90, IF(Settings!C$7="Man", overlevtafel!D90, IF(Settings!C$7="Vrouw",overlevtafel!G90) ) )/I$4</f>
        <v>0.66330892776610229</v>
      </c>
      <c r="J64" s="11">
        <f t="shared" si="58"/>
        <v>2.6482648974180623E-2</v>
      </c>
      <c r="K64" s="11">
        <f>IFERROR(J64/SUM(J64:J$100), 1)</f>
        <v>3.8392248634735296E-2</v>
      </c>
      <c r="M64" s="20">
        <v>73</v>
      </c>
      <c r="N64" s="73">
        <f>IF(Settings!D$7="Unisex", overlevtafel!Q80, IF(Settings!D$7="Man", overlevtafel!L80, IF(Settings!D$7="Vrouw",overlevtafel!O80) ) )</f>
        <v>82278.010941775079</v>
      </c>
      <c r="O64" s="20">
        <f t="shared" si="59"/>
        <v>83</v>
      </c>
      <c r="P64" s="15">
        <f t="shared" si="40"/>
        <v>0.66584554275248686</v>
      </c>
      <c r="R64" s="73">
        <f>1*($H64&gt;=Settings!D$10)</f>
        <v>1</v>
      </c>
      <c r="S64" s="73">
        <f t="shared" si="41"/>
        <v>83</v>
      </c>
      <c r="T64" s="73">
        <f>1*($S64&gt;=Settings!D$10)</f>
        <v>1</v>
      </c>
      <c r="AI64" s="20">
        <f t="shared" si="60"/>
        <v>0.31621670026762022</v>
      </c>
      <c r="BV64" s="20">
        <f t="shared" si="49"/>
        <v>0.3287439315061621</v>
      </c>
      <c r="BX64" s="15"/>
      <c r="BZ64" s="5"/>
      <c r="CA64" s="5"/>
      <c r="CB64" s="5"/>
      <c r="CC64" s="5"/>
      <c r="CD64" s="20">
        <f t="shared" si="53"/>
        <v>0.3287439317522543</v>
      </c>
    </row>
    <row r="65" spans="1:82" x14ac:dyDescent="0.25">
      <c r="A65">
        <v>59</v>
      </c>
      <c r="B65">
        <f>B64/(1+Settings!O$14)</f>
        <v>0.41543540622065478</v>
      </c>
      <c r="C65" s="73">
        <f>C64/(1+Settings!$O$15)</f>
        <v>0.41543540622065478</v>
      </c>
      <c r="D65" s="73">
        <f>D64/(1+Settings!$O$16)</f>
        <v>0.41543540622065478</v>
      </c>
      <c r="E65" s="73">
        <f>E64/(1+Settings!$O$17)</f>
        <v>0.41543540622065478</v>
      </c>
      <c r="F65" s="73">
        <f>F64/(1+Settings!$O$18)</f>
        <v>0.41543540622065478</v>
      </c>
      <c r="H65">
        <f>Grondslag!A61</f>
        <v>84</v>
      </c>
      <c r="I65" s="15">
        <f>IF(Settings!C$7="Unisex", overlevtafel!I91, IF(Settings!C$7="Man", overlevtafel!D91, IF(Settings!C$7="Vrouw",overlevtafel!G91) ) )/I$4</f>
        <v>0.63420011166343282</v>
      </c>
      <c r="J65" s="11">
        <f t="shared" si="58"/>
        <v>2.9108816102669466E-2</v>
      </c>
      <c r="K65" s="11">
        <f>IFERROR(J65/SUM(J65:J$100), 1)</f>
        <v>4.3884253229670073E-2</v>
      </c>
      <c r="M65" s="20">
        <v>74</v>
      </c>
      <c r="N65" s="73">
        <f>IF(Settings!D$7="Unisex", overlevtafel!Q81, IF(Settings!D$7="Man", overlevtafel!L81, IF(Settings!D$7="Vrouw",overlevtafel!O81) ) )</f>
        <v>81131.208313974785</v>
      </c>
      <c r="O65" s="20">
        <f t="shared" si="59"/>
        <v>84</v>
      </c>
      <c r="P65" s="15">
        <f t="shared" si="40"/>
        <v>0.63682393297392281</v>
      </c>
      <c r="R65" s="73">
        <f>1*($H65&gt;=Settings!D$10)</f>
        <v>1</v>
      </c>
      <c r="S65" s="73">
        <f t="shared" si="41"/>
        <v>84</v>
      </c>
      <c r="T65" s="73">
        <f>1*($S65&gt;=Settings!D$10)</f>
        <v>1</v>
      </c>
      <c r="AI65" s="20">
        <f t="shared" si="60"/>
        <v>0.33686473830821351</v>
      </c>
      <c r="BV65" s="20">
        <f t="shared" si="49"/>
        <v>0.35221648042565445</v>
      </c>
      <c r="BX65" s="15"/>
      <c r="BZ65" s="5"/>
      <c r="CA65" s="5"/>
      <c r="CB65" s="5"/>
      <c r="CC65" s="5"/>
      <c r="CD65" s="20">
        <f t="shared" si="53"/>
        <v>0.35221648072418105</v>
      </c>
    </row>
    <row r="66" spans="1:82" x14ac:dyDescent="0.25">
      <c r="A66">
        <v>60</v>
      </c>
      <c r="B66">
        <f>B65/(1+Settings!O$14)</f>
        <v>0.40929596671985696</v>
      </c>
      <c r="C66" s="73">
        <f>C65/(1+Settings!$O$15)</f>
        <v>0.40929596671985696</v>
      </c>
      <c r="D66" s="73">
        <f>D65/(1+Settings!$O$16)</f>
        <v>0.40929596671985696</v>
      </c>
      <c r="E66" s="73">
        <f>E65/(1+Settings!$O$17)</f>
        <v>0.40929596671985696</v>
      </c>
      <c r="F66" s="73">
        <f>F65/(1+Settings!$O$18)</f>
        <v>0.40929596671985696</v>
      </c>
      <c r="H66">
        <f>Grondslag!A62</f>
        <v>85</v>
      </c>
      <c r="I66" s="15">
        <f>IF(Settings!C$7="Unisex", overlevtafel!I92, IF(Settings!C$7="Man", overlevtafel!D92, IF(Settings!C$7="Vrouw",overlevtafel!G92) ) )/I$4</f>
        <v>0.60261551422587245</v>
      </c>
      <c r="J66" s="11">
        <f t="shared" si="58"/>
        <v>3.1584597437560369E-2</v>
      </c>
      <c r="K66" s="11">
        <f>IFERROR(J66/SUM(J66:J$100), 1)</f>
        <v>4.9802259294242424E-2</v>
      </c>
      <c r="M66" s="20">
        <v>75</v>
      </c>
      <c r="N66" s="73">
        <f>IF(Settings!D$7="Unisex", overlevtafel!Q82, IF(Settings!D$7="Man", overlevtafel!L82, IF(Settings!D$7="Vrouw",overlevtafel!O82) ) )</f>
        <v>79896.710503436116</v>
      </c>
      <c r="O66" s="20">
        <f t="shared" si="59"/>
        <v>85</v>
      </c>
      <c r="P66" s="15">
        <f t="shared" si="40"/>
        <v>0.60530678719471109</v>
      </c>
      <c r="R66" s="73">
        <f>1*($H66&gt;=Settings!D$10)</f>
        <v>1</v>
      </c>
      <c r="S66" s="73">
        <f t="shared" si="41"/>
        <v>85</v>
      </c>
      <c r="T66" s="73">
        <f>1*($S66&gt;=Settings!D$10)</f>
        <v>1</v>
      </c>
      <c r="AI66" s="20">
        <f t="shared" si="60"/>
        <v>0.35516102060618238</v>
      </c>
      <c r="BV66" s="20">
        <f t="shared" si="49"/>
        <v>0.37365356303154218</v>
      </c>
      <c r="BX66" s="15"/>
      <c r="BZ66" s="5"/>
      <c r="CA66" s="5"/>
      <c r="CB66" s="5"/>
      <c r="CC66" s="5"/>
      <c r="CD66" s="20">
        <f t="shared" si="53"/>
        <v>0.37365356339331279</v>
      </c>
    </row>
    <row r="67" spans="1:82" x14ac:dyDescent="0.25">
      <c r="A67">
        <v>61</v>
      </c>
      <c r="B67">
        <f>B66/(1+Settings!O$14)</f>
        <v>0.40324725785207588</v>
      </c>
      <c r="C67" s="73">
        <f>C66/(1+Settings!$O$15)</f>
        <v>0.40324725785207588</v>
      </c>
      <c r="D67" s="73">
        <f>D66/(1+Settings!$O$16)</f>
        <v>0.40324725785207588</v>
      </c>
      <c r="E67" s="73">
        <f>E66/(1+Settings!$O$17)</f>
        <v>0.40324725785207588</v>
      </c>
      <c r="F67" s="73">
        <f>F66/(1+Settings!$O$18)</f>
        <v>0.40324725785207588</v>
      </c>
      <c r="H67">
        <f>Grondslag!A63</f>
        <v>86</v>
      </c>
      <c r="I67" s="15">
        <f>IF(Settings!C$7="Unisex", overlevtafel!I93, IF(Settings!C$7="Man", overlevtafel!D93, IF(Settings!C$7="Vrouw",overlevtafel!G93) ) )/I$4</f>
        <v>0.56807487737912521</v>
      </c>
      <c r="J67" s="11">
        <f t="shared" si="58"/>
        <v>3.4540636846747241E-2</v>
      </c>
      <c r="K67" s="11">
        <f>IFERROR(J67/SUM(J67:J$100), 1)</f>
        <v>5.7317870425438358E-2</v>
      </c>
      <c r="M67" s="20">
        <v>76</v>
      </c>
      <c r="N67" s="73">
        <f>IF(Settings!D$7="Unisex", overlevtafel!Q83, IF(Settings!D$7="Man", overlevtafel!L83, IF(Settings!D$7="Vrouw",overlevtafel!O83) ) )</f>
        <v>78559.894566357485</v>
      </c>
      <c r="O67" s="20">
        <f t="shared" si="59"/>
        <v>86</v>
      </c>
      <c r="P67" s="15">
        <f t="shared" si="40"/>
        <v>0.57080760971106381</v>
      </c>
      <c r="R67" s="73">
        <f>1*($H67&gt;=Settings!D$10)</f>
        <v>1</v>
      </c>
      <c r="S67" s="73">
        <f t="shared" si="41"/>
        <v>86</v>
      </c>
      <c r="T67" s="73">
        <f>1*($S67&gt;=Settings!D$10)</f>
        <v>1</v>
      </c>
      <c r="AI67" s="20">
        <f t="shared" si="60"/>
        <v>0.37831424434834454</v>
      </c>
      <c r="BV67" s="20">
        <f t="shared" si="49"/>
        <v>0.40117926888991107</v>
      </c>
      <c r="BX67" s="15"/>
      <c r="BZ67" s="5"/>
      <c r="CA67" s="5"/>
      <c r="CB67" s="5"/>
      <c r="CC67" s="5"/>
      <c r="CD67" s="20">
        <f t="shared" si="53"/>
        <v>0.40117926933806386</v>
      </c>
    </row>
    <row r="68" spans="1:82" x14ac:dyDescent="0.25">
      <c r="A68">
        <v>62</v>
      </c>
      <c r="B68">
        <f>B67/(1+Settings!O$14)</f>
        <v>0.39728793877051816</v>
      </c>
      <c r="C68" s="73">
        <f>C67/(1+Settings!$O$15)</f>
        <v>0.39728793877051816</v>
      </c>
      <c r="D68" s="73">
        <f>D67/(1+Settings!$O$16)</f>
        <v>0.39728793877051816</v>
      </c>
      <c r="E68" s="73">
        <f>E67/(1+Settings!$O$17)</f>
        <v>0.39728793877051816</v>
      </c>
      <c r="F68" s="73">
        <f>F67/(1+Settings!$O$18)</f>
        <v>0.39728793877051816</v>
      </c>
      <c r="H68">
        <f>Grondslag!A64</f>
        <v>87</v>
      </c>
      <c r="I68" s="15">
        <f>IF(Settings!C$7="Unisex", overlevtafel!I94, IF(Settings!C$7="Man", overlevtafel!D94, IF(Settings!C$7="Vrouw",overlevtafel!G94) ) )/I$4</f>
        <v>0.53051877060354047</v>
      </c>
      <c r="J68" s="11">
        <f t="shared" si="58"/>
        <v>3.7556106775584741E-2</v>
      </c>
      <c r="K68" s="11">
        <f>IFERROR(J68/SUM(J68:J$100), 1)</f>
        <v>6.6111193358467268E-2</v>
      </c>
      <c r="M68" s="20">
        <v>77</v>
      </c>
      <c r="N68" s="73">
        <f>IF(Settings!D$7="Unisex", overlevtafel!Q84, IF(Settings!D$7="Man", overlevtafel!L84, IF(Settings!D$7="Vrouw",overlevtafel!O84) ) )</f>
        <v>77101.51548150192</v>
      </c>
      <c r="O68" s="20">
        <f t="shared" si="59"/>
        <v>87</v>
      </c>
      <c r="P68" s="15">
        <f t="shared" si="40"/>
        <v>0.5332571539467682</v>
      </c>
      <c r="R68" s="73">
        <f>1*($H68&gt;=Settings!D$10)</f>
        <v>1</v>
      </c>
      <c r="S68" s="73">
        <f t="shared" si="41"/>
        <v>87</v>
      </c>
      <c r="T68" s="73">
        <f>1*($S68&gt;=Settings!D$10)</f>
        <v>1</v>
      </c>
      <c r="AI68" s="20">
        <f t="shared" si="60"/>
        <v>0.40256352115387506</v>
      </c>
      <c r="BV68" s="20">
        <f t="shared" si="49"/>
        <v>0.4309109015538336</v>
      </c>
      <c r="BX68" s="15"/>
      <c r="BZ68" s="5"/>
      <c r="CA68" s="5"/>
      <c r="CB68" s="5"/>
      <c r="CC68" s="5"/>
      <c r="CD68" s="20">
        <f t="shared" si="53"/>
        <v>0.43091090211543764</v>
      </c>
    </row>
    <row r="69" spans="1:82" x14ac:dyDescent="0.25">
      <c r="A69">
        <v>63</v>
      </c>
      <c r="B69">
        <f>B68/(1+Settings!O$14)</f>
        <v>0.39141668844386029</v>
      </c>
      <c r="C69" s="73">
        <f>C68/(1+Settings!$O$15)</f>
        <v>0.39141668844386029</v>
      </c>
      <c r="D69" s="73">
        <f>D68/(1+Settings!$O$16)</f>
        <v>0.39141668844386029</v>
      </c>
      <c r="E69" s="73">
        <f>E68/(1+Settings!$O$17)</f>
        <v>0.39141668844386029</v>
      </c>
      <c r="F69" s="73">
        <f>F68/(1+Settings!$O$18)</f>
        <v>0.39141668844386029</v>
      </c>
      <c r="H69">
        <f>Grondslag!A65</f>
        <v>88</v>
      </c>
      <c r="I69" s="15">
        <f>IF(Settings!C$7="Unisex", overlevtafel!I95, IF(Settings!C$7="Man", overlevtafel!D95, IF(Settings!C$7="Vrouw",overlevtafel!G95) ) )/I$4</f>
        <v>0.4900798505734546</v>
      </c>
      <c r="J69" s="11">
        <f t="shared" si="58"/>
        <v>4.0438920030085868E-2</v>
      </c>
      <c r="K69" s="11">
        <f>IFERROR(J69/SUM(J69:J$100), 1)</f>
        <v>7.6225241692331011E-2</v>
      </c>
      <c r="M69" s="20">
        <v>78</v>
      </c>
      <c r="N69" s="73">
        <f>IF(Settings!D$7="Unisex", overlevtafel!Q85, IF(Settings!D$7="Man", overlevtafel!L85, IF(Settings!D$7="Vrouw",overlevtafel!O85) ) )</f>
        <v>75511.049086408864</v>
      </c>
      <c r="O69" s="20">
        <f t="shared" si="59"/>
        <v>88</v>
      </c>
      <c r="P69" s="15">
        <f t="shared" si="40"/>
        <v>0.49278620044091298</v>
      </c>
      <c r="R69" s="73">
        <f>1*($H69&gt;=Settings!D$10)</f>
        <v>1</v>
      </c>
      <c r="S69" s="73">
        <f t="shared" si="41"/>
        <v>88</v>
      </c>
      <c r="T69" s="73">
        <f>1*($S69&gt;=Settings!D$10)</f>
        <v>1</v>
      </c>
      <c r="AI69" s="20">
        <f t="shared" si="60"/>
        <v>0.42691787464484737</v>
      </c>
      <c r="BV69" s="20">
        <f t="shared" si="49"/>
        <v>0.4619792726499789</v>
      </c>
      <c r="BX69" s="15"/>
      <c r="BZ69" s="5"/>
      <c r="CA69" s="5"/>
      <c r="CB69" s="5"/>
      <c r="CC69" s="5"/>
      <c r="CD69" s="20">
        <f t="shared" si="53"/>
        <v>0.46197927336118955</v>
      </c>
    </row>
    <row r="70" spans="1:82" x14ac:dyDescent="0.25">
      <c r="A70">
        <v>64</v>
      </c>
      <c r="B70">
        <f>B69/(1+Settings!O$14)</f>
        <v>0.3856322053634092</v>
      </c>
      <c r="C70" s="73">
        <f>C69/(1+Settings!$O$15)</f>
        <v>0.3856322053634092</v>
      </c>
      <c r="D70" s="73">
        <f>D69/(1+Settings!$O$16)</f>
        <v>0.3856322053634092</v>
      </c>
      <c r="E70" s="73">
        <f>E69/(1+Settings!$O$17)</f>
        <v>0.3856322053634092</v>
      </c>
      <c r="F70" s="73">
        <f>F69/(1+Settings!$O$18)</f>
        <v>0.3856322053634092</v>
      </c>
      <c r="H70">
        <f>Grondslag!A66</f>
        <v>89</v>
      </c>
      <c r="I70" s="15">
        <f>IF(Settings!C$7="Unisex", overlevtafel!I96, IF(Settings!C$7="Man", overlevtafel!D96, IF(Settings!C$7="Vrouw",overlevtafel!G96) ) )/I$4</f>
        <v>0.44706352524957321</v>
      </c>
      <c r="J70" s="11">
        <f t="shared" si="58"/>
        <v>4.3016325323881388E-2</v>
      </c>
      <c r="K70" s="11">
        <f>IFERROR(J70/SUM(J70:J$100), 1)</f>
        <v>8.7774118808382331E-2</v>
      </c>
      <c r="M70" s="20">
        <v>79</v>
      </c>
      <c r="N70" s="73">
        <f>IF(Settings!D$7="Unisex", overlevtafel!Q86, IF(Settings!D$7="Man", overlevtafel!L86, IF(Settings!D$7="Vrouw",overlevtafel!O86) ) )</f>
        <v>73757.946106983814</v>
      </c>
      <c r="O70" s="20">
        <f t="shared" si="59"/>
        <v>89</v>
      </c>
      <c r="P70" s="15">
        <f t="shared" ref="P70:P103" si="65">IFERROR(VLOOKUP($O70, $M$6:$N$111, MATCH($N$5, $M$5:$N$5,0),FALSE)/P$4, 0)</f>
        <v>0.44969064398061143</v>
      </c>
      <c r="R70" s="73">
        <f>1*($H70&gt;=Settings!D$10)</f>
        <v>1</v>
      </c>
      <c r="S70" s="73">
        <f t="shared" si="41"/>
        <v>89</v>
      </c>
      <c r="T70" s="73">
        <f>1*($S70&gt;=Settings!D$10)</f>
        <v>1</v>
      </c>
      <c r="AI70" s="20">
        <f t="shared" si="60"/>
        <v>0.45086257185420325</v>
      </c>
      <c r="BV70" s="20">
        <f t="shared" si="49"/>
        <v>0.49407043768738379</v>
      </c>
      <c r="BX70" s="15"/>
      <c r="BZ70" s="5"/>
      <c r="CA70" s="5"/>
      <c r="CB70" s="5"/>
      <c r="CC70" s="5"/>
      <c r="CD70" s="20">
        <f t="shared" si="53"/>
        <v>0.49407043859829619</v>
      </c>
    </row>
    <row r="71" spans="1:82" x14ac:dyDescent="0.25">
      <c r="A71">
        <v>65</v>
      </c>
      <c r="B71">
        <f>B70/(1+Settings!O$14)</f>
        <v>0.3799332072545904</v>
      </c>
      <c r="C71" s="73">
        <f>C70/(1+Settings!$O$15)</f>
        <v>0.3799332072545904</v>
      </c>
      <c r="D71" s="73">
        <f>D70/(1+Settings!$O$16)</f>
        <v>0.3799332072545904</v>
      </c>
      <c r="E71" s="73">
        <f>E70/(1+Settings!$O$17)</f>
        <v>0.3799332072545904</v>
      </c>
      <c r="F71" s="73">
        <f>F70/(1+Settings!$O$18)</f>
        <v>0.3799332072545904</v>
      </c>
      <c r="H71">
        <f>Grondslag!A67</f>
        <v>90</v>
      </c>
      <c r="I71" s="15">
        <f>IF(Settings!C$7="Unisex", overlevtafel!I97, IF(Settings!C$7="Man", overlevtafel!D97, IF(Settings!C$7="Vrouw",overlevtafel!G97) ) )/I$4</f>
        <v>0.40197877663487525</v>
      </c>
      <c r="J71" s="11">
        <f t="shared" si="58"/>
        <v>4.5084748614697967E-2</v>
      </c>
      <c r="K71" s="11">
        <f>IFERROR(J71/SUM(J71:J$100), 1)</f>
        <v>0.10084640778856907</v>
      </c>
      <c r="M71" s="20">
        <v>80</v>
      </c>
      <c r="N71" s="73">
        <f>IF(Settings!D$7="Unisex", overlevtafel!Q87, IF(Settings!D$7="Man", overlevtafel!L87, IF(Settings!D$7="Vrouw",overlevtafel!O87) ) )</f>
        <v>71855.556696496991</v>
      </c>
      <c r="O71" s="20">
        <f t="shared" si="59"/>
        <v>90</v>
      </c>
      <c r="P71" s="15">
        <f t="shared" si="65"/>
        <v>0.40448076948729783</v>
      </c>
      <c r="R71" s="73">
        <f>1*($H71&gt;=Settings!D$10)</f>
        <v>1</v>
      </c>
      <c r="S71" s="73">
        <f t="shared" ref="S71:S100" si="66">O71</f>
        <v>90</v>
      </c>
      <c r="T71" s="73">
        <f>1*($S71&gt;=Settings!D$10)</f>
        <v>1</v>
      </c>
      <c r="AI71" s="20">
        <f t="shared" si="60"/>
        <v>0.47380854149668583</v>
      </c>
      <c r="BV71" s="20">
        <f t="shared" ref="BV71:BV84" si="67">IFERROR($K71*SUMPRODUCT($P71:$P146, $E$6:$E$81,  $R71:$R146)/MIN($P71,1), 0)</f>
        <v>0.5267673613792293</v>
      </c>
      <c r="BX71" s="15"/>
      <c r="BZ71" s="5"/>
      <c r="CA71" s="5"/>
      <c r="CB71" s="5"/>
      <c r="CC71" s="5"/>
      <c r="CD71" s="20">
        <f t="shared" ref="CD71:CD76" si="68">IFERROR( $K71*SUMPRODUCT($P71:$P146, $E$6:$E$81)/$P71, 0)</f>
        <v>0.5267673625602366</v>
      </c>
    </row>
    <row r="72" spans="1:82" x14ac:dyDescent="0.25">
      <c r="A72">
        <v>66</v>
      </c>
      <c r="B72">
        <f>B71/(1+Settings!O$14)</f>
        <v>0.37431843079269994</v>
      </c>
      <c r="C72" s="73">
        <f>C71/(1+Settings!$O$15)</f>
        <v>0.37431843079269994</v>
      </c>
      <c r="D72" s="73">
        <f>D71/(1+Settings!$O$16)</f>
        <v>0.37431843079269994</v>
      </c>
      <c r="E72" s="73">
        <f>E71/(1+Settings!$O$17)</f>
        <v>0.37431843079269994</v>
      </c>
      <c r="F72" s="73">
        <f>F71/(1+Settings!$O$18)</f>
        <v>0.37431843079269994</v>
      </c>
      <c r="H72">
        <f>Grondslag!A68</f>
        <v>91</v>
      </c>
      <c r="I72" s="15">
        <f>IF(Settings!C$7="Unisex", overlevtafel!I98, IF(Settings!C$7="Man", overlevtafel!D98, IF(Settings!C$7="Vrouw",overlevtafel!G98) ) )/I$4</f>
        <v>0.35523145530189199</v>
      </c>
      <c r="J72" s="11">
        <f t="shared" ref="J72:J100" si="69">I71-I72</f>
        <v>4.674732133298326E-2</v>
      </c>
      <c r="K72" s="11">
        <f>IFERROR(J72/SUM(J72:J$100), 1)</f>
        <v>0.11629301423461801</v>
      </c>
      <c r="M72" s="20">
        <v>81</v>
      </c>
      <c r="N72" s="73">
        <f>IF(Settings!D$7="Unisex", overlevtafel!Q88, IF(Settings!D$7="Man", overlevtafel!L88, IF(Settings!D$7="Vrouw",overlevtafel!O88) ) )</f>
        <v>69742.759682311953</v>
      </c>
      <c r="O72" s="20">
        <f t="shared" ref="O72:O90" si="70">O71+1</f>
        <v>91</v>
      </c>
      <c r="P72" s="15">
        <f t="shared" si="65"/>
        <v>0.35756781203949317</v>
      </c>
      <c r="R72" s="73">
        <f>1*($H72&gt;=Settings!D$10)</f>
        <v>1</v>
      </c>
      <c r="S72" s="73">
        <f t="shared" si="66"/>
        <v>91</v>
      </c>
      <c r="T72" s="73">
        <f>1*($S72&gt;=Settings!D$10)</f>
        <v>1</v>
      </c>
      <c r="AI72" s="20">
        <f t="shared" ref="AI72:AI100" si="71">IFERROR($K72*SUMPRODUCT($P72:$P147, $E$6:$E$81)/MIN($P71,1), 0)</f>
        <v>0.49852649423397166</v>
      </c>
      <c r="BV72" s="20">
        <f t="shared" si="67"/>
        <v>0.56393325307526365</v>
      </c>
      <c r="BX72" s="15"/>
      <c r="BZ72" s="5"/>
      <c r="CA72" s="5"/>
      <c r="CB72" s="5"/>
      <c r="CC72" s="5"/>
      <c r="CD72" s="20">
        <f t="shared" si="68"/>
        <v>0.56393325463895583</v>
      </c>
    </row>
    <row r="73" spans="1:82" x14ac:dyDescent="0.25">
      <c r="A73">
        <v>67</v>
      </c>
      <c r="B73">
        <f>B72/(1+Settings!O$14)</f>
        <v>0.36878663132285711</v>
      </c>
      <c r="C73" s="73">
        <f>C72/(1+Settings!$O$15)</f>
        <v>0.36878663132285711</v>
      </c>
      <c r="D73" s="73">
        <f>D72/(1+Settings!$O$16)</f>
        <v>0.36878663132285711</v>
      </c>
      <c r="E73" s="73">
        <f>E72/(1+Settings!$O$17)</f>
        <v>0.36878663132285711</v>
      </c>
      <c r="F73" s="73">
        <f>F72/(1+Settings!$O$18)</f>
        <v>0.36878663132285711</v>
      </c>
      <c r="H73">
        <f>Grondslag!A69</f>
        <v>92</v>
      </c>
      <c r="I73" s="15">
        <f>IF(Settings!C$7="Unisex", overlevtafel!I99, IF(Settings!C$7="Man", overlevtafel!D99, IF(Settings!C$7="Vrouw",overlevtafel!G99) ) )/I$4</f>
        <v>0.30890095529677408</v>
      </c>
      <c r="J73" s="11">
        <f t="shared" si="69"/>
        <v>4.6330500005117903E-2</v>
      </c>
      <c r="K73" s="11">
        <f>IFERROR(J73/SUM(J73:J$100), 1)</f>
        <v>0.13042342351301195</v>
      </c>
      <c r="M73" s="20">
        <v>82</v>
      </c>
      <c r="N73" s="73">
        <f>IF(Settings!D$7="Unisex", overlevtafel!Q89, IF(Settings!D$7="Man", overlevtafel!L89, IF(Settings!D$7="Vrouw",overlevtafel!O89) ) )</f>
        <v>67395.241665376088</v>
      </c>
      <c r="O73" s="20">
        <f t="shared" si="70"/>
        <v>92</v>
      </c>
      <c r="P73" s="15">
        <f t="shared" si="65"/>
        <v>0.31103229862722787</v>
      </c>
      <c r="R73" s="73">
        <f>1*($H73&gt;=Settings!D$10)</f>
        <v>1</v>
      </c>
      <c r="S73" s="73">
        <f t="shared" si="66"/>
        <v>92</v>
      </c>
      <c r="T73" s="73">
        <f>1*($S73&gt;=Settings!D$10)</f>
        <v>1</v>
      </c>
      <c r="AI73" s="20">
        <f t="shared" si="71"/>
        <v>0.50956211459103473</v>
      </c>
      <c r="BV73" s="20">
        <f t="shared" si="67"/>
        <v>0.58580092993632915</v>
      </c>
      <c r="BX73" s="15"/>
      <c r="BZ73" s="5"/>
      <c r="CA73" s="5"/>
      <c r="CB73" s="5"/>
      <c r="CC73" s="5"/>
      <c r="CD73" s="20">
        <f t="shared" si="68"/>
        <v>0.58580093198264294</v>
      </c>
    </row>
    <row r="74" spans="1:82" x14ac:dyDescent="0.25">
      <c r="A74">
        <v>68</v>
      </c>
      <c r="B74">
        <f>B73/(1+Settings!O$14)</f>
        <v>0.36333658258409568</v>
      </c>
      <c r="C74" s="73">
        <f>C73/(1+Settings!$O$15)</f>
        <v>0.36333658258409568</v>
      </c>
      <c r="D74" s="73">
        <f>D73/(1+Settings!$O$16)</f>
        <v>0.36333658258409568</v>
      </c>
      <c r="E74" s="73">
        <f>E73/(1+Settings!$O$17)</f>
        <v>0.36333658258409568</v>
      </c>
      <c r="F74" s="73">
        <f>F73/(1+Settings!$O$18)</f>
        <v>0.36333658258409568</v>
      </c>
      <c r="H74">
        <f>Grondslag!A70</f>
        <v>93</v>
      </c>
      <c r="I74" s="15">
        <f>IF(Settings!C$7="Unisex", overlevtafel!I100, IF(Settings!C$7="Man", overlevtafel!D100, IF(Settings!C$7="Vrouw",overlevtafel!G100) ) )/I$4</f>
        <v>0.2631174740707854</v>
      </c>
      <c r="J74" s="11">
        <f t="shared" si="69"/>
        <v>4.5783481225988687E-2</v>
      </c>
      <c r="K74" s="11">
        <f>IFERROR(J74/SUM(J74:J$100), 1)</f>
        <v>0.14821412275219661</v>
      </c>
      <c r="M74" s="20">
        <v>83</v>
      </c>
      <c r="N74" s="73">
        <f>IF(Settings!D$7="Unisex", overlevtafel!Q90, IF(Settings!D$7="Man", overlevtafel!L90, IF(Settings!D$7="Vrouw",overlevtafel!O90) ) )</f>
        <v>64827.054965153497</v>
      </c>
      <c r="O74" s="20">
        <f t="shared" si="70"/>
        <v>93</v>
      </c>
      <c r="P74" s="15">
        <f t="shared" si="65"/>
        <v>0.26501088445422571</v>
      </c>
      <c r="R74" s="73">
        <f>1*($H74&gt;=Settings!D$10)</f>
        <v>1</v>
      </c>
      <c r="S74" s="73">
        <f t="shared" si="66"/>
        <v>93</v>
      </c>
      <c r="T74" s="73">
        <f>1*($S74&gt;=Settings!D$10)</f>
        <v>1</v>
      </c>
      <c r="AI74" s="20">
        <f t="shared" si="71"/>
        <v>0.52525671204418556</v>
      </c>
      <c r="BV74" s="20">
        <f t="shared" si="67"/>
        <v>0.6164720446060149</v>
      </c>
      <c r="BX74" s="15"/>
      <c r="BZ74" s="5"/>
      <c r="CA74" s="5"/>
      <c r="CB74" s="5"/>
      <c r="CC74" s="5"/>
      <c r="CD74" s="20">
        <f t="shared" si="68"/>
        <v>0.6164720473762334</v>
      </c>
    </row>
    <row r="75" spans="1:82" x14ac:dyDescent="0.25">
      <c r="A75">
        <v>69</v>
      </c>
      <c r="B75">
        <f>B74/(1+Settings!O$14)</f>
        <v>0.35796707643753273</v>
      </c>
      <c r="C75" s="73">
        <f>C74/(1+Settings!$O$15)</f>
        <v>0.35796707643753273</v>
      </c>
      <c r="D75" s="73">
        <f>D74/(1+Settings!$O$16)</f>
        <v>0.35796707643753273</v>
      </c>
      <c r="E75" s="73">
        <f>E74/(1+Settings!$O$17)</f>
        <v>0.35796707643753273</v>
      </c>
      <c r="F75" s="73">
        <f>F74/(1+Settings!$O$18)</f>
        <v>0.35796707643753273</v>
      </c>
      <c r="H75">
        <f>Grondslag!A71</f>
        <v>94</v>
      </c>
      <c r="I75" s="15">
        <f>IF(Settings!C$7="Unisex", overlevtafel!I101, IF(Settings!C$7="Man", overlevtafel!D101, IF(Settings!C$7="Vrouw",overlevtafel!G101) ) )/I$4</f>
        <v>0.21894214384516525</v>
      </c>
      <c r="J75" s="11">
        <f t="shared" si="69"/>
        <v>4.4175330225620146E-2</v>
      </c>
      <c r="K75" s="11">
        <f>IFERROR(J75/SUM(J75:J$100), 1)</f>
        <v>0.16789205523015732</v>
      </c>
      <c r="M75" s="20">
        <v>84</v>
      </c>
      <c r="N75" s="73">
        <f>IF(Settings!D$7="Unisex", overlevtafel!Q91, IF(Settings!D$7="Man", overlevtafel!L91, IF(Settings!D$7="Vrouw",overlevtafel!O91) ) )</f>
        <v>62001.496526307608</v>
      </c>
      <c r="O75" s="20">
        <f t="shared" si="70"/>
        <v>94</v>
      </c>
      <c r="P75" s="15">
        <f t="shared" si="65"/>
        <v>0.22057514842487183</v>
      </c>
      <c r="R75" s="73">
        <f>1*($H75&gt;=Settings!D$10)</f>
        <v>1</v>
      </c>
      <c r="S75" s="73">
        <f t="shared" si="66"/>
        <v>94</v>
      </c>
      <c r="T75" s="73">
        <f>1*($S75&gt;=Settings!D$10)</f>
        <v>1</v>
      </c>
      <c r="AI75" s="20">
        <f t="shared" si="71"/>
        <v>0.53838349302579558</v>
      </c>
      <c r="BV75" s="20">
        <f t="shared" si="67"/>
        <v>0.6468429731866927</v>
      </c>
      <c r="BX75" s="15"/>
      <c r="BZ75" s="5"/>
      <c r="CA75" s="5"/>
      <c r="CB75" s="5"/>
      <c r="CC75" s="5"/>
      <c r="CD75" s="20">
        <f t="shared" si="68"/>
        <v>0.64684297701342219</v>
      </c>
    </row>
    <row r="76" spans="1:82" x14ac:dyDescent="0.25">
      <c r="A76">
        <v>70</v>
      </c>
      <c r="B76">
        <f>B75/(1+Settings!O$14)</f>
        <v>0.35267692259855443</v>
      </c>
      <c r="C76" s="73">
        <f>C75/(1+Settings!$O$15)</f>
        <v>0.35267692259855443</v>
      </c>
      <c r="D76" s="73">
        <f>D75/(1+Settings!$O$16)</f>
        <v>0.35267692259855443</v>
      </c>
      <c r="E76" s="73">
        <f>E75/(1+Settings!$O$17)</f>
        <v>0.35267692259855443</v>
      </c>
      <c r="F76" s="73">
        <f>F75/(1+Settings!$O$18)</f>
        <v>0.35267692259855443</v>
      </c>
      <c r="H76">
        <f>Grondslag!A72</f>
        <v>95</v>
      </c>
      <c r="I76" s="15">
        <f>IF(Settings!C$7="Unisex", overlevtafel!I102, IF(Settings!C$7="Man", overlevtafel!D102, IF(Settings!C$7="Vrouw",overlevtafel!G102) ) )/I$4</f>
        <v>0.17746034843587796</v>
      </c>
      <c r="J76" s="11">
        <f t="shared" si="69"/>
        <v>4.1481795409287286E-2</v>
      </c>
      <c r="K76" s="11">
        <f>IFERROR(J76/SUM(J76:J$100), 1)</f>
        <v>0.18946466113436949</v>
      </c>
      <c r="M76" s="20">
        <v>85</v>
      </c>
      <c r="N76" s="73">
        <f>IF(Settings!D$7="Unisex", overlevtafel!Q92, IF(Settings!D$7="Man", overlevtafel!L92, IF(Settings!D$7="Vrouw",overlevtafel!O92) ) )</f>
        <v>58932.971454670667</v>
      </c>
      <c r="O76" s="20">
        <f t="shared" si="70"/>
        <v>95</v>
      </c>
      <c r="P76" s="15">
        <f t="shared" si="65"/>
        <v>0.17882338544789902</v>
      </c>
      <c r="R76" s="73">
        <f>1*($H76&gt;=Settings!D$10)</f>
        <v>1</v>
      </c>
      <c r="S76" s="73">
        <f t="shared" si="66"/>
        <v>95</v>
      </c>
      <c r="T76" s="73">
        <f>1*($S76&gt;=Settings!D$10)</f>
        <v>1</v>
      </c>
      <c r="AI76" s="20">
        <f t="shared" si="71"/>
        <v>0.54859914652203723</v>
      </c>
      <c r="BV76" s="20">
        <f t="shared" si="67"/>
        <v>0.67668631202760732</v>
      </c>
      <c r="BX76" s="15"/>
      <c r="BZ76" s="5"/>
      <c r="CA76" s="5"/>
      <c r="CB76" s="5"/>
      <c r="CC76" s="5"/>
      <c r="CD76" s="20">
        <f t="shared" si="68"/>
        <v>0.67668631743420604</v>
      </c>
    </row>
    <row r="77" spans="1:82" x14ac:dyDescent="0.25">
      <c r="A77">
        <v>71</v>
      </c>
      <c r="B77">
        <f>B76/(1+Settings!O$14)</f>
        <v>0.34746494837296005</v>
      </c>
      <c r="C77" s="73">
        <f>C76/(1+Settings!$O$15)</f>
        <v>0.34746494837296005</v>
      </c>
      <c r="D77" s="73">
        <f>D76/(1+Settings!$O$16)</f>
        <v>0.34746494837296005</v>
      </c>
      <c r="E77" s="73">
        <f>E76/(1+Settings!$O$17)</f>
        <v>0.34746494837296005</v>
      </c>
      <c r="F77" s="73">
        <f>F76/(1+Settings!$O$18)</f>
        <v>0.34746494837296005</v>
      </c>
      <c r="H77">
        <f>Grondslag!A73</f>
        <v>96</v>
      </c>
      <c r="I77" s="15">
        <f>IF(Settings!C$7="Unisex", overlevtafel!I103, IF(Settings!C$7="Man", overlevtafel!D103, IF(Settings!C$7="Vrouw",overlevtafel!G103) ) )/I$4</f>
        <v>0.13968364338095673</v>
      </c>
      <c r="J77" s="11">
        <f t="shared" si="69"/>
        <v>3.7776705054921228E-2</v>
      </c>
      <c r="K77" s="11">
        <f>IFERROR(J77/SUM(J77:J$100), 1)</f>
        <v>0.21287408440944142</v>
      </c>
      <c r="M77" s="20">
        <v>86</v>
      </c>
      <c r="N77" s="73">
        <f>IF(Settings!D$7="Unisex", overlevtafel!Q93, IF(Settings!D$7="Man", overlevtafel!L93, IF(Settings!D$7="Vrouw",overlevtafel!O93) ) )</f>
        <v>55574.11428527403</v>
      </c>
      <c r="O77" s="20">
        <f t="shared" si="70"/>
        <v>96</v>
      </c>
      <c r="P77" s="15">
        <f t="shared" si="65"/>
        <v>0.14078117103613419</v>
      </c>
      <c r="R77" s="73">
        <f>1*($H77&gt;=Settings!D$10)</f>
        <v>1</v>
      </c>
      <c r="S77" s="73">
        <f t="shared" si="66"/>
        <v>96</v>
      </c>
      <c r="T77" s="73">
        <f>1*($S77&gt;=Settings!D$10)</f>
        <v>1</v>
      </c>
      <c r="AI77" s="20">
        <f t="shared" si="71"/>
        <v>0.55563193853052351</v>
      </c>
      <c r="BV77" s="20">
        <f t="shared" si="67"/>
        <v>0.70577608125540547</v>
      </c>
      <c r="BX77" s="15"/>
      <c r="BZ77" s="5"/>
      <c r="CA77" s="5"/>
      <c r="CB77" s="5"/>
      <c r="CC77" s="5"/>
      <c r="CD77" s="20">
        <f>IFERROR( $K77*SUMPRODUCT($P77:$P152, $E$6:$E$81)/$P77, 0)</f>
        <v>0.70577608908725786</v>
      </c>
    </row>
    <row r="78" spans="1:82" x14ac:dyDescent="0.25">
      <c r="A78">
        <v>72</v>
      </c>
      <c r="B78">
        <f>B77/(1+Settings!O$14)</f>
        <v>0.34232999839700501</v>
      </c>
      <c r="C78" s="73">
        <f>C77/(1+Settings!$O$15)</f>
        <v>0.34232999839700501</v>
      </c>
      <c r="D78" s="73">
        <f>D77/(1+Settings!$O$16)</f>
        <v>0.34232999839700501</v>
      </c>
      <c r="E78" s="73">
        <f>E77/(1+Settings!$O$17)</f>
        <v>0.34232999839700501</v>
      </c>
      <c r="F78" s="73">
        <f>F77/(1+Settings!$O$18)</f>
        <v>0.34232999839700501</v>
      </c>
      <c r="H78">
        <f>Grondslag!A74</f>
        <v>97</v>
      </c>
      <c r="I78" s="15">
        <f>IF(Settings!C$7="Unisex", overlevtafel!I104, IF(Settings!C$7="Man", overlevtafel!D104, IF(Settings!C$7="Vrouw",overlevtafel!G104) ) )/I$4</f>
        <v>0.1064411871670071</v>
      </c>
      <c r="J78" s="11">
        <f t="shared" si="69"/>
        <v>3.3242456213949639E-2</v>
      </c>
      <c r="K78" s="11">
        <f>IFERROR(J78/SUM(J78:J$100), 1)</f>
        <v>0.23798391876607078</v>
      </c>
      <c r="M78" s="20">
        <v>87</v>
      </c>
      <c r="N78" s="73">
        <f>IF(Settings!D$7="Unisex", overlevtafel!Q94, IF(Settings!D$7="Man", overlevtafel!L94, IF(Settings!D$7="Vrouw",overlevtafel!O94) ) )</f>
        <v>51918.183136834326</v>
      </c>
      <c r="O78" s="20">
        <f t="shared" si="70"/>
        <v>97</v>
      </c>
      <c r="P78" s="15">
        <f t="shared" si="65"/>
        <v>0.1072910422211758</v>
      </c>
      <c r="R78" s="73">
        <f>1*($H78&gt;=Settings!D$10)</f>
        <v>1</v>
      </c>
      <c r="S78" s="73">
        <f t="shared" si="66"/>
        <v>97</v>
      </c>
      <c r="T78" s="73">
        <f>1*($S78&gt;=Settings!D$10)</f>
        <v>1</v>
      </c>
      <c r="AI78" s="20">
        <f t="shared" si="71"/>
        <v>0.55930853316784246</v>
      </c>
      <c r="BV78" s="20">
        <f t="shared" si="67"/>
        <v>0.7338926660478261</v>
      </c>
      <c r="BX78" s="15"/>
      <c r="BZ78" s="5"/>
      <c r="CA78" s="5"/>
      <c r="CB78" s="5"/>
      <c r="CC78" s="5"/>
      <c r="CD78" s="20">
        <f t="shared" ref="CD78:CD100" si="72">IFERROR( $K78*SUMPRODUCT($P78:$P153, $E$6:$E$81)/$P78, 0)</f>
        <v>0.73389267770884414</v>
      </c>
    </row>
    <row r="79" spans="1:82" x14ac:dyDescent="0.25">
      <c r="A79">
        <v>73</v>
      </c>
      <c r="B79">
        <f>B78/(1+Settings!O$14)</f>
        <v>0.33727093438128575</v>
      </c>
      <c r="C79" s="73">
        <f>C78/(1+Settings!$O$15)</f>
        <v>0.33727093438128575</v>
      </c>
      <c r="D79" s="73">
        <f>D78/(1+Settings!$O$16)</f>
        <v>0.33727093438128575</v>
      </c>
      <c r="E79" s="73">
        <f>E78/(1+Settings!$O$17)</f>
        <v>0.33727093438128575</v>
      </c>
      <c r="F79" s="73">
        <f>F78/(1+Settings!$O$18)</f>
        <v>0.33727093438128575</v>
      </c>
      <c r="H79">
        <f>Grondslag!A75</f>
        <v>98</v>
      </c>
      <c r="I79" s="15">
        <f>IF(Settings!C$7="Unisex", overlevtafel!I105, IF(Settings!C$7="Man", overlevtafel!D105, IF(Settings!C$7="Vrouw",overlevtafel!G105) ) )/I$4</f>
        <v>7.8280055395058862E-2</v>
      </c>
      <c r="J79" s="11">
        <f t="shared" si="69"/>
        <v>2.8161131771948233E-2</v>
      </c>
      <c r="K79" s="11">
        <f>IFERROR(J79/SUM(J79:J$100), 1)</f>
        <v>0.26456992507845989</v>
      </c>
      <c r="M79" s="20">
        <v>88</v>
      </c>
      <c r="N79" s="73">
        <f>IF(Settings!D$7="Unisex", overlevtafel!Q95, IF(Settings!D$7="Man", overlevtafel!L95, IF(Settings!D$7="Vrouw",overlevtafel!O95) ) )</f>
        <v>47977.910868027509</v>
      </c>
      <c r="O79" s="20">
        <f t="shared" si="70"/>
        <v>98</v>
      </c>
      <c r="P79" s="15">
        <f t="shared" si="65"/>
        <v>7.8911015765063514E-2</v>
      </c>
      <c r="R79" s="73">
        <f>1*($H79&gt;=Settings!D$10)</f>
        <v>1</v>
      </c>
      <c r="S79" s="73">
        <f t="shared" si="66"/>
        <v>98</v>
      </c>
      <c r="T79" s="73">
        <f>1*($S79&gt;=Settings!D$10)</f>
        <v>1</v>
      </c>
      <c r="AI79" s="20">
        <f t="shared" si="71"/>
        <v>0.55957806744972494</v>
      </c>
      <c r="BV79" s="20">
        <f t="shared" si="67"/>
        <v>0.7608280297364981</v>
      </c>
      <c r="BX79" s="15"/>
      <c r="BZ79" s="5"/>
      <c r="CA79" s="5"/>
      <c r="CB79" s="5"/>
      <c r="CC79" s="5"/>
      <c r="CD79" s="20">
        <f t="shared" si="72"/>
        <v>0.76082804762694556</v>
      </c>
    </row>
    <row r="80" spans="1:82" x14ac:dyDescent="0.25">
      <c r="A80">
        <v>74</v>
      </c>
      <c r="B80">
        <f>B79/(1+Settings!O$14)</f>
        <v>0.33228663485840965</v>
      </c>
      <c r="C80" s="73">
        <f>C79/(1+Settings!$O$15)</f>
        <v>0.33228663485840965</v>
      </c>
      <c r="D80" s="73">
        <f>D79/(1+Settings!$O$16)</f>
        <v>0.33228663485840965</v>
      </c>
      <c r="E80" s="73">
        <f>E79/(1+Settings!$O$17)</f>
        <v>0.33228663485840965</v>
      </c>
      <c r="F80" s="73">
        <f>F79/(1+Settings!$O$18)</f>
        <v>0.33228663485840965</v>
      </c>
      <c r="H80">
        <f>Grondslag!A76</f>
        <v>99</v>
      </c>
      <c r="I80" s="15">
        <f>IF(Settings!C$7="Unisex", overlevtafel!I106, IF(Settings!C$7="Man", overlevtafel!D106, IF(Settings!C$7="Vrouw",overlevtafel!G106) ) )/I$4</f>
        <v>5.539742110865805E-2</v>
      </c>
      <c r="J80" s="11">
        <f t="shared" si="69"/>
        <v>2.2882634286400812E-2</v>
      </c>
      <c r="K80" s="11">
        <f>IFERROR(J80/SUM(J80:J$100), 1)</f>
        <v>0.29231762614757978</v>
      </c>
      <c r="M80" s="20">
        <v>89</v>
      </c>
      <c r="N80" s="73">
        <f>IF(Settings!D$7="Unisex", overlevtafel!Q96, IF(Settings!D$7="Man", overlevtafel!L96, IF(Settings!D$7="Vrouw",overlevtafel!O96) ) )</f>
        <v>43782.10594327432</v>
      </c>
      <c r="O80" s="20">
        <f t="shared" si="70"/>
        <v>99</v>
      </c>
      <c r="P80" s="15">
        <f t="shared" si="65"/>
        <v>5.5845361110844989E-2</v>
      </c>
      <c r="R80" s="73">
        <f>1*($H80&gt;=Settings!D$10)</f>
        <v>1</v>
      </c>
      <c r="S80" s="73">
        <f t="shared" si="66"/>
        <v>99</v>
      </c>
      <c r="T80" s="73">
        <f>1*($S80&gt;=Settings!D$10)</f>
        <v>1</v>
      </c>
      <c r="AI80" s="20">
        <f t="shared" si="71"/>
        <v>0.55652951196648726</v>
      </c>
      <c r="BV80" s="20">
        <f t="shared" si="67"/>
        <v>0.78639132482516871</v>
      </c>
      <c r="BX80" s="15"/>
      <c r="BZ80" s="5"/>
      <c r="CA80" s="5"/>
      <c r="CB80" s="5"/>
      <c r="CC80" s="5"/>
      <c r="CD80" s="20">
        <f t="shared" si="72"/>
        <v>0.78639135317511932</v>
      </c>
    </row>
    <row r="81" spans="1:82" x14ac:dyDescent="0.25">
      <c r="A81">
        <v>75</v>
      </c>
      <c r="B81">
        <f>B80/(1+Settings!O$14)</f>
        <v>0.32737599493439379</v>
      </c>
      <c r="C81" s="73">
        <f>C80/(1+Settings!$O$15)</f>
        <v>0.32737599493439379</v>
      </c>
      <c r="D81" s="73">
        <f>D80/(1+Settings!$O$16)</f>
        <v>0.32737599493439379</v>
      </c>
      <c r="E81" s="73">
        <f>E80/(1+Settings!$O$17)</f>
        <v>0.32737599493439379</v>
      </c>
      <c r="F81" s="73">
        <f>F80/(1+Settings!$O$18)</f>
        <v>0.32737599493439379</v>
      </c>
      <c r="H81">
        <f>Grondslag!A77</f>
        <v>100</v>
      </c>
      <c r="I81" s="15">
        <f>IF(Settings!C$7="Unisex", overlevtafel!I107, IF(Settings!C$7="Man", overlevtafel!D107, IF(Settings!C$7="Vrouw",overlevtafel!G107) ) )/I$4</f>
        <v>3.7624306972206617E-2</v>
      </c>
      <c r="J81" s="11">
        <f t="shared" si="69"/>
        <v>1.7773114136451433E-2</v>
      </c>
      <c r="K81" s="11">
        <f>IFERROR(J81/SUM(J81:J$100), 1)</f>
        <v>0.32082938187897148</v>
      </c>
      <c r="M81" s="20">
        <v>90</v>
      </c>
      <c r="N81" s="73">
        <f>IF(Settings!D$7="Unisex", overlevtafel!Q97, IF(Settings!D$7="Man", overlevtafel!L97, IF(Settings!D$7="Vrouw",overlevtafel!O97) ) )</f>
        <v>39380.449957668061</v>
      </c>
      <c r="O81" s="20">
        <f t="shared" si="70"/>
        <v>100</v>
      </c>
      <c r="P81" s="15">
        <f t="shared" si="65"/>
        <v>3.7927705932813721E-2</v>
      </c>
      <c r="R81" s="73">
        <f>1*($H81&gt;=Settings!D$10)</f>
        <v>1</v>
      </c>
      <c r="S81" s="73">
        <f t="shared" si="66"/>
        <v>100</v>
      </c>
      <c r="T81" s="73">
        <f>1*($S81&gt;=Settings!D$10)</f>
        <v>1</v>
      </c>
      <c r="AI81" s="20">
        <f t="shared" si="71"/>
        <v>0.55039811006925354</v>
      </c>
      <c r="BV81" s="20">
        <f t="shared" si="67"/>
        <v>0.81041493788982055</v>
      </c>
      <c r="CD81" s="20">
        <f t="shared" si="72"/>
        <v>0.81041498439143245</v>
      </c>
    </row>
    <row r="82" spans="1:82" x14ac:dyDescent="0.25">
      <c r="A82">
        <v>76</v>
      </c>
      <c r="B82">
        <f>B81/(1+Settings!O$14)</f>
        <v>0.32253792604373777</v>
      </c>
      <c r="C82" s="73">
        <f>C81/(1+Settings!$O$15)</f>
        <v>0.32253792604373777</v>
      </c>
      <c r="D82" s="73">
        <f>D81/(1+Settings!$O$16)</f>
        <v>0.32253792604373777</v>
      </c>
      <c r="E82" s="73">
        <f>E81/(1+Settings!$O$17)</f>
        <v>0.32253792604373777</v>
      </c>
      <c r="F82" s="73">
        <f>F81/(1+Settings!$O$18)</f>
        <v>0.32253792604373777</v>
      </c>
      <c r="H82">
        <f>Grondslag!A78</f>
        <v>101</v>
      </c>
      <c r="I82" s="15">
        <f>IF(Settings!C$7="Unisex", overlevtafel!I108, IF(Settings!C$7="Man", overlevtafel!D108, IF(Settings!C$7="Vrouw",overlevtafel!G108) ) )/I$4</f>
        <v>2.4469262783286701E-2</v>
      </c>
      <c r="J82" s="11">
        <f t="shared" si="69"/>
        <v>1.3155044188919916E-2</v>
      </c>
      <c r="K82" s="11">
        <f>IFERROR(J82/SUM(J82:J$100), 1)</f>
        <v>0.34964234674581118</v>
      </c>
      <c r="M82" s="20">
        <v>91</v>
      </c>
      <c r="N82" s="73">
        <f>IF(Settings!D$7="Unisex", overlevtafel!Q98, IF(Settings!D$7="Man", overlevtafel!L98, IF(Settings!D$7="Vrouw",overlevtafel!O98) ) )</f>
        <v>34812.980964071074</v>
      </c>
      <c r="O82" s="20">
        <f t="shared" si="70"/>
        <v>101</v>
      </c>
      <c r="P82" s="15">
        <f t="shared" si="65"/>
        <v>2.4664984429683845E-2</v>
      </c>
      <c r="R82" s="73">
        <f>1*($H82&gt;=Settings!D$10)</f>
        <v>1</v>
      </c>
      <c r="S82" s="73">
        <f t="shared" si="66"/>
        <v>101</v>
      </c>
      <c r="T82" s="73">
        <f>1*($S82&gt;=Settings!D$10)</f>
        <v>1</v>
      </c>
      <c r="AI82" s="20">
        <f t="shared" si="71"/>
        <v>0.54155749658207442</v>
      </c>
      <c r="BV82" s="20">
        <f t="shared" si="67"/>
        <v>0.8327607740320081</v>
      </c>
      <c r="CD82" s="20">
        <f t="shared" si="72"/>
        <v>0.83276085312894599</v>
      </c>
    </row>
    <row r="83" spans="1:82" x14ac:dyDescent="0.25">
      <c r="A83">
        <v>77</v>
      </c>
      <c r="B83">
        <f>B82/(1+Settings!O$14)</f>
        <v>0.31777135570811604</v>
      </c>
      <c r="C83" s="73">
        <f>C82/(1+Settings!$O$15)</f>
        <v>0.31777135570811604</v>
      </c>
      <c r="D83" s="73">
        <f>D82/(1+Settings!$O$16)</f>
        <v>0.31777135570811604</v>
      </c>
      <c r="E83" s="73">
        <f>E82/(1+Settings!$O$17)</f>
        <v>0.31777135570811604</v>
      </c>
      <c r="F83" s="73">
        <f>F82/(1+Settings!$O$18)</f>
        <v>0.31777135570811604</v>
      </c>
      <c r="H83">
        <f>Grondslag!A79</f>
        <v>102</v>
      </c>
      <c r="I83" s="15">
        <f>IF(Settings!C$7="Unisex", overlevtafel!I109, IF(Settings!C$7="Man", overlevtafel!D109, IF(Settings!C$7="Vrouw",overlevtafel!G109) ) )/I$4</f>
        <v>1.5213608900436973E-2</v>
      </c>
      <c r="J83" s="11">
        <f t="shared" si="69"/>
        <v>9.2556538828497282E-3</v>
      </c>
      <c r="K83" s="11">
        <f>IFERROR(J83/SUM(J83:J$100), 1)</f>
        <v>0.37825664452941304</v>
      </c>
      <c r="M83" s="20">
        <v>92</v>
      </c>
      <c r="N83" s="73">
        <f>IF(Settings!D$7="Unisex", overlevtafel!Q99, IF(Settings!D$7="Man", overlevtafel!L99, IF(Settings!D$7="Vrouw",overlevtafel!O99) ) )</f>
        <v>30282.260110496216</v>
      </c>
      <c r="O83" s="20">
        <f t="shared" si="70"/>
        <v>102</v>
      </c>
      <c r="P83" s="15">
        <f t="shared" si="65"/>
        <v>1.5333734108551586E-2</v>
      </c>
      <c r="R83" s="73">
        <f>1*($H83&gt;=Settings!D$10)</f>
        <v>1</v>
      </c>
      <c r="S83" s="73">
        <f t="shared" si="66"/>
        <v>102</v>
      </c>
      <c r="T83" s="73">
        <f>1*($S83&gt;=Settings!D$10)</f>
        <v>1</v>
      </c>
      <c r="AI83" s="20">
        <f t="shared" si="71"/>
        <v>0.53049617312633646</v>
      </c>
      <c r="BV83" s="20">
        <f t="shared" si="67"/>
        <v>0.85332624234209598</v>
      </c>
      <c r="CD83" s="20">
        <f t="shared" si="72"/>
        <v>0.85332638205006184</v>
      </c>
    </row>
    <row r="84" spans="1:82" x14ac:dyDescent="0.25">
      <c r="A84">
        <v>78</v>
      </c>
      <c r="B84">
        <f>B83/(1+Settings!O$14)</f>
        <v>0.31307522729863652</v>
      </c>
      <c r="C84" s="73">
        <f>C83/(1+Settings!$O$15)</f>
        <v>0.31307522729863652</v>
      </c>
      <c r="D84" s="73">
        <f>D83/(1+Settings!$O$16)</f>
        <v>0.31307522729863652</v>
      </c>
      <c r="E84" s="73">
        <f>E83/(1+Settings!$O$17)</f>
        <v>0.31307522729863652</v>
      </c>
      <c r="F84" s="73">
        <f>F83/(1+Settings!$O$18)</f>
        <v>0.31307522729863652</v>
      </c>
      <c r="H84">
        <f>Grondslag!A80</f>
        <v>103</v>
      </c>
      <c r="I84" s="15">
        <f>IF(Settings!C$7="Unisex", overlevtafel!I110, IF(Settings!C$7="Man", overlevtafel!D110, IF(Settings!C$7="Vrouw",overlevtafel!G110) ) )/I$4</f>
        <v>9.0342955958573144E-3</v>
      </c>
      <c r="J84" s="11">
        <f t="shared" si="69"/>
        <v>6.1793133045796589E-3</v>
      </c>
      <c r="K84" s="11">
        <f>IFERROR(J84/SUM(J84:J$100), 1)</f>
        <v>0.40617063572559386</v>
      </c>
      <c r="M84" s="20">
        <v>93</v>
      </c>
      <c r="N84" s="73">
        <f>IF(Settings!D$7="Unisex", overlevtafel!Q100, IF(Settings!D$7="Man", overlevtafel!L100, IF(Settings!D$7="Vrouw",overlevtafel!O100) ) )</f>
        <v>25801.592215905643</v>
      </c>
      <c r="O84" s="20">
        <f t="shared" si="70"/>
        <v>103</v>
      </c>
      <c r="P84" s="15">
        <f t="shared" si="65"/>
        <v>9.1044187422658265E-3</v>
      </c>
      <c r="R84" s="73">
        <f>1*($H84&gt;=Settings!D$10)</f>
        <v>1</v>
      </c>
      <c r="S84" s="73">
        <f t="shared" si="66"/>
        <v>103</v>
      </c>
      <c r="T84" s="73">
        <f>1*($S84&gt;=Settings!D$10)</f>
        <v>1</v>
      </c>
      <c r="AI84" s="20">
        <f t="shared" si="71"/>
        <v>0.51778011251052802</v>
      </c>
      <c r="BV84" s="20">
        <f t="shared" si="67"/>
        <v>0.87204910734549534</v>
      </c>
      <c r="CD84" s="20">
        <f t="shared" si="72"/>
        <v>0.87204936379677644</v>
      </c>
    </row>
    <row r="85" spans="1:82" x14ac:dyDescent="0.25">
      <c r="A85">
        <v>79</v>
      </c>
      <c r="B85">
        <f>B84/(1+Settings!O$14)</f>
        <v>0.30844849980161237</v>
      </c>
      <c r="C85" s="73">
        <f>C84/(1+Settings!$O$15)</f>
        <v>0.30844849980161237</v>
      </c>
      <c r="D85" s="73">
        <f>D84/(1+Settings!$O$16)</f>
        <v>0.30844849980161237</v>
      </c>
      <c r="E85" s="73">
        <f>E84/(1+Settings!$O$17)</f>
        <v>0.30844849980161237</v>
      </c>
      <c r="F85" s="73">
        <f>F84/(1+Settings!$O$18)</f>
        <v>0.30844849980161237</v>
      </c>
      <c r="H85">
        <f>Grondslag!A81</f>
        <v>104</v>
      </c>
      <c r="I85" s="15">
        <f>IF(Settings!C$7="Unisex", overlevtafel!I111, IF(Settings!C$7="Man", overlevtafel!D111, IF(Settings!C$7="Vrouw",overlevtafel!G111) ) )/I$4</f>
        <v>5.1231938745823873E-3</v>
      </c>
      <c r="J85" s="11">
        <f t="shared" si="69"/>
        <v>3.9111017212749271E-3</v>
      </c>
      <c r="K85" s="11">
        <f>IFERROR(J85/SUM(J85:J$100), 1)</f>
        <v>0.43291810565887223</v>
      </c>
      <c r="M85" s="20">
        <v>94</v>
      </c>
      <c r="N85" s="73">
        <f>IF(Settings!D$7="Unisex", overlevtafel!Q101, IF(Settings!D$7="Man", overlevtafel!L101, IF(Settings!D$7="Vrouw",overlevtafel!O101) ) )</f>
        <v>21475.306738219733</v>
      </c>
      <c r="O85" s="20">
        <f t="shared" si="70"/>
        <v>104</v>
      </c>
      <c r="P85" s="15">
        <f t="shared" si="65"/>
        <v>5.1621451983028125E-3</v>
      </c>
      <c r="R85" s="73">
        <f>1*($H85&gt;=Settings!D$10)</f>
        <v>1</v>
      </c>
      <c r="S85" s="73">
        <f t="shared" si="66"/>
        <v>104</v>
      </c>
      <c r="T85" s="73">
        <f>1*($S85&gt;=Settings!D$10)</f>
        <v>1</v>
      </c>
      <c r="AI85" s="20">
        <f t="shared" si="71"/>
        <v>0.50400651466098079</v>
      </c>
      <c r="BV85" s="20">
        <f t="shared" ref="BV85:BV100" si="73">IFERROR($K85*SUMPRODUCT($P85:$P160, $E$6:$E$81,  $R85:$R160)/MIN($P84,1), 0)</f>
        <v>0.50400623722157745</v>
      </c>
      <c r="CD85" s="20">
        <f t="shared" si="72"/>
        <v>0.8889107497038552</v>
      </c>
    </row>
    <row r="86" spans="1:82" x14ac:dyDescent="0.25">
      <c r="A86">
        <v>80</v>
      </c>
      <c r="B86">
        <f>B85/(1+Settings!O$14)</f>
        <v>0.30389014758779548</v>
      </c>
      <c r="C86" s="73">
        <f>C85/(1+Settings!$O$15)</f>
        <v>0.30389014758779548</v>
      </c>
      <c r="D86" s="73">
        <f>D85/(1+Settings!$O$16)</f>
        <v>0.30389014758779548</v>
      </c>
      <c r="E86" s="73">
        <f>E85/(1+Settings!$O$17)</f>
        <v>0.30389014758779548</v>
      </c>
      <c r="F86" s="73">
        <f>F85/(1+Settings!$O$18)</f>
        <v>0.30389014758779548</v>
      </c>
      <c r="H86">
        <f>Grondslag!A82</f>
        <v>105</v>
      </c>
      <c r="I86" s="15">
        <f>IF(Settings!C$7="Unisex", overlevtafel!I112, IF(Settings!C$7="Man", overlevtafel!D112, IF(Settings!C$7="Vrouw",overlevtafel!G112) ) )/I$4</f>
        <v>2.7762604785755733E-3</v>
      </c>
      <c r="J86" s="11">
        <f t="shared" si="69"/>
        <v>2.346933396006814E-3</v>
      </c>
      <c r="K86" s="11">
        <f>IFERROR(J86/SUM(J86:J$100), 1)</f>
        <v>0.45810140255483628</v>
      </c>
      <c r="M86" s="20">
        <v>95</v>
      </c>
      <c r="N86" s="73">
        <f>IF(Settings!D$7="Unisex", overlevtafel!Q102, IF(Settings!D$7="Man", overlevtafel!L102, IF(Settings!D$7="Vrouw",overlevtafel!O102) ) )</f>
        <v>17410.334218900174</v>
      </c>
      <c r="O86" s="20">
        <f t="shared" si="70"/>
        <v>105</v>
      </c>
      <c r="P86" s="15">
        <f t="shared" si="65"/>
        <v>2.796874268186506E-3</v>
      </c>
      <c r="R86" s="73">
        <f>1*($H86&gt;=Settings!D$10)</f>
        <v>1</v>
      </c>
      <c r="S86" s="73">
        <f t="shared" si="66"/>
        <v>105</v>
      </c>
      <c r="T86" s="73">
        <f>1*($S86&gt;=Settings!D$10)</f>
        <v>1</v>
      </c>
      <c r="AI86" s="20">
        <f t="shared" si="71"/>
        <v>0.48975598402354581</v>
      </c>
      <c r="BV86" s="20">
        <f t="shared" si="73"/>
        <v>0.48975545847593727</v>
      </c>
      <c r="CD86" s="20">
        <f t="shared" si="72"/>
        <v>0.90393462803263447</v>
      </c>
    </row>
    <row r="87" spans="1:82" x14ac:dyDescent="0.25">
      <c r="A87">
        <v>81</v>
      </c>
      <c r="B87">
        <f>B86/(1+Settings!O$14)</f>
        <v>0.29939916018502022</v>
      </c>
      <c r="C87" s="73">
        <f>C86/(1+Settings!$O$15)</f>
        <v>0.29939916018502022</v>
      </c>
      <c r="D87" s="73">
        <f>D86/(1+Settings!$O$16)</f>
        <v>0.29939916018502022</v>
      </c>
      <c r="E87" s="73">
        <f>E86/(1+Settings!$O$17)</f>
        <v>0.29939916018502022</v>
      </c>
      <c r="F87" s="73">
        <f>F86/(1+Settings!$O$18)</f>
        <v>0.29939916018502022</v>
      </c>
      <c r="H87">
        <f>Grondslag!A83</f>
        <v>106</v>
      </c>
      <c r="I87" s="15">
        <f>IF(Settings!C$7="Unisex", overlevtafel!I113, IF(Settings!C$7="Man", overlevtafel!D113, IF(Settings!C$7="Vrouw",overlevtafel!G113) ) )/I$4</f>
        <v>1.4397352413657357E-3</v>
      </c>
      <c r="J87" s="11">
        <f t="shared" si="69"/>
        <v>1.3365252372098376E-3</v>
      </c>
      <c r="K87" s="11">
        <f>IFERROR(J87/SUM(J87:J$100), 1)</f>
        <v>0.48141541622145362</v>
      </c>
      <c r="M87" s="20">
        <v>96</v>
      </c>
      <c r="N87" s="73">
        <f>IF(Settings!D$7="Unisex", overlevtafel!Q103, IF(Settings!D$7="Man", overlevtafel!L103, IF(Settings!D$7="Vrouw",overlevtafel!O103) ) )</f>
        <v>13706.525202663543</v>
      </c>
      <c r="O87" s="20">
        <f t="shared" si="70"/>
        <v>106</v>
      </c>
      <c r="P87" s="15">
        <f t="shared" si="65"/>
        <v>1.4501495030391739E-3</v>
      </c>
      <c r="R87" s="73">
        <f>1*($H87&gt;=Settings!D$10)</f>
        <v>1</v>
      </c>
      <c r="S87" s="73">
        <f t="shared" si="66"/>
        <v>106</v>
      </c>
      <c r="T87" s="73">
        <f>1*($S87&gt;=Settings!D$10)</f>
        <v>1</v>
      </c>
      <c r="AI87" s="20">
        <f t="shared" si="71"/>
        <v>0.47555072176361912</v>
      </c>
      <c r="BV87" s="20">
        <f t="shared" si="73"/>
        <v>0.47554968711293044</v>
      </c>
      <c r="CD87" s="20">
        <f t="shared" si="72"/>
        <v>0.91718514134625562</v>
      </c>
    </row>
    <row r="88" spans="1:82" x14ac:dyDescent="0.25">
      <c r="A88">
        <v>82</v>
      </c>
      <c r="B88">
        <f>B87/(1+Settings!O$14)</f>
        <v>0.29497454205420715</v>
      </c>
      <c r="C88" s="73">
        <f>C87/(1+Settings!$O$15)</f>
        <v>0.29497454205420715</v>
      </c>
      <c r="D88" s="73">
        <f>D87/(1+Settings!$O$16)</f>
        <v>0.29497454205420715</v>
      </c>
      <c r="E88" s="73">
        <f>E87/(1+Settings!$O$17)</f>
        <v>0.29497454205420715</v>
      </c>
      <c r="F88" s="73">
        <f>F87/(1+Settings!$O$18)</f>
        <v>0.29497454205420715</v>
      </c>
      <c r="H88">
        <f>Grondslag!A84</f>
        <v>107</v>
      </c>
      <c r="I88" s="15">
        <f>IF(Settings!C$7="Unisex", overlevtafel!I114, IF(Settings!C$7="Man", overlevtafel!D114, IF(Settings!C$7="Vrouw",overlevtafel!G114) ) )/I$4</f>
        <v>7.1604831387339911E-4</v>
      </c>
      <c r="J88" s="11">
        <f t="shared" si="69"/>
        <v>7.2368692749233659E-4</v>
      </c>
      <c r="K88" s="11">
        <f>IFERROR(J88/SUM(J88:J$100), 1)</f>
        <v>0.50265956977104986</v>
      </c>
      <c r="M88" s="20">
        <v>97</v>
      </c>
      <c r="N88" s="73">
        <f>IF(Settings!D$7="Unisex", overlevtafel!Q104, IF(Settings!D$7="Man", overlevtafel!L104, IF(Settings!D$7="Vrouw",overlevtafel!O104) ) )</f>
        <v>10445.909516174786</v>
      </c>
      <c r="O88" s="20">
        <f t="shared" si="70"/>
        <v>107</v>
      </c>
      <c r="P88" s="15">
        <f t="shared" si="65"/>
        <v>7.2108418817020629E-4</v>
      </c>
      <c r="R88" s="73">
        <f>1*($H88&gt;=Settings!D$10)</f>
        <v>1</v>
      </c>
      <c r="S88" s="73">
        <f t="shared" si="66"/>
        <v>107</v>
      </c>
      <c r="T88" s="73">
        <f>1*($S88&gt;=Settings!D$10)</f>
        <v>1</v>
      </c>
      <c r="AI88" s="20">
        <f t="shared" si="71"/>
        <v>0.4618245955515185</v>
      </c>
      <c r="BV88" s="20">
        <f t="shared" si="73"/>
        <v>0.46182248072902782</v>
      </c>
      <c r="CD88" s="20">
        <f t="shared" si="72"/>
        <v>0.92876077262176926</v>
      </c>
    </row>
    <row r="89" spans="1:82" x14ac:dyDescent="0.25">
      <c r="A89">
        <v>83</v>
      </c>
      <c r="B89">
        <f>B88/(1+Settings!O$14)</f>
        <v>0.29061531236867699</v>
      </c>
      <c r="C89" s="73">
        <f>C88/(1+Settings!$O$15)</f>
        <v>0.29061531236867699</v>
      </c>
      <c r="D89" s="73">
        <f>D88/(1+Settings!$O$16)</f>
        <v>0.29061531236867699</v>
      </c>
      <c r="E89" s="73">
        <f>E88/(1+Settings!$O$17)</f>
        <v>0.29061531236867699</v>
      </c>
      <c r="F89" s="73">
        <f>F88/(1+Settings!$O$18)</f>
        <v>0.29061531236867699</v>
      </c>
      <c r="H89">
        <f>Grondslag!A85</f>
        <v>108</v>
      </c>
      <c r="I89" s="15">
        <f>IF(Settings!C$7="Unisex", overlevtafel!I115, IF(Settings!C$7="Man", overlevtafel!D115, IF(Settings!C$7="Vrouw",overlevtafel!G115) ) )/I$4</f>
        <v>3.4246890378278398E-4</v>
      </c>
      <c r="J89" s="11">
        <f t="shared" si="69"/>
        <v>3.7357941009061513E-4</v>
      </c>
      <c r="K89" s="11">
        <f>IFERROR(J89/SUM(J89:J$100), 1)</f>
        <v>0.52173790953641519</v>
      </c>
      <c r="M89" s="20">
        <v>98</v>
      </c>
      <c r="N89" s="73">
        <f>IF(Settings!D$7="Unisex", overlevtafel!Q105, IF(Settings!D$7="Man", overlevtafel!L105, IF(Settings!D$7="Vrouw",overlevtafel!O105) ) )</f>
        <v>7682.8159503944662</v>
      </c>
      <c r="O89" s="20">
        <f t="shared" si="70"/>
        <v>108</v>
      </c>
      <c r="P89" s="15">
        <f t="shared" si="65"/>
        <v>3.4480701734580842E-4</v>
      </c>
      <c r="R89" s="73">
        <f>1*($H89&gt;=Settings!D$10)</f>
        <v>1</v>
      </c>
      <c r="S89" s="73">
        <f t="shared" si="66"/>
        <v>108</v>
      </c>
      <c r="T89" s="73">
        <f>1*($S89&gt;=Settings!D$10)</f>
        <v>1</v>
      </c>
      <c r="AI89" s="20">
        <f t="shared" si="71"/>
        <v>0.44890789245583879</v>
      </c>
      <c r="BV89" s="20">
        <f t="shared" si="73"/>
        <v>0.44890341176265236</v>
      </c>
      <c r="CD89" s="20">
        <f t="shared" si="72"/>
        <v>0.93878710963146184</v>
      </c>
    </row>
    <row r="90" spans="1:82" x14ac:dyDescent="0.25">
      <c r="A90">
        <v>84</v>
      </c>
      <c r="B90">
        <f>B89/(1+Settings!O$14)</f>
        <v>0.28632050479672611</v>
      </c>
      <c r="C90" s="73">
        <f>C89/(1+Settings!$O$15)</f>
        <v>0.28632050479672611</v>
      </c>
      <c r="D90" s="73">
        <f>D89/(1+Settings!$O$16)</f>
        <v>0.28632050479672611</v>
      </c>
      <c r="E90" s="73">
        <f>E89/(1+Settings!$O$17)</f>
        <v>0.28632050479672611</v>
      </c>
      <c r="F90" s="73">
        <f>F89/(1+Settings!$O$18)</f>
        <v>0.28632050479672611</v>
      </c>
      <c r="H90">
        <f>Grondslag!A86</f>
        <v>109</v>
      </c>
      <c r="I90" s="15">
        <f>IF(Settings!C$7="Unisex", overlevtafel!I116, IF(Settings!C$7="Man", overlevtafel!D116, IF(Settings!C$7="Vrouw",overlevtafel!G116) ) )/I$4</f>
        <v>1.5800846104236559E-4</v>
      </c>
      <c r="J90" s="11">
        <f t="shared" si="69"/>
        <v>1.8446044274041839E-4</v>
      </c>
      <c r="K90" s="11">
        <f>IFERROR(J90/SUM(J90:J$100), 1)</f>
        <v>0.53865010726284446</v>
      </c>
      <c r="M90" s="20">
        <v>99</v>
      </c>
      <c r="N90" s="73">
        <f>IF(Settings!D$7="Unisex", overlevtafel!Q106, IF(Settings!D$7="Man", overlevtafel!L106, IF(Settings!D$7="Vrouw",overlevtafel!O106) ) )</f>
        <v>5437.1322804324236</v>
      </c>
      <c r="O90" s="20">
        <f t="shared" si="70"/>
        <v>109</v>
      </c>
      <c r="P90" s="15">
        <f t="shared" si="65"/>
        <v>1.5905447045336067E-4</v>
      </c>
      <c r="R90" s="73">
        <f>1*($H90&gt;=Settings!D$10)</f>
        <v>1</v>
      </c>
      <c r="S90" s="73">
        <f t="shared" si="66"/>
        <v>109</v>
      </c>
      <c r="T90" s="73">
        <f>1*($S90&gt;=Settings!D$10)</f>
        <v>1</v>
      </c>
      <c r="AI90" s="20">
        <f t="shared" si="71"/>
        <v>0.4370264190945129</v>
      </c>
      <c r="BV90" s="20">
        <f t="shared" si="73"/>
        <v>0.43701659990860464</v>
      </c>
      <c r="CD90" s="20">
        <f t="shared" si="72"/>
        <v>0.94740987562172807</v>
      </c>
    </row>
    <row r="91" spans="1:82" x14ac:dyDescent="0.25">
      <c r="A91">
        <v>85</v>
      </c>
      <c r="B91">
        <f>B90/(1+Settings!O$14)</f>
        <v>0.2820891672874149</v>
      </c>
      <c r="C91" s="73">
        <f>C90/(1+Settings!$O$15)</f>
        <v>0.2820891672874149</v>
      </c>
      <c r="D91" s="73">
        <f>D90/(1+Settings!$O$16)</f>
        <v>0.2820891672874149</v>
      </c>
      <c r="E91" s="73">
        <f>E90/(1+Settings!$O$17)</f>
        <v>0.2820891672874149</v>
      </c>
      <c r="F91" s="73">
        <f>F90/(1+Settings!$O$18)</f>
        <v>0.2820891672874149</v>
      </c>
      <c r="H91">
        <f>Grondslag!A87</f>
        <v>110</v>
      </c>
      <c r="I91" s="15">
        <f>IF(Settings!C$7="Unisex", overlevtafel!I117, IF(Settings!C$7="Man", overlevtafel!D117, IF(Settings!C$7="Vrouw",overlevtafel!G117) ) )/I$4</f>
        <v>7.0564946248425451E-5</v>
      </c>
      <c r="J91" s="11">
        <f t="shared" si="69"/>
        <v>8.7443514793940138E-5</v>
      </c>
      <c r="K91" s="11">
        <f>IFERROR(J91/SUM(J91:J$100), 1)</f>
        <v>0.55347841141638043</v>
      </c>
      <c r="M91" s="20">
        <v>100</v>
      </c>
      <c r="N91" s="73">
        <f>IF(Settings!D$7="Unisex", overlevtafel!Q107, IF(Settings!D$7="Man", overlevtafel!L107, IF(Settings!D$7="Vrouw",overlevtafel!O107) ) )</f>
        <v>3692.6604134717104</v>
      </c>
      <c r="O91" s="20">
        <f t="shared" ref="O91:O106" si="74">O90+1</f>
        <v>110</v>
      </c>
      <c r="P91" s="15">
        <f t="shared" si="65"/>
        <v>7.1017553448154061E-5</v>
      </c>
      <c r="R91" s="73">
        <f>1*($H91&gt;=Settings!D$10)</f>
        <v>1</v>
      </c>
      <c r="S91" s="73">
        <f t="shared" si="66"/>
        <v>110</v>
      </c>
      <c r="T91" s="73">
        <f>1*($S91&gt;=Settings!D$10)</f>
        <v>1</v>
      </c>
      <c r="AI91" s="20">
        <f t="shared" si="71"/>
        <v>0.42631255383521482</v>
      </c>
      <c r="BV91" s="20">
        <f t="shared" si="73"/>
        <v>0.42629035318594855</v>
      </c>
      <c r="CD91" s="20">
        <f t="shared" si="72"/>
        <v>0.95479095245630985</v>
      </c>
    </row>
    <row r="92" spans="1:82" x14ac:dyDescent="0.25">
      <c r="A92">
        <v>86</v>
      </c>
      <c r="B92">
        <f>B91/(1+Settings!O$14)</f>
        <v>0.27792036185952207</v>
      </c>
      <c r="C92" s="73">
        <f>C91/(1+Settings!$O$15)</f>
        <v>0.27792036185952207</v>
      </c>
      <c r="D92" s="73">
        <f>D91/(1+Settings!$O$16)</f>
        <v>0.27792036185952207</v>
      </c>
      <c r="E92" s="73">
        <f>E91/(1+Settings!$O$17)</f>
        <v>0.27792036185952207</v>
      </c>
      <c r="F92" s="73">
        <f>F91/(1+Settings!$O$18)</f>
        <v>0.27792036185952207</v>
      </c>
      <c r="H92">
        <f>Grondslag!A88</f>
        <v>111</v>
      </c>
      <c r="I92" s="15">
        <f>IF(Settings!C$7="Unisex", overlevtafel!I118, IF(Settings!C$7="Man", overlevtafel!D118, IF(Settings!C$7="Vrouw",overlevtafel!G118) ) )/I$4</f>
        <v>3.0609519499711069E-5</v>
      </c>
      <c r="J92" s="11">
        <f t="shared" si="69"/>
        <v>3.9955426748714382E-5</v>
      </c>
      <c r="K92" s="11">
        <f>IFERROR(J92/SUM(J92:J$100), 1)</f>
        <v>0.56637802195010944</v>
      </c>
      <c r="M92" s="20">
        <v>101</v>
      </c>
      <c r="N92" s="73">
        <f>IF(Settings!D$7="Unisex", overlevtafel!Q108, IF(Settings!D$7="Man", overlevtafel!L108, IF(Settings!D$7="Vrouw",overlevtafel!O108) ) )</f>
        <v>2401.395216566234</v>
      </c>
      <c r="O92" s="20">
        <f t="shared" si="74"/>
        <v>111</v>
      </c>
      <c r="P92" s="15">
        <f t="shared" si="65"/>
        <v>3.0799670548819379E-5</v>
      </c>
      <c r="R92" s="73">
        <f>1*($H92&gt;=Settings!D$10)</f>
        <v>1</v>
      </c>
      <c r="S92" s="73">
        <f t="shared" si="66"/>
        <v>111</v>
      </c>
      <c r="T92" s="73">
        <f>1*($S92&gt;=Settings!D$10)</f>
        <v>1</v>
      </c>
      <c r="AI92" s="20">
        <f t="shared" si="71"/>
        <v>0.41682569268646452</v>
      </c>
      <c r="BV92" s="20">
        <f t="shared" si="73"/>
        <v>0.41677404895694004</v>
      </c>
      <c r="CD92" s="20">
        <f t="shared" si="72"/>
        <v>0.96111225806795331</v>
      </c>
    </row>
    <row r="93" spans="1:82" x14ac:dyDescent="0.25">
      <c r="A93">
        <v>87</v>
      </c>
      <c r="B93">
        <f>B92/(1+Settings!O$14)</f>
        <v>0.2738131643936178</v>
      </c>
      <c r="C93" s="73">
        <f>C92/(1+Settings!$O$15)</f>
        <v>0.2738131643936178</v>
      </c>
      <c r="D93" s="73">
        <f>D92/(1+Settings!$O$16)</f>
        <v>0.2738131643936178</v>
      </c>
      <c r="E93" s="73">
        <f>E92/(1+Settings!$O$17)</f>
        <v>0.2738131643936178</v>
      </c>
      <c r="F93" s="73">
        <f>F92/(1+Settings!$O$18)</f>
        <v>0.2738131643936178</v>
      </c>
      <c r="H93">
        <f>Grondslag!A89</f>
        <v>112</v>
      </c>
      <c r="I93" s="15">
        <f>IF(Settings!C$7="Unisex", overlevtafel!I119, IF(Settings!C$7="Man", overlevtafel!D119, IF(Settings!C$7="Vrouw",overlevtafel!G119) ) )/I$4</f>
        <v>1.294119094615093E-5</v>
      </c>
      <c r="J93" s="11">
        <f t="shared" si="69"/>
        <v>1.7668328553560139E-5</v>
      </c>
      <c r="K93" s="11">
        <f>IFERROR(J93/SUM(J93:J$100), 1)</f>
        <v>0.57758352810918057</v>
      </c>
      <c r="M93" s="20">
        <v>102</v>
      </c>
      <c r="N93" s="73">
        <f>IF(Settings!D$7="Unisex", overlevtafel!Q109, IF(Settings!D$7="Man", overlevtafel!L109, IF(Settings!D$7="Vrouw",overlevtafel!O109) ) )</f>
        <v>1492.9000196756367</v>
      </c>
      <c r="O93" s="20">
        <f t="shared" si="74"/>
        <v>112</v>
      </c>
      <c r="P93" s="15">
        <f t="shared" si="65"/>
        <v>1.3019052898918429E-5</v>
      </c>
      <c r="R93" s="73">
        <f>1*($H93&gt;=Settings!D$10)</f>
        <v>1</v>
      </c>
      <c r="S93" s="73">
        <f t="shared" si="66"/>
        <v>112</v>
      </c>
      <c r="T93" s="73">
        <f>1*($S93&gt;=Settings!D$10)</f>
        <v>1</v>
      </c>
      <c r="AI93" s="20">
        <f t="shared" si="71"/>
        <v>0.40858201357652141</v>
      </c>
      <c r="BV93" s="20">
        <f t="shared" si="73"/>
        <v>0.40845875655106623</v>
      </c>
      <c r="CD93" s="20">
        <f t="shared" si="72"/>
        <v>0.96659807038463996</v>
      </c>
    </row>
    <row r="94" spans="1:82" x14ac:dyDescent="0.25">
      <c r="A94">
        <v>88</v>
      </c>
      <c r="B94">
        <f>B93/(1+Settings!O$14)</f>
        <v>0.2697666644272097</v>
      </c>
      <c r="C94" s="73">
        <f>C93/(1+Settings!$O$15)</f>
        <v>0.2697666644272097</v>
      </c>
      <c r="D94" s="73">
        <f>D93/(1+Settings!$O$16)</f>
        <v>0.2697666644272097</v>
      </c>
      <c r="E94" s="73">
        <f>E93/(1+Settings!$O$17)</f>
        <v>0.2697666644272097</v>
      </c>
      <c r="F94" s="73">
        <f>F93/(1+Settings!$O$18)</f>
        <v>0.2697666644272097</v>
      </c>
      <c r="H94">
        <f>Grondslag!A90</f>
        <v>113</v>
      </c>
      <c r="I94" s="15">
        <f>IF(Settings!C$7="Unisex", overlevtafel!I120, IF(Settings!C$7="Man", overlevtafel!D120, IF(Settings!C$7="Vrouw",overlevtafel!G120) ) )/I$4</f>
        <v>5.3501977503274347E-6</v>
      </c>
      <c r="J94" s="11">
        <f t="shared" si="69"/>
        <v>7.5909931958234954E-6</v>
      </c>
      <c r="K94" s="11">
        <f>IFERROR(J94/SUM(J94:J$100), 1)</f>
        <v>0.58745836176159083</v>
      </c>
      <c r="M94" s="20">
        <v>103</v>
      </c>
      <c r="N94" s="73">
        <f>IF(Settings!D$7="Unisex", overlevtafel!Q110, IF(Settings!D$7="Man", overlevtafel!L110, IF(Settings!D$7="Vrouw",overlevtafel!O110) ) )</f>
        <v>886.41076095637197</v>
      </c>
      <c r="O94" s="20">
        <f t="shared" si="74"/>
        <v>113</v>
      </c>
      <c r="P94" s="15">
        <f t="shared" si="65"/>
        <v>5.3813862076582677E-6</v>
      </c>
      <c r="R94" s="73">
        <f>1*($H94&gt;=Settings!D$10)</f>
        <v>1</v>
      </c>
      <c r="S94" s="73">
        <f t="shared" si="66"/>
        <v>113</v>
      </c>
      <c r="T94" s="73">
        <f>1*($S94&gt;=Settings!D$10)</f>
        <v>1</v>
      </c>
      <c r="AI94" s="20">
        <f t="shared" si="71"/>
        <v>0.40160043024691006</v>
      </c>
      <c r="BV94" s="20">
        <f t="shared" si="73"/>
        <v>0.40129940238427769</v>
      </c>
      <c r="CD94" s="20">
        <f t="shared" si="72"/>
        <v>0.97158186457093321</v>
      </c>
    </row>
    <row r="95" spans="1:82" x14ac:dyDescent="0.25">
      <c r="A95">
        <v>89</v>
      </c>
      <c r="B95">
        <f>B94/(1+Settings!O$14)</f>
        <v>0.265779964952916</v>
      </c>
      <c r="C95" s="73">
        <f>C94/(1+Settings!$O$15)</f>
        <v>0.265779964952916</v>
      </c>
      <c r="D95" s="73">
        <f>D94/(1+Settings!$O$16)</f>
        <v>0.265779964952916</v>
      </c>
      <c r="E95" s="73">
        <f>E94/(1+Settings!$O$17)</f>
        <v>0.265779964952916</v>
      </c>
      <c r="F95" s="73">
        <f>F94/(1+Settings!$O$18)</f>
        <v>0.265779964952916</v>
      </c>
      <c r="H95">
        <f>Grondslag!A91</f>
        <v>114</v>
      </c>
      <c r="I95" s="15">
        <f>IF(Settings!C$7="Unisex", overlevtafel!I121, IF(Settings!C$7="Man", overlevtafel!D121, IF(Settings!C$7="Vrouw",overlevtafel!G121) ) )/I$4</f>
        <v>2.1695737742145436E-6</v>
      </c>
      <c r="J95" s="11">
        <f t="shared" si="69"/>
        <v>3.1806239761128911E-6</v>
      </c>
      <c r="K95" s="11">
        <f>IFERROR(J95/SUM(J95:J$100), 1)</f>
        <v>0.59665464671159907</v>
      </c>
      <c r="M95" s="20">
        <v>104</v>
      </c>
      <c r="N95" s="73">
        <f>IF(Settings!D$7="Unisex", overlevtafel!Q111, IF(Settings!D$7="Man", overlevtafel!L111, IF(Settings!D$7="Vrouw",overlevtafel!O111) ) )</f>
        <v>502.58903757936093</v>
      </c>
      <c r="O95" s="20">
        <f t="shared" si="74"/>
        <v>114</v>
      </c>
      <c r="P95" s="15">
        <f t="shared" si="65"/>
        <v>2.1818367292377238E-6</v>
      </c>
      <c r="R95" s="73">
        <f>1*($H95&gt;=Settings!D$10)</f>
        <v>1</v>
      </c>
      <c r="S95" s="73">
        <f t="shared" si="66"/>
        <v>114</v>
      </c>
      <c r="T95" s="73">
        <f>1*($S95&gt;=Settings!D$10)</f>
        <v>1</v>
      </c>
      <c r="AI95" s="20">
        <f t="shared" si="71"/>
        <v>0.3959887612420645</v>
      </c>
      <c r="BV95" s="20">
        <f t="shared" si="73"/>
        <v>0.39523799643744895</v>
      </c>
      <c r="CD95" s="20">
        <f t="shared" si="72"/>
        <v>0.97668557393853794</v>
      </c>
    </row>
    <row r="96" spans="1:82" x14ac:dyDescent="0.25">
      <c r="A96">
        <v>90</v>
      </c>
      <c r="B96">
        <f>B95/(1+Settings!O$14)</f>
        <v>0.2618521822196217</v>
      </c>
      <c r="C96" s="73">
        <f>C95/(1+Settings!$O$15)</f>
        <v>0.2618521822196217</v>
      </c>
      <c r="D96" s="73">
        <f>D95/(1+Settings!$O$16)</f>
        <v>0.2618521822196217</v>
      </c>
      <c r="E96" s="73">
        <f>E95/(1+Settings!$O$17)</f>
        <v>0.2618521822196217</v>
      </c>
      <c r="F96" s="73">
        <f>F95/(1+Settings!$O$18)</f>
        <v>0.2618521822196217</v>
      </c>
      <c r="H96">
        <f>Grondslag!A92</f>
        <v>115</v>
      </c>
      <c r="I96" s="15">
        <f>IF(Settings!C$7="Unisex", overlevtafel!I122, IF(Settings!C$7="Man", overlevtafel!D122, IF(Settings!C$7="Vrouw",overlevtafel!G122) ) )/I$4</f>
        <v>8.6537092640121166E-7</v>
      </c>
      <c r="J96" s="11">
        <f t="shared" si="69"/>
        <v>1.304202847813332E-6</v>
      </c>
      <c r="K96" s="11">
        <f>IFERROR(J96/SUM(J96:J$100), 1)</f>
        <v>0.6065670082833694</v>
      </c>
      <c r="M96" s="20">
        <v>105</v>
      </c>
      <c r="N96" s="73">
        <f>IF(Settings!D$7="Unisex", overlevtafel!Q112, IF(Settings!D$7="Man", overlevtafel!L112, IF(Settings!D$7="Vrouw",overlevtafel!O112) ) )</f>
        <v>272.30507718777233</v>
      </c>
      <c r="O96" s="20">
        <f t="shared" si="74"/>
        <v>115</v>
      </c>
      <c r="P96" s="15">
        <f t="shared" si="65"/>
        <v>8.7011871469218014E-7</v>
      </c>
      <c r="R96" s="73">
        <f>1*($H96&gt;=Settings!D$10)</f>
        <v>1</v>
      </c>
      <c r="S96" s="73">
        <f t="shared" si="66"/>
        <v>115</v>
      </c>
      <c r="T96" s="73">
        <f>1*($S96&gt;=Settings!D$10)</f>
        <v>1</v>
      </c>
      <c r="AI96" s="20">
        <f t="shared" si="71"/>
        <v>0.39213963590405188</v>
      </c>
      <c r="BV96" s="20">
        <f t="shared" si="73"/>
        <v>0.39022891340364474</v>
      </c>
      <c r="CD96" s="20">
        <f t="shared" si="72"/>
        <v>0.98329646996277575</v>
      </c>
    </row>
    <row r="97" spans="1:82" x14ac:dyDescent="0.25">
      <c r="A97">
        <v>91</v>
      </c>
      <c r="B97">
        <f>B96/(1+Settings!O$14)</f>
        <v>0.25798244553657312</v>
      </c>
      <c r="C97" s="73">
        <f>C96/(1+Settings!$O$15)</f>
        <v>0.25798244553657312</v>
      </c>
      <c r="D97" s="73">
        <f>D96/(1+Settings!$O$16)</f>
        <v>0.25798244553657312</v>
      </c>
      <c r="E97" s="73">
        <f>E96/(1+Settings!$O$17)</f>
        <v>0.25798244553657312</v>
      </c>
      <c r="F97" s="73">
        <f>F96/(1+Settings!$O$18)</f>
        <v>0.25798244553657312</v>
      </c>
      <c r="H97">
        <f>Grondslag!A93</f>
        <v>116</v>
      </c>
      <c r="I97" s="15">
        <f>IF(Settings!C$7="Unisex", overlevtafel!I123, IF(Settings!C$7="Man", overlevtafel!D123, IF(Settings!C$7="Vrouw",overlevtafel!G123) ) )/I$4</f>
        <v>3.4036194434370217E-7</v>
      </c>
      <c r="J97" s="11">
        <f t="shared" si="69"/>
        <v>5.2500898205750954E-7</v>
      </c>
      <c r="K97" s="11">
        <f>IFERROR(J97/SUM(J97:J$100), 1)</f>
        <v>0.62062547611834118</v>
      </c>
      <c r="M97" s="20">
        <v>106</v>
      </c>
      <c r="N97" s="73">
        <f>IF(Settings!D$7="Unisex", overlevtafel!Q113, IF(Settings!D$7="Man", overlevtafel!L113, IF(Settings!D$7="Vrouw",overlevtafel!O113) ) )</f>
        <v>141.18728069064548</v>
      </c>
      <c r="O97" s="20">
        <f t="shared" si="74"/>
        <v>116</v>
      </c>
      <c r="P97" s="15">
        <f t="shared" si="65"/>
        <v>3.4217704529548102E-7</v>
      </c>
      <c r="R97" s="73">
        <f>1*($H97&gt;=Settings!D$10)</f>
        <v>1</v>
      </c>
      <c r="S97" s="73">
        <f t="shared" si="66"/>
        <v>116</v>
      </c>
      <c r="T97" s="73">
        <f>1*($S97&gt;=Settings!D$10)</f>
        <v>1</v>
      </c>
      <c r="AI97" s="20">
        <f t="shared" si="71"/>
        <v>0.39124287474362696</v>
      </c>
      <c r="BV97" s="20">
        <f t="shared" si="73"/>
        <v>0.38626712862485812</v>
      </c>
      <c r="CD97" s="20">
        <f t="shared" si="72"/>
        <v>0.99488774008913383</v>
      </c>
    </row>
    <row r="98" spans="1:82" x14ac:dyDescent="0.25">
      <c r="A98">
        <v>92</v>
      </c>
      <c r="B98">
        <f>B97/(1+Settings!O$14)</f>
        <v>0.25416989708036763</v>
      </c>
      <c r="C98" s="73">
        <f>C97/(1+Settings!$O$15)</f>
        <v>0.25416989708036763</v>
      </c>
      <c r="D98" s="73">
        <f>D97/(1+Settings!$O$16)</f>
        <v>0.25416989708036763</v>
      </c>
      <c r="E98" s="73">
        <f>E97/(1+Settings!$O$17)</f>
        <v>0.25416989708036763</v>
      </c>
      <c r="F98" s="73">
        <f>F97/(1+Settings!$O$18)</f>
        <v>0.25416989708036763</v>
      </c>
      <c r="H98">
        <f>Grondslag!A94</f>
        <v>117</v>
      </c>
      <c r="I98" s="15">
        <f>IF(Settings!C$7="Unisex", overlevtafel!I124, IF(Settings!C$7="Man", overlevtafel!D124, IF(Settings!C$7="Vrouw",overlevtafel!G124) ) )/I$4</f>
        <v>1.3229686550811937E-7</v>
      </c>
      <c r="J98" s="11">
        <f t="shared" si="69"/>
        <v>2.080650788355828E-7</v>
      </c>
      <c r="K98" s="11">
        <f>IFERROR(J98/SUM(J98:J$100), 1)</f>
        <v>0.6483266849725432</v>
      </c>
      <c r="M98" s="20">
        <v>107</v>
      </c>
      <c r="N98" s="73">
        <f>IF(Settings!D$7="Unisex", overlevtafel!Q114, IF(Settings!D$7="Man", overlevtafel!L114, IF(Settings!D$7="Vrouw",overlevtafel!O114) ) )</f>
        <v>70.205117102345369</v>
      </c>
      <c r="O98" s="20">
        <f t="shared" si="74"/>
        <v>117</v>
      </c>
      <c r="P98" s="15">
        <f t="shared" si="65"/>
        <v>1.3298376136670674E-7</v>
      </c>
      <c r="R98" s="73">
        <f>1*($H98&gt;=Settings!D$10)</f>
        <v>1</v>
      </c>
      <c r="S98" s="73">
        <f t="shared" si="66"/>
        <v>117</v>
      </c>
      <c r="T98" s="73">
        <f>1*($S98&gt;=Settings!D$10)</f>
        <v>1</v>
      </c>
      <c r="AI98" s="20">
        <f t="shared" si="71"/>
        <v>0.39683172151508445</v>
      </c>
      <c r="BV98" s="20">
        <f t="shared" si="73"/>
        <v>0.38341593337372715</v>
      </c>
      <c r="CD98" s="20">
        <f t="shared" si="72"/>
        <v>1.0210773447226749</v>
      </c>
    </row>
    <row r="99" spans="1:82" x14ac:dyDescent="0.25">
      <c r="A99">
        <v>93</v>
      </c>
      <c r="B99">
        <f>B98/(1+Settings!O$14)</f>
        <v>0.25041369170479572</v>
      </c>
      <c r="C99" s="73">
        <f>C98/(1+Settings!$O$15)</f>
        <v>0.25041369170479572</v>
      </c>
      <c r="D99" s="73">
        <f>D98/(1+Settings!$O$16)</f>
        <v>0.25041369170479572</v>
      </c>
      <c r="E99" s="73">
        <f>E98/(1+Settings!$O$17)</f>
        <v>0.25041369170479572</v>
      </c>
      <c r="F99" s="73">
        <f>F98/(1+Settings!$O$18)</f>
        <v>0.25041369170479572</v>
      </c>
      <c r="H99">
        <f>Grondslag!A95</f>
        <v>118</v>
      </c>
      <c r="I99" s="15">
        <f>IF(Settings!C$7="Unisex", overlevtafel!I125, IF(Settings!C$7="Man", overlevtafel!D125, IF(Settings!C$7="Vrouw",overlevtafel!G125) ) )/I$4</f>
        <v>5.0916991848739195E-8</v>
      </c>
      <c r="J99" s="11">
        <f t="shared" si="69"/>
        <v>8.1379873659380177E-8</v>
      </c>
      <c r="K99" s="11">
        <f>IFERROR(J99/SUM(J99:J$100), 1)</f>
        <v>0.72106148405497617</v>
      </c>
      <c r="M99" s="20">
        <v>108</v>
      </c>
      <c r="N99" s="73">
        <f>IF(Settings!D$7="Unisex", overlevtafel!Q115, IF(Settings!D$7="Man", overlevtafel!L115, IF(Settings!D$7="Vrouw",overlevtafel!O115) ) )</f>
        <v>33.570583612296581</v>
      </c>
      <c r="O99" s="20">
        <f t="shared" si="74"/>
        <v>118</v>
      </c>
      <c r="P99" s="15">
        <f t="shared" si="65"/>
        <v>5.1174848974297905E-8</v>
      </c>
      <c r="R99" s="73">
        <f>1*($H99&gt;=Settings!D$10)</f>
        <v>1</v>
      </c>
      <c r="S99" s="73">
        <f t="shared" si="66"/>
        <v>118</v>
      </c>
      <c r="T99" s="73">
        <f>1*($S99&gt;=Settings!D$10)</f>
        <v>1</v>
      </c>
      <c r="AI99" s="20">
        <f t="shared" si="71"/>
        <v>0.42078753255695983</v>
      </c>
      <c r="BV99" s="20">
        <f t="shared" si="73"/>
        <v>0.38181910392719454</v>
      </c>
      <c r="CD99" s="20">
        <f t="shared" si="72"/>
        <v>1.0934650504536796</v>
      </c>
    </row>
    <row r="100" spans="1:82" x14ac:dyDescent="0.25">
      <c r="A100">
        <v>94</v>
      </c>
      <c r="B100">
        <f>B99/(1+Settings!O$14)</f>
        <v>0.24671299675349334</v>
      </c>
      <c r="C100" s="73">
        <f>C99/(1+Settings!$O$15)</f>
        <v>0.24671299675349334</v>
      </c>
      <c r="D100" s="73">
        <f>D99/(1+Settings!$O$16)</f>
        <v>0.24671299675349334</v>
      </c>
      <c r="E100" s="73">
        <f>E99/(1+Settings!$O$17)</f>
        <v>0.24671299675349334</v>
      </c>
      <c r="F100" s="73">
        <f>F99/(1+Settings!$O$18)</f>
        <v>0.24671299675349334</v>
      </c>
      <c r="H100">
        <f>Grondslag!A96</f>
        <v>119</v>
      </c>
      <c r="I100" s="15">
        <f>IF(Settings!C$7="Unisex", overlevtafel!I126, IF(Settings!C$7="Man", overlevtafel!D126, IF(Settings!C$7="Vrouw",overlevtafel!G126) ) )/I$4</f>
        <v>1.9435652617187177E-8</v>
      </c>
      <c r="J100" s="11">
        <f t="shared" si="69"/>
        <v>3.1481339231552022E-8</v>
      </c>
      <c r="K100" s="11">
        <f>IFERROR(J100/SUM(J100:J$100), 1)</f>
        <v>1</v>
      </c>
      <c r="M100" s="20">
        <v>109</v>
      </c>
      <c r="N100" s="73">
        <f>IF(Settings!D$7="Unisex", overlevtafel!Q116, IF(Settings!D$7="Man", overlevtafel!L116, IF(Settings!D$7="Vrouw",overlevtafel!O116) ) )</f>
        <v>15.485622770574421</v>
      </c>
      <c r="O100" s="20">
        <f t="shared" si="74"/>
        <v>119</v>
      </c>
      <c r="P100" s="15">
        <f t="shared" si="65"/>
        <v>1.9531844768381275E-8</v>
      </c>
      <c r="R100" s="73">
        <f>1*($H100&gt;=Settings!D$10)</f>
        <v>1</v>
      </c>
      <c r="S100" s="73">
        <f t="shared" si="66"/>
        <v>119</v>
      </c>
      <c r="T100" s="73">
        <f>1*($S100&gt;=Settings!D$10)</f>
        <v>1</v>
      </c>
      <c r="AI100" s="20">
        <f t="shared" si="71"/>
        <v>0.52421274503391013</v>
      </c>
      <c r="BV100" s="20">
        <f t="shared" si="73"/>
        <v>0.38166883068264573</v>
      </c>
      <c r="CD100" s="20">
        <f t="shared" si="72"/>
        <v>1.3734753872783192</v>
      </c>
    </row>
    <row r="101" spans="1:82" x14ac:dyDescent="0.25">
      <c r="M101" s="20">
        <v>110</v>
      </c>
      <c r="N101" s="73">
        <f>IF(Settings!D$7="Unisex", overlevtafel!Q117, IF(Settings!D$7="Man", overlevtafel!L117, IF(Settings!D$7="Vrouw",overlevtafel!O117) ) )</f>
        <v>6.9143045124890037</v>
      </c>
      <c r="O101" s="20">
        <f t="shared" si="74"/>
        <v>120</v>
      </c>
      <c r="P101" s="15">
        <f t="shared" si="65"/>
        <v>7.4040832384681772E-9</v>
      </c>
    </row>
    <row r="102" spans="1:82" x14ac:dyDescent="0.25">
      <c r="M102" s="20">
        <v>111</v>
      </c>
      <c r="N102" s="73">
        <f>IF(Settings!D$7="Unisex", overlevtafel!Q118, IF(Settings!D$7="Man", overlevtafel!L118, IF(Settings!D$7="Vrouw",overlevtafel!O118) ) )</f>
        <v>2.998671324468329</v>
      </c>
      <c r="O102" s="20">
        <f t="shared" si="74"/>
        <v>121</v>
      </c>
      <c r="P102" s="15">
        <f t="shared" si="65"/>
        <v>0</v>
      </c>
    </row>
    <row r="103" spans="1:82" x14ac:dyDescent="0.25">
      <c r="G103" s="15"/>
      <c r="M103" s="20">
        <v>112</v>
      </c>
      <c r="N103" s="73">
        <f>IF(Settings!D$7="Unisex", overlevtafel!Q119, IF(Settings!D$7="Man", overlevtafel!L119, IF(Settings!D$7="Vrouw",overlevtafel!O119) ) )</f>
        <v>1.2675414997651477</v>
      </c>
      <c r="O103" s="20">
        <f t="shared" si="74"/>
        <v>122</v>
      </c>
      <c r="P103" s="15">
        <f t="shared" si="65"/>
        <v>0</v>
      </c>
    </row>
    <row r="104" spans="1:82" x14ac:dyDescent="0.25">
      <c r="M104" s="20">
        <v>113</v>
      </c>
      <c r="N104" s="73">
        <f>IF(Settings!D$7="Unisex", overlevtafel!Q120, IF(Settings!D$7="Man", overlevtafel!L120, IF(Settings!D$7="Vrouw",overlevtafel!O120) ) )</f>
        <v>0.52393445187071275</v>
      </c>
      <c r="O104" s="20">
        <f t="shared" si="74"/>
        <v>123</v>
      </c>
      <c r="P104" s="15">
        <f>IFERROR(VLOOKUP($O104, $M$6:$N$111, MATCH($N$5, $M$5:$N$5,0),FALSE)/P$4, 0)</f>
        <v>0</v>
      </c>
    </row>
    <row r="105" spans="1:82" x14ac:dyDescent="0.25">
      <c r="M105" s="20">
        <v>114</v>
      </c>
      <c r="N105" s="73">
        <f>IF(Settings!D$7="Unisex", overlevtafel!Q121, IF(Settings!D$7="Man", overlevtafel!L121, IF(Settings!D$7="Vrouw",overlevtafel!O121) ) )</f>
        <v>0.21242471487694942</v>
      </c>
      <c r="O105" s="20">
        <f t="shared" si="74"/>
        <v>124</v>
      </c>
      <c r="P105" s="15">
        <f t="shared" ref="P105:P111" si="75">IFERROR(VLOOKUP($O105, $M$6:$N$111, MATCH($N$5, $M$5:$N$5,0),FALSE)/P$4, 0)</f>
        <v>0</v>
      </c>
    </row>
    <row r="106" spans="1:82" x14ac:dyDescent="0.25">
      <c r="M106" s="20">
        <v>115</v>
      </c>
      <c r="N106" s="73">
        <f>IF(Settings!D$7="Unisex", overlevtafel!Q122, IF(Settings!D$7="Man", overlevtafel!L122, IF(Settings!D$7="Vrouw",overlevtafel!O122) ) )</f>
        <v>8.4715193121788004E-2</v>
      </c>
      <c r="O106" s="20">
        <f t="shared" si="74"/>
        <v>125</v>
      </c>
      <c r="P106" s="15">
        <f t="shared" si="75"/>
        <v>0</v>
      </c>
    </row>
    <row r="107" spans="1:82" x14ac:dyDescent="0.25">
      <c r="M107" s="20">
        <v>116</v>
      </c>
      <c r="N107" s="73">
        <f>IF(Settings!D$7="Unisex", overlevtafel!Q123, IF(Settings!D$7="Man", overlevtafel!L123, IF(Settings!D$7="Vrouw",overlevtafel!O123) ) )</f>
        <v>3.331452821849068E-2</v>
      </c>
      <c r="O107" s="20">
        <f t="shared" ref="O107:O111" si="76">O106+1</f>
        <v>126</v>
      </c>
      <c r="P107" s="15">
        <f t="shared" si="75"/>
        <v>0</v>
      </c>
    </row>
    <row r="108" spans="1:82" x14ac:dyDescent="0.25">
      <c r="M108" s="20">
        <v>117</v>
      </c>
      <c r="N108" s="73">
        <f>IF(Settings!D$7="Unisex", overlevtafel!Q124, IF(Settings!D$7="Man", overlevtafel!L124, IF(Settings!D$7="Vrouw",overlevtafel!O124) ) )</f>
        <v>1.2947365498543252E-2</v>
      </c>
      <c r="O108" s="20">
        <f t="shared" si="76"/>
        <v>127</v>
      </c>
      <c r="P108" s="15">
        <f t="shared" si="75"/>
        <v>0</v>
      </c>
    </row>
    <row r="109" spans="1:82" x14ac:dyDescent="0.25">
      <c r="M109" s="20">
        <v>118</v>
      </c>
      <c r="N109" s="73">
        <f>IF(Settings!D$7="Unisex", overlevtafel!Q125, IF(Settings!D$7="Man", overlevtafel!L125, IF(Settings!D$7="Vrouw",overlevtafel!O125) ) )</f>
        <v>4.9824088835621312E-3</v>
      </c>
      <c r="O109" s="20">
        <f t="shared" si="76"/>
        <v>128</v>
      </c>
      <c r="P109" s="15">
        <f t="shared" si="75"/>
        <v>0</v>
      </c>
    </row>
    <row r="110" spans="1:82" x14ac:dyDescent="0.25">
      <c r="M110" s="20">
        <v>119</v>
      </c>
      <c r="N110" s="73">
        <f>IF(Settings!D$7="Unisex", overlevtafel!Q126, IF(Settings!D$7="Man", overlevtafel!L126, IF(Settings!D$7="Vrouw",overlevtafel!O126) ) )</f>
        <v>1.901630172571985E-3</v>
      </c>
      <c r="O110" s="20">
        <f t="shared" si="76"/>
        <v>129</v>
      </c>
      <c r="P110" s="15">
        <f t="shared" si="75"/>
        <v>0</v>
      </c>
    </row>
    <row r="111" spans="1:82" x14ac:dyDescent="0.25">
      <c r="M111" s="20">
        <v>120</v>
      </c>
      <c r="N111" s="73">
        <f>IF(Settings!D$7="Unisex", overlevtafel!Q127, IF(Settings!D$7="Man", overlevtafel!L127, IF(Settings!D$7="Vrouw",overlevtafel!O127) ) )</f>
        <v>7.2086524613888098E-4</v>
      </c>
      <c r="O111" s="20">
        <f t="shared" si="76"/>
        <v>130</v>
      </c>
      <c r="P111" s="15">
        <f t="shared" si="75"/>
        <v>0</v>
      </c>
    </row>
  </sheetData>
  <mergeCells count="16">
    <mergeCell ref="DV4:EC4"/>
    <mergeCell ref="EE4:EL4"/>
    <mergeCell ref="I2:K2"/>
    <mergeCell ref="H1:K1"/>
    <mergeCell ref="M1:P1"/>
    <mergeCell ref="M2:P2"/>
    <mergeCell ref="CD1:CG1"/>
    <mergeCell ref="BB1:BE1"/>
    <mergeCell ref="BG1:BJ1"/>
    <mergeCell ref="BQ1:BT1"/>
    <mergeCell ref="BV1:BZ1"/>
    <mergeCell ref="AQ1:AU1"/>
    <mergeCell ref="BL1:BO1"/>
    <mergeCell ref="AW1:AZ1"/>
    <mergeCell ref="AA1:AG1"/>
    <mergeCell ref="AI1:AO1"/>
  </mergeCells>
  <phoneticPr fontId="28" type="noConversion"/>
  <pageMargins left="0.7" right="0.7" top="0.75" bottom="0.75" header="0.3" footer="0.3"/>
  <pageSetup orientation="portrait" horizont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1D2B5-026E-44A1-AA9B-EA9158799E91}">
  <dimension ref="A1:BD110"/>
  <sheetViews>
    <sheetView zoomScale="60" zoomScaleNormal="60" workbookViewId="0">
      <pane xSplit="1" ySplit="9" topLeftCell="S10" activePane="bottomRight" state="frozen"/>
      <selection pane="topRight" activeCell="B1" sqref="B1"/>
      <selection pane="bottomLeft" activeCell="A7" sqref="A7"/>
      <selection pane="bottomRight" activeCell="AB43" sqref="AB43"/>
    </sheetView>
  </sheetViews>
  <sheetFormatPr defaultRowHeight="15" x14ac:dyDescent="0.25"/>
  <cols>
    <col min="5" max="5" width="9.140625" style="73"/>
    <col min="8" max="8" width="9.140625" style="73"/>
    <col min="33" max="33" width="9.140625" style="73"/>
    <col min="36" max="36" width="9.140625" style="73"/>
  </cols>
  <sheetData>
    <row r="1" spans="1:56" x14ac:dyDescent="0.25">
      <c r="K1" t="s">
        <v>213</v>
      </c>
    </row>
    <row r="2" spans="1:56" x14ac:dyDescent="0.25">
      <c r="J2" s="13" t="str">
        <f>Premie_leeftijd!W5</f>
        <v>brutojaarloon inclusief bijzondere beloning</v>
      </c>
      <c r="K2">
        <f>VLOOKUP(Settings!$Y$2, Premie_leeftijd!$V$5:$Y$48, MATCH(J2, Premie_leeftijd!$V$5:$Y$5,0), FALSE)</f>
        <v>50</v>
      </c>
    </row>
    <row r="3" spans="1:56" x14ac:dyDescent="0.25">
      <c r="J3" s="13" t="str">
        <f>Premie_leeftijd!Y5</f>
        <v>pensioengrondslag = brutoloon - franchise</v>
      </c>
      <c r="K3">
        <f>VLOOKUP(Settings!$Y$2, Premie_leeftijd!$V$5:$Y$48, MATCH(J3, Premie_leeftijd!$V$5:$Y$5,0), FALSE)</f>
        <v>35</v>
      </c>
    </row>
    <row r="4" spans="1:56" x14ac:dyDescent="0.25">
      <c r="J4" s="13"/>
    </row>
    <row r="5" spans="1:56" x14ac:dyDescent="0.25">
      <c r="B5" s="158" t="s">
        <v>214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D5" s="158" t="s">
        <v>217</v>
      </c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</row>
    <row r="6" spans="1:56" x14ac:dyDescent="0.25">
      <c r="C6" s="5">
        <f>VLOOKUP(Settings!$Y$2,Premie_leeftijd!$CI$5:$CZ$48, MATCH(C7,Premie_leeftijd!$CI$1:$CZ$1,0),FALSE)</f>
        <v>4.1604018361135066E-2</v>
      </c>
      <c r="D6" s="5">
        <f>VLOOKUP(Settings!$Y$2,Premie_leeftijd!$CI$5:$CZ$48, MATCH(D7,Premie_leeftijd!$CI$1:$CZ$1,0),FALSE)</f>
        <v>8.9128849751201385E-3</v>
      </c>
      <c r="E6" s="5">
        <f>VLOOKUP(Settings!$Y$2,Premie_leeftijd!$CI$5:$CZ$48, MATCH(E7,Premie_leeftijd!$CI$1:$CZ$1,0),FALSE)</f>
        <v>0</v>
      </c>
      <c r="F6" s="5">
        <f>VLOOKUP(Settings!$Y$2,Premie_leeftijd!$CI$5:$CZ$48, MATCH(F7,Premie_leeftijd!$CI$1:$CZ$1,0),FALSE)</f>
        <v>3.9159687171057347E-2</v>
      </c>
      <c r="G6" s="5">
        <f>VLOOKUP(Settings!$Y$2,Premie_leeftijd!$CI$5:$CZ$48, MATCH(G7,Premie_leeftijd!$CI$1:$CZ$1,0),FALSE)</f>
        <v>8.6454562912251579E-3</v>
      </c>
      <c r="H6" s="5">
        <f>VLOOKUP(Settings!$Y$2,Premie_leeftijd!$CI$5:$CZ$48, MATCH(H7,Premie_leeftijd!$CI$1:$CZ$1,0),FALSE)</f>
        <v>0</v>
      </c>
      <c r="I6" s="5">
        <f>VLOOKUP(Settings!$Y$2,Premie_leeftijd!$CI$5:$CZ$48, MATCH(I7,Premie_leeftijd!$CI$1:$CZ$1,0),FALSE)</f>
        <v>2.3794373702957207E-2</v>
      </c>
      <c r="J6" s="5">
        <f>VLOOKUP(Settings!$Y$2,Premie_leeftijd!$CI$5:$CZ$48, MATCH(J7,Premie_leeftijd!$CI$1:$CZ$1,0),FALSE)</f>
        <v>2.6460758706016139E-2</v>
      </c>
      <c r="K6" s="5">
        <f>VLOOKUP(Settings!$Y$2,Premie_leeftijd!$CI$5:$CZ$48, MATCH(K7,Premie_leeftijd!$CI$1:$CZ$1,0),FALSE)</f>
        <v>5.2141393004379456E-2</v>
      </c>
      <c r="L6" s="5">
        <f>VLOOKUP(Settings!$Y$2,Premie_leeftijd!$CI$5:$CZ$48, MATCH(L7,Premie_leeftijd!$CI$1:$CZ$1,0),FALSE)</f>
        <v>5.2141393004379456E-2</v>
      </c>
      <c r="M6" s="5">
        <f>VLOOKUP(Settings!$Y$2,Premie_leeftijd!$CI$5:$CZ$48, MATCH(M7,Premie_leeftijd!$CI$1:$CZ$1,0),FALSE)</f>
        <v>3.6498975103065621E-2</v>
      </c>
      <c r="N6" s="5">
        <f>VLOOKUP(Settings!$Y$2,Premie_leeftijd!$CI$5:$CZ$48, MATCH(N7,Premie_leeftijd!$CI$1:$CZ$1,0),FALSE)</f>
        <v>3.4197010420295985E-2</v>
      </c>
      <c r="O6" s="5">
        <f>VLOOKUP(Settings!$Y$2,Premie_leeftijd!$CI$5:$CZ$48, MATCH(O7,Premie_leeftijd!$CI$1:$CZ$1,0),FALSE)</f>
        <v>2.6460758706016139E-2</v>
      </c>
      <c r="P6" s="5">
        <f>VLOOKUP(Settings!$Y$2,Premie_leeftijd!$CI$5:$CZ$48, MATCH(P7,Premie_leeftijd!$CI$1:$CZ$1,0),FALSE)</f>
        <v>4.968138812616707E-3</v>
      </c>
      <c r="Q6" s="5">
        <f>VLOOKUP(Settings!$Y$2,Premie_leeftijd!$CI$5:$CZ$48, MATCH(Q7,Premie_leeftijd!$CI$1:$CZ$1,0),FALSE)</f>
        <v>3.9159687171057347E-2</v>
      </c>
      <c r="R6" s="5">
        <f>VLOOKUP(Settings!$Y$2,Premie_leeftijd!$CI$5:$CZ$48, MATCH(R7,Premie_leeftijd!$CI$1:$CZ$1,0),FALSE)</f>
        <v>1.0863050244077089E-2</v>
      </c>
      <c r="S6" s="5">
        <f>VLOOKUP(Settings!$Y$2,Premie_leeftijd!$CI$5:$CZ$48, MATCH(S7,Premie_leeftijd!$CI$1:$CZ$1,0),FALSE)</f>
        <v>4.968138812616707E-3</v>
      </c>
      <c r="U6" s="5"/>
      <c r="V6" s="11">
        <f t="shared" ref="V6" si="0">SUM(C6:D6)</f>
        <v>5.0516903336255206E-2</v>
      </c>
      <c r="W6" s="11">
        <f t="shared" ref="W6" si="1">SUM(F6:G6)</f>
        <v>4.7805143462282505E-2</v>
      </c>
      <c r="X6" s="11">
        <f>$BM6+$BN6+K6</f>
        <v>5.2141393004379456E-2</v>
      </c>
      <c r="Y6" s="11">
        <f>$BM6+$BN6+L6</f>
        <v>5.2141393004379456E-2</v>
      </c>
      <c r="Z6" s="11">
        <f>$BM6+$BN6+M6</f>
        <v>3.6498975103065621E-2</v>
      </c>
      <c r="AA6" s="11">
        <f t="shared" ref="AA6" si="2">SUM(N6:P6)</f>
        <v>6.5625907938928835E-2</v>
      </c>
      <c r="AB6" s="11">
        <f t="shared" ref="AB6" si="3">SUM(Q6:S6)</f>
        <v>5.4990876227751145E-2</v>
      </c>
      <c r="AX6" s="11">
        <f t="shared" ref="AX6" si="4">SUM(AE6:AF6)</f>
        <v>0</v>
      </c>
      <c r="AY6" s="11">
        <f t="shared" ref="AY6" si="5">SUM(AH6:AI6)</f>
        <v>0</v>
      </c>
      <c r="AZ6" s="11">
        <f>$ABM6+$ABN6+AM6</f>
        <v>0</v>
      </c>
      <c r="BA6" s="11">
        <f>$ABM6+$ABN6+AN6</f>
        <v>0</v>
      </c>
      <c r="BB6" s="11">
        <f>$ABM6+$ABN6+AO6</f>
        <v>0</v>
      </c>
      <c r="BC6" s="11">
        <f t="shared" ref="BC6" si="6">SUM(AP6:AR6)</f>
        <v>0</v>
      </c>
      <c r="BD6" s="11">
        <f t="shared" ref="BD6" si="7">SUM(AS6:AU6)</f>
        <v>0</v>
      </c>
    </row>
    <row r="7" spans="1:56" x14ac:dyDescent="0.25">
      <c r="C7" s="30" t="str">
        <f t="shared" ref="C7:F7" si="8">C8 &amp; C9</f>
        <v>Uitkeringsregeling (DSS)opbouw</v>
      </c>
      <c r="D7" s="30" t="str">
        <f t="shared" si="8"/>
        <v>Uitkeringsregeling (DSS)bereikbaar</v>
      </c>
      <c r="E7" s="30" t="str">
        <f t="shared" ref="E7" si="9">E8 &amp; E9</f>
        <v>Uitkeringsregeling (DSS)risico, ANW</v>
      </c>
      <c r="F7" s="30" t="str">
        <f t="shared" si="8"/>
        <v>Uitkeringsregeling (degr)opbouw</v>
      </c>
      <c r="G7" s="30" t="str">
        <f>G8 &amp; G9</f>
        <v>Uitkeringsregeling (degr)bereikbaar</v>
      </c>
      <c r="H7" s="30" t="str">
        <f>H8 &amp; H9</f>
        <v>Uitkeringsregeling (degr)risico ANW-hiaat</v>
      </c>
      <c r="I7" s="30" t="str">
        <f t="shared" ref="I7:S7" si="10">I8 &amp; I9</f>
        <v>MvTopbouw na AOW</v>
      </c>
      <c r="J7" s="30" t="str">
        <f t="shared" si="10"/>
        <v>MvTrisico voor AOW</v>
      </c>
      <c r="K7" s="30" t="str">
        <f t="shared" si="10"/>
        <v>MvTx0, risico vanaf AOW</v>
      </c>
      <c r="L7" s="30" t="str">
        <f t="shared" si="10"/>
        <v>MvTx, risico vanaf AOW</v>
      </c>
      <c r="M7" s="30" t="str">
        <f t="shared" si="10"/>
        <v>MvTx1, risico vanaf AOW</v>
      </c>
      <c r="N7" s="30" t="str">
        <f t="shared" si="10"/>
        <v>Uitkeringsknipopbouw na AOW</v>
      </c>
      <c r="O7" s="30" t="str">
        <f t="shared" si="10"/>
        <v>Uitkeringskniprisico voor AOW</v>
      </c>
      <c r="P7" s="30" t="str">
        <f t="shared" si="10"/>
        <v>Uitkeringsknipbereikbaar na AOW</v>
      </c>
      <c r="Q7" s="30" t="str">
        <f t="shared" si="10"/>
        <v>Saldomethodeopbouw</v>
      </c>
      <c r="R7" s="30" t="str">
        <f t="shared" si="10"/>
        <v>Saldomethoderisico voor AOW</v>
      </c>
      <c r="S7" s="30" t="str">
        <f t="shared" si="10"/>
        <v>Saldomethodebereikbaar vanaf AOW</v>
      </c>
      <c r="U7" s="28"/>
      <c r="V7" s="28"/>
      <c r="W7" s="28"/>
      <c r="X7" s="28"/>
      <c r="Y7" s="28"/>
      <c r="Z7" s="28"/>
      <c r="AA7" s="28"/>
      <c r="AB7" s="28"/>
    </row>
    <row r="8" spans="1:56" x14ac:dyDescent="0.25">
      <c r="C8" t="str">
        <f>Premie_leeftijd!CJ4</f>
        <v>Uitkeringsregeling (DSS)</v>
      </c>
      <c r="D8" t="str">
        <f>Premie_leeftijd!CK4</f>
        <v>Uitkeringsregeling (DSS)</v>
      </c>
      <c r="E8" s="73" t="str">
        <f>Premie_leeftijd!CL4</f>
        <v>Uitkeringsregeling (DSS)</v>
      </c>
      <c r="F8" t="str">
        <f>Premie_leeftijd!CM4</f>
        <v>Uitkeringsregeling (degr)</v>
      </c>
      <c r="G8" t="str">
        <f>Premie_leeftijd!CN4</f>
        <v>Uitkeringsregeling (degr)</v>
      </c>
      <c r="H8" s="73" t="str">
        <f>Premie_leeftijd!CO4</f>
        <v>Uitkeringsregeling (degr)</v>
      </c>
      <c r="I8" t="str">
        <f>Premie_leeftijd!CP4</f>
        <v>MvT</v>
      </c>
      <c r="J8" t="str">
        <f>Premie_leeftijd!CQ4</f>
        <v>MvT</v>
      </c>
      <c r="K8" t="str">
        <f>Premie_leeftijd!CR4</f>
        <v>MvT</v>
      </c>
      <c r="L8" t="str">
        <f>Premie_leeftijd!CS4</f>
        <v>MvT</v>
      </c>
      <c r="M8" t="str">
        <f>Premie_leeftijd!CT4</f>
        <v>MvT</v>
      </c>
      <c r="N8" t="str">
        <f>Premie_leeftijd!CU4</f>
        <v>Uitkeringsknip</v>
      </c>
      <c r="O8" t="str">
        <f>Premie_leeftijd!CV4</f>
        <v>Uitkeringsknip</v>
      </c>
      <c r="P8" t="str">
        <f>Premie_leeftijd!CW4</f>
        <v>Uitkeringsknip</v>
      </c>
      <c r="Q8" t="str">
        <f>Premie_leeftijd!CX4</f>
        <v>Saldomethode</v>
      </c>
      <c r="R8" t="str">
        <f>Premie_leeftijd!CY4</f>
        <v>Saldomethode</v>
      </c>
      <c r="S8" t="str">
        <f>Premie_leeftijd!CZ4</f>
        <v>Saldomethode</v>
      </c>
      <c r="AE8" t="str">
        <f>C8</f>
        <v>Uitkeringsregeling (DSS)</v>
      </c>
      <c r="AF8" t="str">
        <f>D8</f>
        <v>Uitkeringsregeling (DSS)</v>
      </c>
      <c r="AH8" t="str">
        <f>F8</f>
        <v>Uitkeringsregeling (degr)</v>
      </c>
      <c r="AI8" t="str">
        <f>G8</f>
        <v>Uitkeringsregeling (degr)</v>
      </c>
      <c r="AK8" t="str">
        <f t="shared" ref="AK8:AU9" si="11">I8</f>
        <v>MvT</v>
      </c>
      <c r="AL8" t="str">
        <f t="shared" si="11"/>
        <v>MvT</v>
      </c>
      <c r="AM8" t="str">
        <f t="shared" si="11"/>
        <v>MvT</v>
      </c>
      <c r="AN8" t="str">
        <f t="shared" si="11"/>
        <v>MvT</v>
      </c>
      <c r="AO8" t="str">
        <f t="shared" si="11"/>
        <v>MvT</v>
      </c>
      <c r="AP8" t="str">
        <f t="shared" si="11"/>
        <v>Uitkeringsknip</v>
      </c>
      <c r="AQ8" t="str">
        <f t="shared" si="11"/>
        <v>Uitkeringsknip</v>
      </c>
      <c r="AR8" t="str">
        <f t="shared" si="11"/>
        <v>Uitkeringsknip</v>
      </c>
      <c r="AS8" t="str">
        <f t="shared" si="11"/>
        <v>Saldomethode</v>
      </c>
      <c r="AT8" t="str">
        <f t="shared" si="11"/>
        <v>Saldomethode</v>
      </c>
      <c r="AU8" t="str">
        <f t="shared" si="11"/>
        <v>Saldomethode</v>
      </c>
    </row>
    <row r="9" spans="1:56" x14ac:dyDescent="0.25">
      <c r="A9" t="s">
        <v>212</v>
      </c>
      <c r="B9" t="s">
        <v>211</v>
      </c>
      <c r="C9" s="58" t="str">
        <f>Premie_leeftijd!CJ5</f>
        <v>opbouw</v>
      </c>
      <c r="D9" s="60" t="str">
        <f>Premie_leeftijd!CK5</f>
        <v>bereikbaar</v>
      </c>
      <c r="E9" s="108" t="str">
        <f>Premie_leeftijd!CL5</f>
        <v>risico, ANW</v>
      </c>
      <c r="F9" s="58" t="str">
        <f>Premie_leeftijd!CM5</f>
        <v>opbouw</v>
      </c>
      <c r="G9" s="60" t="str">
        <f>Premie_leeftijd!CN5</f>
        <v>bereikbaar</v>
      </c>
      <c r="H9" s="108" t="str">
        <f>Premie_leeftijd!CO5</f>
        <v>risico ANW-hiaat</v>
      </c>
      <c r="I9" s="58" t="str">
        <f>Premie_leeftijd!CP5</f>
        <v>opbouw na AOW</v>
      </c>
      <c r="J9" s="56" t="str">
        <f>Premie_leeftijd!CQ5</f>
        <v>risico voor AOW</v>
      </c>
      <c r="K9" s="98" t="str">
        <f>Premie_leeftijd!CR5</f>
        <v>x0, risico vanaf AOW</v>
      </c>
      <c r="L9" s="98" t="str">
        <f>Premie_leeftijd!CS5</f>
        <v>x, risico vanaf AOW</v>
      </c>
      <c r="M9" s="98" t="str">
        <f>Premie_leeftijd!CT5</f>
        <v>x1, risico vanaf AOW</v>
      </c>
      <c r="N9" s="58" t="str">
        <f>Premie_leeftijd!CU5</f>
        <v>opbouw na AOW</v>
      </c>
      <c r="O9" s="56" t="str">
        <f>Premie_leeftijd!CV5</f>
        <v>risico voor AOW</v>
      </c>
      <c r="P9" s="60" t="str">
        <f>Premie_leeftijd!CW5</f>
        <v>bereikbaar na AOW</v>
      </c>
      <c r="Q9" s="58" t="str">
        <f>Premie_leeftijd!CX5</f>
        <v>opbouw</v>
      </c>
      <c r="R9" s="56" t="str">
        <f>Premie_leeftijd!CY5</f>
        <v>risico voor AOW</v>
      </c>
      <c r="S9" s="60" t="str">
        <f>Premie_leeftijd!CZ5</f>
        <v>bereikbaar vanaf AOW</v>
      </c>
      <c r="U9" s="3" t="str">
        <f>A9</f>
        <v>brutoloon per jaar (incl.bijzondere beloningen, dzd euro)</v>
      </c>
      <c r="V9" s="3" t="s">
        <v>317</v>
      </c>
      <c r="W9" s="3" t="s">
        <v>319</v>
      </c>
      <c r="X9" s="3" t="s">
        <v>137</v>
      </c>
      <c r="Y9" s="3" t="s">
        <v>200</v>
      </c>
      <c r="Z9" s="3" t="s">
        <v>315</v>
      </c>
      <c r="AA9" s="3" t="s">
        <v>325</v>
      </c>
      <c r="AB9" s="3" t="s">
        <v>322</v>
      </c>
      <c r="AC9" s="3"/>
      <c r="AE9" s="58" t="str">
        <f>C9</f>
        <v>opbouw</v>
      </c>
      <c r="AF9" s="60" t="str">
        <f>D9</f>
        <v>bereikbaar</v>
      </c>
      <c r="AG9" s="108" t="str">
        <f>E9</f>
        <v>risico, ANW</v>
      </c>
      <c r="AH9" s="58" t="str">
        <f>F9</f>
        <v>opbouw</v>
      </c>
      <c r="AI9" s="60" t="str">
        <f>G9</f>
        <v>bereikbaar</v>
      </c>
      <c r="AJ9" s="108" t="str">
        <f>H9</f>
        <v>risico ANW-hiaat</v>
      </c>
      <c r="AK9" s="58" t="str">
        <f t="shared" si="11"/>
        <v>opbouw na AOW</v>
      </c>
      <c r="AL9" s="56" t="str">
        <f t="shared" si="11"/>
        <v>risico voor AOW</v>
      </c>
      <c r="AM9" s="98" t="str">
        <f t="shared" si="11"/>
        <v>x0, risico vanaf AOW</v>
      </c>
      <c r="AN9" s="98" t="str">
        <f t="shared" si="11"/>
        <v>x, risico vanaf AOW</v>
      </c>
      <c r="AO9" s="98" t="str">
        <f t="shared" si="11"/>
        <v>x1, risico vanaf AOW</v>
      </c>
      <c r="AP9" s="58" t="str">
        <f t="shared" si="11"/>
        <v>opbouw na AOW</v>
      </c>
      <c r="AQ9" s="56" t="str">
        <f t="shared" si="11"/>
        <v>risico voor AOW</v>
      </c>
      <c r="AR9" s="60" t="str">
        <f t="shared" si="11"/>
        <v>bereikbaar na AOW</v>
      </c>
      <c r="AS9" s="58" t="str">
        <f t="shared" si="11"/>
        <v>opbouw</v>
      </c>
      <c r="AT9" s="56" t="str">
        <f t="shared" si="11"/>
        <v>risico voor AOW</v>
      </c>
      <c r="AU9" s="60" t="str">
        <f t="shared" si="11"/>
        <v>bereikbaar vanaf AOW</v>
      </c>
      <c r="AW9" t="str">
        <f>A9</f>
        <v>brutoloon per jaar (incl.bijzondere beloningen, dzd euro)</v>
      </c>
      <c r="AX9" t="str">
        <f t="shared" ref="AX9:BD9" si="12">V9</f>
        <v>Uitkeringsregeling (DSS)</v>
      </c>
      <c r="AY9" t="str">
        <f t="shared" si="12"/>
        <v>Uitkeringsregeling (degr)</v>
      </c>
      <c r="AZ9" t="str">
        <f t="shared" si="12"/>
        <v>MvT</v>
      </c>
      <c r="BA9" t="str">
        <f t="shared" si="12"/>
        <v>MvT_x</v>
      </c>
      <c r="BB9" t="str">
        <f t="shared" si="12"/>
        <v>MvT met overbrugging</v>
      </c>
      <c r="BC9" t="str">
        <f t="shared" si="12"/>
        <v>Uitkeringsknip</v>
      </c>
      <c r="BD9" t="str">
        <f t="shared" si="12"/>
        <v>Saldomethode</v>
      </c>
    </row>
    <row r="10" spans="1:56" x14ac:dyDescent="0.25">
      <c r="A10">
        <v>0</v>
      </c>
      <c r="B10">
        <f>MAX(A10-Settings!$Y$3*voltijdfranchise/1000, 0)</f>
        <v>0</v>
      </c>
      <c r="C10" s="59">
        <f>C$6</f>
        <v>4.1604018361135066E-2</v>
      </c>
      <c r="D10" s="61">
        <f t="shared" ref="D10:S25" si="13">D$6</f>
        <v>8.9128849751201385E-3</v>
      </c>
      <c r="E10" s="109">
        <f t="shared" si="13"/>
        <v>0</v>
      </c>
      <c r="F10" s="59">
        <f t="shared" si="13"/>
        <v>3.9159687171057347E-2</v>
      </c>
      <c r="G10" s="61">
        <f t="shared" si="13"/>
        <v>8.6454562912251579E-3</v>
      </c>
      <c r="H10" s="109">
        <f t="shared" si="13"/>
        <v>0</v>
      </c>
      <c r="I10" s="59">
        <f t="shared" si="13"/>
        <v>2.3794373702957207E-2</v>
      </c>
      <c r="J10" s="57" t="e">
        <f t="shared" ref="J10:M29" si="14">IFERROR(J$6*$K$3*($A10/$K$2)/$B10, NA())</f>
        <v>#N/A</v>
      </c>
      <c r="K10" s="99" t="e">
        <f t="shared" si="14"/>
        <v>#N/A</v>
      </c>
      <c r="L10" s="99" t="e">
        <f t="shared" si="14"/>
        <v>#N/A</v>
      </c>
      <c r="M10" s="99" t="e">
        <f t="shared" si="14"/>
        <v>#N/A</v>
      </c>
      <c r="N10" s="59">
        <f t="shared" si="13"/>
        <v>3.4197010420295985E-2</v>
      </c>
      <c r="O10" s="57" t="e">
        <f t="shared" ref="O10:O41" si="15">O$6*$K$3*($A10/$K$2)/$B10</f>
        <v>#DIV/0!</v>
      </c>
      <c r="P10" s="61">
        <f t="shared" si="13"/>
        <v>4.968138812616707E-3</v>
      </c>
      <c r="Q10" s="59">
        <f t="shared" si="13"/>
        <v>3.9159687171057347E-2</v>
      </c>
      <c r="R10" s="57" t="e">
        <f t="shared" ref="R10:R41" si="16">R$6*$K$3*($A10/$K$2)/$B10</f>
        <v>#DIV/0!</v>
      </c>
      <c r="S10" s="61">
        <f t="shared" si="13"/>
        <v>4.968138812616707E-3</v>
      </c>
      <c r="U10" s="18">
        <f t="shared" ref="U10:U52" si="17">A10</f>
        <v>0</v>
      </c>
      <c r="V10" s="11">
        <f t="shared" ref="V10:V52" si="18">SUM(C10:D10)</f>
        <v>5.0516903336255206E-2</v>
      </c>
      <c r="W10" s="11">
        <f t="shared" ref="W10:W52" si="19">SUM(F10:G10)</f>
        <v>4.7805143462282505E-2</v>
      </c>
      <c r="X10" s="11" t="e">
        <f t="shared" ref="X10:X69" si="20">$I10+$J10+K10</f>
        <v>#N/A</v>
      </c>
      <c r="Y10" s="11" t="e">
        <f t="shared" ref="Y10:Y69" si="21">$I10+$J10+L10</f>
        <v>#N/A</v>
      </c>
      <c r="Z10" s="11" t="e">
        <f t="shared" ref="Z10:Z69" si="22">$I10+$J10+M10</f>
        <v>#N/A</v>
      </c>
      <c r="AA10" s="11" t="e">
        <f t="shared" ref="AA10:AA52" si="23">SUM(N10:P10)</f>
        <v>#DIV/0!</v>
      </c>
      <c r="AB10" s="11" t="e">
        <f t="shared" ref="AB10:AB52" si="24">SUM(Q10:S10)</f>
        <v>#DIV/0!</v>
      </c>
      <c r="AE10" s="59" t="e">
        <f t="shared" ref="AE10:AE73" si="25">IFERROR(C10*$B10/$A10,NA())</f>
        <v>#N/A</v>
      </c>
      <c r="AF10" s="61" t="e">
        <f t="shared" ref="AF10:AF73" si="26">IFERROR(D10*$B10/$A10,NA())</f>
        <v>#N/A</v>
      </c>
      <c r="AG10" s="109" t="e">
        <f>IFERROR(E10*$B10/$A10,NA())</f>
        <v>#N/A</v>
      </c>
      <c r="AH10" s="59" t="e">
        <f t="shared" ref="AH10:AH73" si="27">IFERROR(F10*$B10/$A10,NA())</f>
        <v>#N/A</v>
      </c>
      <c r="AI10" s="61" t="e">
        <f t="shared" ref="AI10:AJ73" si="28">IFERROR(G10*$B10/$A10,NA())</f>
        <v>#N/A</v>
      </c>
      <c r="AJ10" s="109" t="e">
        <f>IFERROR(H10*$B10/$A10,NA())</f>
        <v>#N/A</v>
      </c>
      <c r="AK10" s="59" t="e">
        <f t="shared" ref="AK10:AK73" si="29">IFERROR(I10*$B10/$A10,NA())</f>
        <v>#N/A</v>
      </c>
      <c r="AL10" s="57">
        <f t="shared" ref="AL10:AL73" si="30">IFERROR(J$6*$K$3/$K$2, NA())</f>
        <v>1.8522531094211297E-2</v>
      </c>
      <c r="AM10" s="99">
        <f t="shared" ref="AM10:AM73" si="31">IFERROR(K$6*$K$3/$K$2, NA())</f>
        <v>3.6498975103065621E-2</v>
      </c>
      <c r="AN10" s="99">
        <f t="shared" ref="AN10:AN73" si="32">IFERROR(L$6*$K$3/$K$2, NA())</f>
        <v>3.6498975103065621E-2</v>
      </c>
      <c r="AO10" s="99">
        <f t="shared" ref="AO10:AO41" si="33">IFERROR(M$6*$K$3/$K$2, NA())</f>
        <v>2.5549282572145934E-2</v>
      </c>
      <c r="AP10" s="59" t="e">
        <f t="shared" ref="AP10:AP73" si="34">IFERROR(N10*$B10/$A10,NA())</f>
        <v>#N/A</v>
      </c>
      <c r="AQ10" s="57">
        <f t="shared" ref="AQ10:AQ41" si="35">IFERROR(O$6*$K$3/$K$2, NA())</f>
        <v>1.8522531094211297E-2</v>
      </c>
      <c r="AR10" s="61" t="e">
        <f t="shared" ref="AR10:AR41" si="36">IFERROR(P10*$B10/$A10,NA())</f>
        <v>#N/A</v>
      </c>
      <c r="AS10" s="59" t="e">
        <f t="shared" ref="AS10:AS41" si="37">IFERROR(Q10*$B10/$A10,NA())</f>
        <v>#N/A</v>
      </c>
      <c r="AT10" s="57">
        <f t="shared" ref="AT10:AT73" si="38">IFERROR(R$6*$K$3/$K$2, NA())</f>
        <v>7.6041351708539626E-3</v>
      </c>
      <c r="AU10" s="61" t="e">
        <f t="shared" ref="AU10:AU73" si="39">IFERROR(S10*$B10/$A10,NA())</f>
        <v>#N/A</v>
      </c>
      <c r="AW10">
        <f>A10</f>
        <v>0</v>
      </c>
      <c r="AX10" s="11" t="e">
        <f>SUM(AE10:AG10)</f>
        <v>#N/A</v>
      </c>
      <c r="AY10" s="11" t="e">
        <f>SUM(AH10:AJ10)</f>
        <v>#N/A</v>
      </c>
      <c r="AZ10" s="11" t="e">
        <f t="shared" ref="AZ10:AZ41" si="40">$AK10+$AL10+AM10</f>
        <v>#N/A</v>
      </c>
      <c r="BA10" s="11" t="e">
        <f t="shared" ref="BA10:BA41" si="41">$AK10+$AL10+AN10</f>
        <v>#N/A</v>
      </c>
      <c r="BB10" s="11" t="e">
        <f t="shared" ref="BB10:BB41" si="42">$AK10+$AL10+AO10</f>
        <v>#N/A</v>
      </c>
      <c r="BC10" s="11" t="e">
        <f t="shared" ref="BC10:BC73" si="43">SUM(AP10:AR10)</f>
        <v>#N/A</v>
      </c>
      <c r="BD10" s="11" t="e">
        <f t="shared" ref="BD10:BD73" si="44">SUM(AS10:AU10)</f>
        <v>#N/A</v>
      </c>
    </row>
    <row r="11" spans="1:56" x14ac:dyDescent="0.25">
      <c r="A11">
        <v>1</v>
      </c>
      <c r="B11">
        <f>MAX(A11-Settings!$Y$3*voltijdfranchise/1000, 0)</f>
        <v>0</v>
      </c>
      <c r="C11" s="59">
        <f t="shared" ref="C11:S41" si="45">C$6</f>
        <v>4.1604018361135066E-2</v>
      </c>
      <c r="D11" s="61">
        <f t="shared" si="13"/>
        <v>8.9128849751201385E-3</v>
      </c>
      <c r="E11" s="109">
        <f t="shared" si="13"/>
        <v>0</v>
      </c>
      <c r="F11" s="59">
        <f t="shared" si="13"/>
        <v>3.9159687171057347E-2</v>
      </c>
      <c r="G11" s="61">
        <f t="shared" si="13"/>
        <v>8.6454562912251579E-3</v>
      </c>
      <c r="H11" s="109">
        <f t="shared" si="13"/>
        <v>0</v>
      </c>
      <c r="I11" s="59">
        <f t="shared" si="13"/>
        <v>2.3794373702957207E-2</v>
      </c>
      <c r="J11" s="57" t="e">
        <f t="shared" si="14"/>
        <v>#N/A</v>
      </c>
      <c r="K11" s="99" t="e">
        <f t="shared" si="14"/>
        <v>#N/A</v>
      </c>
      <c r="L11" s="99" t="e">
        <f t="shared" si="14"/>
        <v>#N/A</v>
      </c>
      <c r="M11" s="99" t="e">
        <f t="shared" si="14"/>
        <v>#N/A</v>
      </c>
      <c r="N11" s="59">
        <f t="shared" si="13"/>
        <v>3.4197010420295985E-2</v>
      </c>
      <c r="O11" s="57" t="e">
        <f t="shared" si="15"/>
        <v>#DIV/0!</v>
      </c>
      <c r="P11" s="61">
        <f t="shared" si="13"/>
        <v>4.968138812616707E-3</v>
      </c>
      <c r="Q11" s="59">
        <f t="shared" si="13"/>
        <v>3.9159687171057347E-2</v>
      </c>
      <c r="R11" s="57" t="e">
        <f t="shared" si="16"/>
        <v>#DIV/0!</v>
      </c>
      <c r="S11" s="61">
        <f t="shared" si="13"/>
        <v>4.968138812616707E-3</v>
      </c>
      <c r="U11" s="18">
        <f t="shared" si="17"/>
        <v>1</v>
      </c>
      <c r="V11" s="11">
        <f t="shared" si="18"/>
        <v>5.0516903336255206E-2</v>
      </c>
      <c r="W11" s="11">
        <f t="shared" si="19"/>
        <v>4.7805143462282505E-2</v>
      </c>
      <c r="X11" s="11" t="e">
        <f t="shared" si="20"/>
        <v>#N/A</v>
      </c>
      <c r="Y11" s="11" t="e">
        <f t="shared" si="21"/>
        <v>#N/A</v>
      </c>
      <c r="Z11" s="11" t="e">
        <f t="shared" si="22"/>
        <v>#N/A</v>
      </c>
      <c r="AA11" s="11" t="e">
        <f t="shared" si="23"/>
        <v>#DIV/0!</v>
      </c>
      <c r="AB11" s="11" t="e">
        <f t="shared" si="24"/>
        <v>#DIV/0!</v>
      </c>
      <c r="AE11" s="59">
        <f t="shared" si="25"/>
        <v>0</v>
      </c>
      <c r="AF11" s="61">
        <f t="shared" si="26"/>
        <v>0</v>
      </c>
      <c r="AG11" s="109">
        <f t="shared" ref="AG11:AG74" si="46">IFERROR(E11*$B11/$A11,NA())</f>
        <v>0</v>
      </c>
      <c r="AH11" s="59">
        <f t="shared" si="27"/>
        <v>0</v>
      </c>
      <c r="AI11" s="61">
        <f t="shared" si="28"/>
        <v>0</v>
      </c>
      <c r="AJ11" s="109">
        <f t="shared" si="28"/>
        <v>0</v>
      </c>
      <c r="AK11" s="59">
        <f t="shared" si="29"/>
        <v>0</v>
      </c>
      <c r="AL11" s="57">
        <f t="shared" si="30"/>
        <v>1.8522531094211297E-2</v>
      </c>
      <c r="AM11" s="99">
        <f t="shared" si="31"/>
        <v>3.6498975103065621E-2</v>
      </c>
      <c r="AN11" s="99">
        <f t="shared" si="32"/>
        <v>3.6498975103065621E-2</v>
      </c>
      <c r="AO11" s="99">
        <f t="shared" si="33"/>
        <v>2.5549282572145934E-2</v>
      </c>
      <c r="AP11" s="59">
        <f t="shared" si="34"/>
        <v>0</v>
      </c>
      <c r="AQ11" s="57">
        <f t="shared" si="35"/>
        <v>1.8522531094211297E-2</v>
      </c>
      <c r="AR11" s="61">
        <f t="shared" si="36"/>
        <v>0</v>
      </c>
      <c r="AS11" s="59">
        <f t="shared" si="37"/>
        <v>0</v>
      </c>
      <c r="AT11" s="57">
        <f t="shared" si="38"/>
        <v>7.6041351708539626E-3</v>
      </c>
      <c r="AU11" s="61">
        <f t="shared" si="39"/>
        <v>0</v>
      </c>
      <c r="AW11">
        <f t="shared" ref="AW11:AW74" si="47">A11</f>
        <v>1</v>
      </c>
      <c r="AX11" s="11">
        <f t="shared" ref="AX11:AX74" si="48">SUM(AE11:AG11)</f>
        <v>0</v>
      </c>
      <c r="AY11" s="11">
        <f t="shared" ref="AY11:AY74" si="49">SUM(AH11:AJ11)</f>
        <v>0</v>
      </c>
      <c r="AZ11" s="11">
        <f t="shared" si="40"/>
        <v>5.5021506197276915E-2</v>
      </c>
      <c r="BA11" s="11">
        <f t="shared" si="41"/>
        <v>5.5021506197276915E-2</v>
      </c>
      <c r="BB11" s="11">
        <f t="shared" si="42"/>
        <v>4.4071813666357235E-2</v>
      </c>
      <c r="BC11" s="11">
        <f t="shared" si="43"/>
        <v>1.8522531094211297E-2</v>
      </c>
      <c r="BD11" s="11">
        <f t="shared" si="44"/>
        <v>7.6041351708539626E-3</v>
      </c>
    </row>
    <row r="12" spans="1:56" x14ac:dyDescent="0.25">
      <c r="A12">
        <v>2</v>
      </c>
      <c r="B12">
        <f>MAX(A12-Settings!$Y$3*voltijdfranchise/1000, 0)</f>
        <v>0</v>
      </c>
      <c r="C12" s="59">
        <f t="shared" si="45"/>
        <v>4.1604018361135066E-2</v>
      </c>
      <c r="D12" s="61">
        <f t="shared" si="13"/>
        <v>8.9128849751201385E-3</v>
      </c>
      <c r="E12" s="109">
        <f t="shared" si="13"/>
        <v>0</v>
      </c>
      <c r="F12" s="59">
        <f t="shared" si="13"/>
        <v>3.9159687171057347E-2</v>
      </c>
      <c r="G12" s="61">
        <f t="shared" si="13"/>
        <v>8.6454562912251579E-3</v>
      </c>
      <c r="H12" s="109">
        <f t="shared" si="13"/>
        <v>0</v>
      </c>
      <c r="I12" s="59">
        <f t="shared" si="13"/>
        <v>2.3794373702957207E-2</v>
      </c>
      <c r="J12" s="57" t="e">
        <f t="shared" si="14"/>
        <v>#N/A</v>
      </c>
      <c r="K12" s="99" t="e">
        <f t="shared" si="14"/>
        <v>#N/A</v>
      </c>
      <c r="L12" s="99" t="e">
        <f t="shared" si="14"/>
        <v>#N/A</v>
      </c>
      <c r="M12" s="99" t="e">
        <f t="shared" si="14"/>
        <v>#N/A</v>
      </c>
      <c r="N12" s="59">
        <f t="shared" si="13"/>
        <v>3.4197010420295985E-2</v>
      </c>
      <c r="O12" s="57" t="e">
        <f t="shared" si="15"/>
        <v>#DIV/0!</v>
      </c>
      <c r="P12" s="61">
        <f t="shared" si="13"/>
        <v>4.968138812616707E-3</v>
      </c>
      <c r="Q12" s="59">
        <f t="shared" si="13"/>
        <v>3.9159687171057347E-2</v>
      </c>
      <c r="R12" s="57" t="e">
        <f t="shared" si="16"/>
        <v>#DIV/0!</v>
      </c>
      <c r="S12" s="61">
        <f t="shared" si="13"/>
        <v>4.968138812616707E-3</v>
      </c>
      <c r="U12" s="18">
        <f t="shared" si="17"/>
        <v>2</v>
      </c>
      <c r="V12" s="11">
        <f t="shared" si="18"/>
        <v>5.0516903336255206E-2</v>
      </c>
      <c r="W12" s="11">
        <f t="shared" si="19"/>
        <v>4.7805143462282505E-2</v>
      </c>
      <c r="X12" s="11" t="e">
        <f t="shared" si="20"/>
        <v>#N/A</v>
      </c>
      <c r="Y12" s="11" t="e">
        <f t="shared" si="21"/>
        <v>#N/A</v>
      </c>
      <c r="Z12" s="11" t="e">
        <f t="shared" si="22"/>
        <v>#N/A</v>
      </c>
      <c r="AA12" s="11" t="e">
        <f t="shared" si="23"/>
        <v>#DIV/0!</v>
      </c>
      <c r="AB12" s="11" t="e">
        <f t="shared" si="24"/>
        <v>#DIV/0!</v>
      </c>
      <c r="AE12" s="59">
        <f t="shared" si="25"/>
        <v>0</v>
      </c>
      <c r="AF12" s="61">
        <f t="shared" si="26"/>
        <v>0</v>
      </c>
      <c r="AG12" s="109">
        <f t="shared" si="46"/>
        <v>0</v>
      </c>
      <c r="AH12" s="59">
        <f t="shared" si="27"/>
        <v>0</v>
      </c>
      <c r="AI12" s="61">
        <f t="shared" si="28"/>
        <v>0</v>
      </c>
      <c r="AJ12" s="109">
        <f t="shared" si="28"/>
        <v>0</v>
      </c>
      <c r="AK12" s="59">
        <f t="shared" si="29"/>
        <v>0</v>
      </c>
      <c r="AL12" s="57">
        <f t="shared" si="30"/>
        <v>1.8522531094211297E-2</v>
      </c>
      <c r="AM12" s="99">
        <f t="shared" si="31"/>
        <v>3.6498975103065621E-2</v>
      </c>
      <c r="AN12" s="99">
        <f t="shared" si="32"/>
        <v>3.6498975103065621E-2</v>
      </c>
      <c r="AO12" s="99">
        <f t="shared" si="33"/>
        <v>2.5549282572145934E-2</v>
      </c>
      <c r="AP12" s="59">
        <f t="shared" si="34"/>
        <v>0</v>
      </c>
      <c r="AQ12" s="57">
        <f t="shared" si="35"/>
        <v>1.8522531094211297E-2</v>
      </c>
      <c r="AR12" s="61">
        <f t="shared" si="36"/>
        <v>0</v>
      </c>
      <c r="AS12" s="59">
        <f t="shared" si="37"/>
        <v>0</v>
      </c>
      <c r="AT12" s="57">
        <f t="shared" si="38"/>
        <v>7.6041351708539626E-3</v>
      </c>
      <c r="AU12" s="61">
        <f t="shared" si="39"/>
        <v>0</v>
      </c>
      <c r="AW12">
        <f t="shared" si="47"/>
        <v>2</v>
      </c>
      <c r="AX12" s="11">
        <f t="shared" si="48"/>
        <v>0</v>
      </c>
      <c r="AY12" s="11">
        <f t="shared" si="49"/>
        <v>0</v>
      </c>
      <c r="AZ12" s="11">
        <f t="shared" si="40"/>
        <v>5.5021506197276915E-2</v>
      </c>
      <c r="BA12" s="11">
        <f t="shared" si="41"/>
        <v>5.5021506197276915E-2</v>
      </c>
      <c r="BB12" s="11">
        <f t="shared" si="42"/>
        <v>4.4071813666357235E-2</v>
      </c>
      <c r="BC12" s="11">
        <f t="shared" si="43"/>
        <v>1.8522531094211297E-2</v>
      </c>
      <c r="BD12" s="11">
        <f t="shared" si="44"/>
        <v>7.6041351708539626E-3</v>
      </c>
    </row>
    <row r="13" spans="1:56" x14ac:dyDescent="0.25">
      <c r="A13">
        <v>3</v>
      </c>
      <c r="B13">
        <f>MAX(A13-Settings!$Y$3*voltijdfranchise/1000, 0)</f>
        <v>0</v>
      </c>
      <c r="C13" s="59">
        <f t="shared" si="45"/>
        <v>4.1604018361135066E-2</v>
      </c>
      <c r="D13" s="61">
        <f t="shared" si="13"/>
        <v>8.9128849751201385E-3</v>
      </c>
      <c r="E13" s="109">
        <f t="shared" si="13"/>
        <v>0</v>
      </c>
      <c r="F13" s="59">
        <f t="shared" si="13"/>
        <v>3.9159687171057347E-2</v>
      </c>
      <c r="G13" s="61">
        <f t="shared" si="13"/>
        <v>8.6454562912251579E-3</v>
      </c>
      <c r="H13" s="109">
        <f t="shared" si="13"/>
        <v>0</v>
      </c>
      <c r="I13" s="59">
        <f t="shared" si="13"/>
        <v>2.3794373702957207E-2</v>
      </c>
      <c r="J13" s="57" t="e">
        <f t="shared" si="14"/>
        <v>#N/A</v>
      </c>
      <c r="K13" s="99" t="e">
        <f t="shared" si="14"/>
        <v>#N/A</v>
      </c>
      <c r="L13" s="99" t="e">
        <f t="shared" si="14"/>
        <v>#N/A</v>
      </c>
      <c r="M13" s="99" t="e">
        <f t="shared" si="14"/>
        <v>#N/A</v>
      </c>
      <c r="N13" s="59">
        <f t="shared" si="13"/>
        <v>3.4197010420295985E-2</v>
      </c>
      <c r="O13" s="57" t="e">
        <f t="shared" si="15"/>
        <v>#DIV/0!</v>
      </c>
      <c r="P13" s="61">
        <f t="shared" si="13"/>
        <v>4.968138812616707E-3</v>
      </c>
      <c r="Q13" s="59">
        <f t="shared" si="13"/>
        <v>3.9159687171057347E-2</v>
      </c>
      <c r="R13" s="57" t="e">
        <f t="shared" si="16"/>
        <v>#DIV/0!</v>
      </c>
      <c r="S13" s="61">
        <f t="shared" si="13"/>
        <v>4.968138812616707E-3</v>
      </c>
      <c r="U13" s="18">
        <f t="shared" si="17"/>
        <v>3</v>
      </c>
      <c r="V13" s="11">
        <f t="shared" si="18"/>
        <v>5.0516903336255206E-2</v>
      </c>
      <c r="W13" s="11">
        <f t="shared" si="19"/>
        <v>4.7805143462282505E-2</v>
      </c>
      <c r="X13" s="11" t="e">
        <f t="shared" si="20"/>
        <v>#N/A</v>
      </c>
      <c r="Y13" s="11" t="e">
        <f t="shared" si="21"/>
        <v>#N/A</v>
      </c>
      <c r="Z13" s="11" t="e">
        <f t="shared" si="22"/>
        <v>#N/A</v>
      </c>
      <c r="AA13" s="11" t="e">
        <f t="shared" si="23"/>
        <v>#DIV/0!</v>
      </c>
      <c r="AB13" s="11" t="e">
        <f t="shared" si="24"/>
        <v>#DIV/0!</v>
      </c>
      <c r="AE13" s="59">
        <f t="shared" si="25"/>
        <v>0</v>
      </c>
      <c r="AF13" s="61">
        <f t="shared" si="26"/>
        <v>0</v>
      </c>
      <c r="AG13" s="109">
        <f t="shared" si="46"/>
        <v>0</v>
      </c>
      <c r="AH13" s="59">
        <f t="shared" si="27"/>
        <v>0</v>
      </c>
      <c r="AI13" s="61">
        <f t="shared" si="28"/>
        <v>0</v>
      </c>
      <c r="AJ13" s="109">
        <f t="shared" si="28"/>
        <v>0</v>
      </c>
      <c r="AK13" s="59">
        <f t="shared" si="29"/>
        <v>0</v>
      </c>
      <c r="AL13" s="57">
        <f t="shared" si="30"/>
        <v>1.8522531094211297E-2</v>
      </c>
      <c r="AM13" s="99">
        <f t="shared" si="31"/>
        <v>3.6498975103065621E-2</v>
      </c>
      <c r="AN13" s="99">
        <f t="shared" si="32"/>
        <v>3.6498975103065621E-2</v>
      </c>
      <c r="AO13" s="99">
        <f t="shared" si="33"/>
        <v>2.5549282572145934E-2</v>
      </c>
      <c r="AP13" s="59">
        <f t="shared" si="34"/>
        <v>0</v>
      </c>
      <c r="AQ13" s="57">
        <f t="shared" si="35"/>
        <v>1.8522531094211297E-2</v>
      </c>
      <c r="AR13" s="61">
        <f t="shared" si="36"/>
        <v>0</v>
      </c>
      <c r="AS13" s="59">
        <f t="shared" si="37"/>
        <v>0</v>
      </c>
      <c r="AT13" s="57">
        <f t="shared" si="38"/>
        <v>7.6041351708539626E-3</v>
      </c>
      <c r="AU13" s="61">
        <f t="shared" si="39"/>
        <v>0</v>
      </c>
      <c r="AW13">
        <f t="shared" si="47"/>
        <v>3</v>
      </c>
      <c r="AX13" s="11">
        <f t="shared" si="48"/>
        <v>0</v>
      </c>
      <c r="AY13" s="11">
        <f t="shared" si="49"/>
        <v>0</v>
      </c>
      <c r="AZ13" s="11">
        <f t="shared" si="40"/>
        <v>5.5021506197276915E-2</v>
      </c>
      <c r="BA13" s="11">
        <f t="shared" si="41"/>
        <v>5.5021506197276915E-2</v>
      </c>
      <c r="BB13" s="11">
        <f t="shared" si="42"/>
        <v>4.4071813666357235E-2</v>
      </c>
      <c r="BC13" s="11">
        <f t="shared" si="43"/>
        <v>1.8522531094211297E-2</v>
      </c>
      <c r="BD13" s="11">
        <f t="shared" si="44"/>
        <v>7.6041351708539626E-3</v>
      </c>
    </row>
    <row r="14" spans="1:56" x14ac:dyDescent="0.25">
      <c r="A14">
        <v>4</v>
      </c>
      <c r="B14">
        <f>MAX(A14-Settings!$Y$3*voltijdfranchise/1000, 0)</f>
        <v>0</v>
      </c>
      <c r="C14" s="59">
        <f t="shared" si="45"/>
        <v>4.1604018361135066E-2</v>
      </c>
      <c r="D14" s="61">
        <f t="shared" si="13"/>
        <v>8.9128849751201385E-3</v>
      </c>
      <c r="E14" s="109">
        <f t="shared" si="13"/>
        <v>0</v>
      </c>
      <c r="F14" s="59">
        <f t="shared" si="13"/>
        <v>3.9159687171057347E-2</v>
      </c>
      <c r="G14" s="61">
        <f t="shared" si="13"/>
        <v>8.6454562912251579E-3</v>
      </c>
      <c r="H14" s="109">
        <f t="shared" si="13"/>
        <v>0</v>
      </c>
      <c r="I14" s="59">
        <f t="shared" si="13"/>
        <v>2.3794373702957207E-2</v>
      </c>
      <c r="J14" s="57" t="e">
        <f t="shared" si="14"/>
        <v>#N/A</v>
      </c>
      <c r="K14" s="99" t="e">
        <f t="shared" si="14"/>
        <v>#N/A</v>
      </c>
      <c r="L14" s="99" t="e">
        <f t="shared" si="14"/>
        <v>#N/A</v>
      </c>
      <c r="M14" s="99" t="e">
        <f t="shared" si="14"/>
        <v>#N/A</v>
      </c>
      <c r="N14" s="59">
        <f t="shared" si="13"/>
        <v>3.4197010420295985E-2</v>
      </c>
      <c r="O14" s="57" t="e">
        <f t="shared" si="15"/>
        <v>#DIV/0!</v>
      </c>
      <c r="P14" s="61">
        <f t="shared" si="13"/>
        <v>4.968138812616707E-3</v>
      </c>
      <c r="Q14" s="59">
        <f t="shared" si="13"/>
        <v>3.9159687171057347E-2</v>
      </c>
      <c r="R14" s="57" t="e">
        <f t="shared" si="16"/>
        <v>#DIV/0!</v>
      </c>
      <c r="S14" s="61">
        <f t="shared" si="13"/>
        <v>4.968138812616707E-3</v>
      </c>
      <c r="U14" s="18">
        <f t="shared" si="17"/>
        <v>4</v>
      </c>
      <c r="V14" s="11">
        <f t="shared" si="18"/>
        <v>5.0516903336255206E-2</v>
      </c>
      <c r="W14" s="11">
        <f t="shared" si="19"/>
        <v>4.7805143462282505E-2</v>
      </c>
      <c r="X14" s="11" t="e">
        <f t="shared" si="20"/>
        <v>#N/A</v>
      </c>
      <c r="Y14" s="11" t="e">
        <f t="shared" si="21"/>
        <v>#N/A</v>
      </c>
      <c r="Z14" s="11" t="e">
        <f t="shared" si="22"/>
        <v>#N/A</v>
      </c>
      <c r="AA14" s="11" t="e">
        <f t="shared" si="23"/>
        <v>#DIV/0!</v>
      </c>
      <c r="AB14" s="11" t="e">
        <f t="shared" si="24"/>
        <v>#DIV/0!</v>
      </c>
      <c r="AE14" s="59">
        <f t="shared" si="25"/>
        <v>0</v>
      </c>
      <c r="AF14" s="61">
        <f t="shared" si="26"/>
        <v>0</v>
      </c>
      <c r="AG14" s="109">
        <f t="shared" si="46"/>
        <v>0</v>
      </c>
      <c r="AH14" s="59">
        <f t="shared" si="27"/>
        <v>0</v>
      </c>
      <c r="AI14" s="61">
        <f t="shared" si="28"/>
        <v>0</v>
      </c>
      <c r="AJ14" s="109">
        <f t="shared" si="28"/>
        <v>0</v>
      </c>
      <c r="AK14" s="59">
        <f t="shared" si="29"/>
        <v>0</v>
      </c>
      <c r="AL14" s="57">
        <f t="shared" si="30"/>
        <v>1.8522531094211297E-2</v>
      </c>
      <c r="AM14" s="99">
        <f t="shared" si="31"/>
        <v>3.6498975103065621E-2</v>
      </c>
      <c r="AN14" s="99">
        <f t="shared" si="32"/>
        <v>3.6498975103065621E-2</v>
      </c>
      <c r="AO14" s="99">
        <f t="shared" si="33"/>
        <v>2.5549282572145934E-2</v>
      </c>
      <c r="AP14" s="59">
        <f t="shared" si="34"/>
        <v>0</v>
      </c>
      <c r="AQ14" s="57">
        <f t="shared" si="35"/>
        <v>1.8522531094211297E-2</v>
      </c>
      <c r="AR14" s="61">
        <f t="shared" si="36"/>
        <v>0</v>
      </c>
      <c r="AS14" s="59">
        <f t="shared" si="37"/>
        <v>0</v>
      </c>
      <c r="AT14" s="57">
        <f t="shared" si="38"/>
        <v>7.6041351708539626E-3</v>
      </c>
      <c r="AU14" s="61">
        <f t="shared" si="39"/>
        <v>0</v>
      </c>
      <c r="AW14">
        <f t="shared" si="47"/>
        <v>4</v>
      </c>
      <c r="AX14" s="11">
        <f t="shared" si="48"/>
        <v>0</v>
      </c>
      <c r="AY14" s="11">
        <f t="shared" si="49"/>
        <v>0</v>
      </c>
      <c r="AZ14" s="11">
        <f t="shared" si="40"/>
        <v>5.5021506197276915E-2</v>
      </c>
      <c r="BA14" s="11">
        <f t="shared" si="41"/>
        <v>5.5021506197276915E-2</v>
      </c>
      <c r="BB14" s="11">
        <f t="shared" si="42"/>
        <v>4.4071813666357235E-2</v>
      </c>
      <c r="BC14" s="11">
        <f t="shared" si="43"/>
        <v>1.8522531094211297E-2</v>
      </c>
      <c r="BD14" s="11">
        <f t="shared" si="44"/>
        <v>7.6041351708539626E-3</v>
      </c>
    </row>
    <row r="15" spans="1:56" x14ac:dyDescent="0.25">
      <c r="A15">
        <v>5</v>
      </c>
      <c r="B15">
        <f>MAX(A15-Settings!$Y$3*voltijdfranchise/1000, 0)</f>
        <v>0</v>
      </c>
      <c r="C15" s="59">
        <f t="shared" si="45"/>
        <v>4.1604018361135066E-2</v>
      </c>
      <c r="D15" s="61">
        <f t="shared" si="13"/>
        <v>8.9128849751201385E-3</v>
      </c>
      <c r="E15" s="109">
        <f t="shared" si="13"/>
        <v>0</v>
      </c>
      <c r="F15" s="59">
        <f t="shared" si="13"/>
        <v>3.9159687171057347E-2</v>
      </c>
      <c r="G15" s="61">
        <f t="shared" si="13"/>
        <v>8.6454562912251579E-3</v>
      </c>
      <c r="H15" s="109">
        <f t="shared" si="13"/>
        <v>0</v>
      </c>
      <c r="I15" s="59">
        <f t="shared" si="13"/>
        <v>2.3794373702957207E-2</v>
      </c>
      <c r="J15" s="57" t="e">
        <f t="shared" si="14"/>
        <v>#N/A</v>
      </c>
      <c r="K15" s="99" t="e">
        <f t="shared" si="14"/>
        <v>#N/A</v>
      </c>
      <c r="L15" s="99" t="e">
        <f t="shared" si="14"/>
        <v>#N/A</v>
      </c>
      <c r="M15" s="99" t="e">
        <f t="shared" si="14"/>
        <v>#N/A</v>
      </c>
      <c r="N15" s="59">
        <f t="shared" si="13"/>
        <v>3.4197010420295985E-2</v>
      </c>
      <c r="O15" s="57" t="e">
        <f t="shared" si="15"/>
        <v>#DIV/0!</v>
      </c>
      <c r="P15" s="61">
        <f t="shared" si="13"/>
        <v>4.968138812616707E-3</v>
      </c>
      <c r="Q15" s="59">
        <f t="shared" si="13"/>
        <v>3.9159687171057347E-2</v>
      </c>
      <c r="R15" s="57" t="e">
        <f t="shared" si="16"/>
        <v>#DIV/0!</v>
      </c>
      <c r="S15" s="61">
        <f t="shared" si="13"/>
        <v>4.968138812616707E-3</v>
      </c>
      <c r="U15" s="18">
        <f t="shared" si="17"/>
        <v>5</v>
      </c>
      <c r="V15" s="11">
        <f t="shared" si="18"/>
        <v>5.0516903336255206E-2</v>
      </c>
      <c r="W15" s="11">
        <f t="shared" si="19"/>
        <v>4.7805143462282505E-2</v>
      </c>
      <c r="X15" s="11" t="e">
        <f t="shared" si="20"/>
        <v>#N/A</v>
      </c>
      <c r="Y15" s="11" t="e">
        <f t="shared" si="21"/>
        <v>#N/A</v>
      </c>
      <c r="Z15" s="11" t="e">
        <f t="shared" si="22"/>
        <v>#N/A</v>
      </c>
      <c r="AA15" s="11" t="e">
        <f t="shared" si="23"/>
        <v>#DIV/0!</v>
      </c>
      <c r="AB15" s="11" t="e">
        <f t="shared" si="24"/>
        <v>#DIV/0!</v>
      </c>
      <c r="AE15" s="59">
        <f t="shared" si="25"/>
        <v>0</v>
      </c>
      <c r="AF15" s="61">
        <f t="shared" si="26"/>
        <v>0</v>
      </c>
      <c r="AG15" s="109">
        <f t="shared" si="46"/>
        <v>0</v>
      </c>
      <c r="AH15" s="59">
        <f t="shared" si="27"/>
        <v>0</v>
      </c>
      <c r="AI15" s="61">
        <f t="shared" si="28"/>
        <v>0</v>
      </c>
      <c r="AJ15" s="109">
        <f t="shared" si="28"/>
        <v>0</v>
      </c>
      <c r="AK15" s="59">
        <f t="shared" si="29"/>
        <v>0</v>
      </c>
      <c r="AL15" s="57">
        <f t="shared" si="30"/>
        <v>1.8522531094211297E-2</v>
      </c>
      <c r="AM15" s="99">
        <f t="shared" si="31"/>
        <v>3.6498975103065621E-2</v>
      </c>
      <c r="AN15" s="99">
        <f t="shared" si="32"/>
        <v>3.6498975103065621E-2</v>
      </c>
      <c r="AO15" s="99">
        <f t="shared" si="33"/>
        <v>2.5549282572145934E-2</v>
      </c>
      <c r="AP15" s="59">
        <f t="shared" si="34"/>
        <v>0</v>
      </c>
      <c r="AQ15" s="57">
        <f t="shared" si="35"/>
        <v>1.8522531094211297E-2</v>
      </c>
      <c r="AR15" s="61">
        <f t="shared" si="36"/>
        <v>0</v>
      </c>
      <c r="AS15" s="59">
        <f t="shared" si="37"/>
        <v>0</v>
      </c>
      <c r="AT15" s="57">
        <f t="shared" si="38"/>
        <v>7.6041351708539626E-3</v>
      </c>
      <c r="AU15" s="61">
        <f t="shared" si="39"/>
        <v>0</v>
      </c>
      <c r="AW15">
        <f t="shared" si="47"/>
        <v>5</v>
      </c>
      <c r="AX15" s="11">
        <f t="shared" si="48"/>
        <v>0</v>
      </c>
      <c r="AY15" s="11">
        <f t="shared" si="49"/>
        <v>0</v>
      </c>
      <c r="AZ15" s="11">
        <f t="shared" si="40"/>
        <v>5.5021506197276915E-2</v>
      </c>
      <c r="BA15" s="11">
        <f t="shared" si="41"/>
        <v>5.5021506197276915E-2</v>
      </c>
      <c r="BB15" s="11">
        <f t="shared" si="42"/>
        <v>4.4071813666357235E-2</v>
      </c>
      <c r="BC15" s="11">
        <f t="shared" si="43"/>
        <v>1.8522531094211297E-2</v>
      </c>
      <c r="BD15" s="11">
        <f t="shared" si="44"/>
        <v>7.6041351708539626E-3</v>
      </c>
    </row>
    <row r="16" spans="1:56" x14ac:dyDescent="0.25">
      <c r="A16">
        <v>6</v>
      </c>
      <c r="B16">
        <f>MAX(A16-Settings!$Y$3*voltijdfranchise/1000, 0)</f>
        <v>0</v>
      </c>
      <c r="C16" s="59">
        <f t="shared" si="45"/>
        <v>4.1604018361135066E-2</v>
      </c>
      <c r="D16" s="61">
        <f t="shared" si="13"/>
        <v>8.9128849751201385E-3</v>
      </c>
      <c r="E16" s="109">
        <f t="shared" si="13"/>
        <v>0</v>
      </c>
      <c r="F16" s="59">
        <f t="shared" si="13"/>
        <v>3.9159687171057347E-2</v>
      </c>
      <c r="G16" s="61">
        <f t="shared" si="13"/>
        <v>8.6454562912251579E-3</v>
      </c>
      <c r="H16" s="109">
        <f t="shared" si="13"/>
        <v>0</v>
      </c>
      <c r="I16" s="59">
        <f t="shared" si="13"/>
        <v>2.3794373702957207E-2</v>
      </c>
      <c r="J16" s="57" t="e">
        <f t="shared" si="14"/>
        <v>#N/A</v>
      </c>
      <c r="K16" s="99" t="e">
        <f t="shared" si="14"/>
        <v>#N/A</v>
      </c>
      <c r="L16" s="99" t="e">
        <f t="shared" si="14"/>
        <v>#N/A</v>
      </c>
      <c r="M16" s="99" t="e">
        <f t="shared" si="14"/>
        <v>#N/A</v>
      </c>
      <c r="N16" s="59">
        <f t="shared" si="13"/>
        <v>3.4197010420295985E-2</v>
      </c>
      <c r="O16" s="57" t="e">
        <f t="shared" si="15"/>
        <v>#DIV/0!</v>
      </c>
      <c r="P16" s="61">
        <f t="shared" si="13"/>
        <v>4.968138812616707E-3</v>
      </c>
      <c r="Q16" s="59">
        <f t="shared" si="13"/>
        <v>3.9159687171057347E-2</v>
      </c>
      <c r="R16" s="57" t="e">
        <f t="shared" si="16"/>
        <v>#DIV/0!</v>
      </c>
      <c r="S16" s="61">
        <f t="shared" si="13"/>
        <v>4.968138812616707E-3</v>
      </c>
      <c r="U16" s="18">
        <f t="shared" si="17"/>
        <v>6</v>
      </c>
      <c r="V16" s="11">
        <f t="shared" si="18"/>
        <v>5.0516903336255206E-2</v>
      </c>
      <c r="W16" s="11">
        <f t="shared" si="19"/>
        <v>4.7805143462282505E-2</v>
      </c>
      <c r="X16" s="11" t="e">
        <f t="shared" si="20"/>
        <v>#N/A</v>
      </c>
      <c r="Y16" s="11" t="e">
        <f t="shared" si="21"/>
        <v>#N/A</v>
      </c>
      <c r="Z16" s="11" t="e">
        <f t="shared" si="22"/>
        <v>#N/A</v>
      </c>
      <c r="AA16" s="11" t="e">
        <f t="shared" si="23"/>
        <v>#DIV/0!</v>
      </c>
      <c r="AB16" s="11" t="e">
        <f t="shared" si="24"/>
        <v>#DIV/0!</v>
      </c>
      <c r="AE16" s="59">
        <f t="shared" si="25"/>
        <v>0</v>
      </c>
      <c r="AF16" s="61">
        <f t="shared" si="26"/>
        <v>0</v>
      </c>
      <c r="AG16" s="109">
        <f t="shared" si="46"/>
        <v>0</v>
      </c>
      <c r="AH16" s="59">
        <f t="shared" si="27"/>
        <v>0</v>
      </c>
      <c r="AI16" s="61">
        <f t="shared" si="28"/>
        <v>0</v>
      </c>
      <c r="AJ16" s="109">
        <f t="shared" si="28"/>
        <v>0</v>
      </c>
      <c r="AK16" s="59">
        <f t="shared" si="29"/>
        <v>0</v>
      </c>
      <c r="AL16" s="57">
        <f t="shared" si="30"/>
        <v>1.8522531094211297E-2</v>
      </c>
      <c r="AM16" s="99">
        <f t="shared" si="31"/>
        <v>3.6498975103065621E-2</v>
      </c>
      <c r="AN16" s="99">
        <f t="shared" si="32"/>
        <v>3.6498975103065621E-2</v>
      </c>
      <c r="AO16" s="99">
        <f t="shared" si="33"/>
        <v>2.5549282572145934E-2</v>
      </c>
      <c r="AP16" s="59">
        <f t="shared" si="34"/>
        <v>0</v>
      </c>
      <c r="AQ16" s="57">
        <f t="shared" si="35"/>
        <v>1.8522531094211297E-2</v>
      </c>
      <c r="AR16" s="61">
        <f t="shared" si="36"/>
        <v>0</v>
      </c>
      <c r="AS16" s="59">
        <f t="shared" si="37"/>
        <v>0</v>
      </c>
      <c r="AT16" s="57">
        <f t="shared" si="38"/>
        <v>7.6041351708539626E-3</v>
      </c>
      <c r="AU16" s="61">
        <f t="shared" si="39"/>
        <v>0</v>
      </c>
      <c r="AW16">
        <f t="shared" si="47"/>
        <v>6</v>
      </c>
      <c r="AX16" s="11">
        <f t="shared" si="48"/>
        <v>0</v>
      </c>
      <c r="AY16" s="11">
        <f t="shared" si="49"/>
        <v>0</v>
      </c>
      <c r="AZ16" s="11">
        <f t="shared" si="40"/>
        <v>5.5021506197276915E-2</v>
      </c>
      <c r="BA16" s="11">
        <f t="shared" si="41"/>
        <v>5.5021506197276915E-2</v>
      </c>
      <c r="BB16" s="11">
        <f t="shared" si="42"/>
        <v>4.4071813666357235E-2</v>
      </c>
      <c r="BC16" s="11">
        <f t="shared" si="43"/>
        <v>1.8522531094211297E-2</v>
      </c>
      <c r="BD16" s="11">
        <f t="shared" si="44"/>
        <v>7.6041351708539626E-3</v>
      </c>
    </row>
    <row r="17" spans="1:56" x14ac:dyDescent="0.25">
      <c r="A17">
        <v>7</v>
      </c>
      <c r="B17">
        <f>MAX(A17-Settings!$Y$3*voltijdfranchise/1000, 0)</f>
        <v>0</v>
      </c>
      <c r="C17" s="59">
        <f t="shared" si="45"/>
        <v>4.1604018361135066E-2</v>
      </c>
      <c r="D17" s="61">
        <f t="shared" si="13"/>
        <v>8.9128849751201385E-3</v>
      </c>
      <c r="E17" s="109">
        <f t="shared" si="13"/>
        <v>0</v>
      </c>
      <c r="F17" s="59">
        <f t="shared" si="13"/>
        <v>3.9159687171057347E-2</v>
      </c>
      <c r="G17" s="61">
        <f t="shared" si="13"/>
        <v>8.6454562912251579E-3</v>
      </c>
      <c r="H17" s="109">
        <f t="shared" si="13"/>
        <v>0</v>
      </c>
      <c r="I17" s="59">
        <f t="shared" si="13"/>
        <v>2.3794373702957207E-2</v>
      </c>
      <c r="J17" s="57" t="e">
        <f t="shared" si="14"/>
        <v>#N/A</v>
      </c>
      <c r="K17" s="99" t="e">
        <f t="shared" si="14"/>
        <v>#N/A</v>
      </c>
      <c r="L17" s="99" t="e">
        <f t="shared" si="14"/>
        <v>#N/A</v>
      </c>
      <c r="M17" s="99" t="e">
        <f t="shared" si="14"/>
        <v>#N/A</v>
      </c>
      <c r="N17" s="59">
        <f t="shared" si="13"/>
        <v>3.4197010420295985E-2</v>
      </c>
      <c r="O17" s="57" t="e">
        <f t="shared" si="15"/>
        <v>#DIV/0!</v>
      </c>
      <c r="P17" s="61">
        <f t="shared" si="13"/>
        <v>4.968138812616707E-3</v>
      </c>
      <c r="Q17" s="59">
        <f t="shared" si="13"/>
        <v>3.9159687171057347E-2</v>
      </c>
      <c r="R17" s="57" t="e">
        <f t="shared" si="16"/>
        <v>#DIV/0!</v>
      </c>
      <c r="S17" s="61">
        <f t="shared" si="13"/>
        <v>4.968138812616707E-3</v>
      </c>
      <c r="U17" s="18">
        <f t="shared" si="17"/>
        <v>7</v>
      </c>
      <c r="V17" s="11">
        <f t="shared" si="18"/>
        <v>5.0516903336255206E-2</v>
      </c>
      <c r="W17" s="11">
        <f t="shared" si="19"/>
        <v>4.7805143462282505E-2</v>
      </c>
      <c r="X17" s="11" t="e">
        <f t="shared" si="20"/>
        <v>#N/A</v>
      </c>
      <c r="Y17" s="11" t="e">
        <f t="shared" si="21"/>
        <v>#N/A</v>
      </c>
      <c r="Z17" s="11" t="e">
        <f t="shared" si="22"/>
        <v>#N/A</v>
      </c>
      <c r="AA17" s="11" t="e">
        <f t="shared" si="23"/>
        <v>#DIV/0!</v>
      </c>
      <c r="AB17" s="11" t="e">
        <f t="shared" si="24"/>
        <v>#DIV/0!</v>
      </c>
      <c r="AE17" s="59">
        <f t="shared" si="25"/>
        <v>0</v>
      </c>
      <c r="AF17" s="61">
        <f t="shared" si="26"/>
        <v>0</v>
      </c>
      <c r="AG17" s="109">
        <f t="shared" si="46"/>
        <v>0</v>
      </c>
      <c r="AH17" s="59">
        <f t="shared" si="27"/>
        <v>0</v>
      </c>
      <c r="AI17" s="61">
        <f t="shared" si="28"/>
        <v>0</v>
      </c>
      <c r="AJ17" s="109">
        <f t="shared" si="28"/>
        <v>0</v>
      </c>
      <c r="AK17" s="59">
        <f t="shared" si="29"/>
        <v>0</v>
      </c>
      <c r="AL17" s="57">
        <f t="shared" si="30"/>
        <v>1.8522531094211297E-2</v>
      </c>
      <c r="AM17" s="99">
        <f t="shared" si="31"/>
        <v>3.6498975103065621E-2</v>
      </c>
      <c r="AN17" s="99">
        <f t="shared" si="32"/>
        <v>3.6498975103065621E-2</v>
      </c>
      <c r="AO17" s="99">
        <f t="shared" si="33"/>
        <v>2.5549282572145934E-2</v>
      </c>
      <c r="AP17" s="59">
        <f t="shared" si="34"/>
        <v>0</v>
      </c>
      <c r="AQ17" s="57">
        <f t="shared" si="35"/>
        <v>1.8522531094211297E-2</v>
      </c>
      <c r="AR17" s="61">
        <f t="shared" si="36"/>
        <v>0</v>
      </c>
      <c r="AS17" s="59">
        <f t="shared" si="37"/>
        <v>0</v>
      </c>
      <c r="AT17" s="57">
        <f t="shared" si="38"/>
        <v>7.6041351708539626E-3</v>
      </c>
      <c r="AU17" s="61">
        <f t="shared" si="39"/>
        <v>0</v>
      </c>
      <c r="AW17">
        <f t="shared" si="47"/>
        <v>7</v>
      </c>
      <c r="AX17" s="11">
        <f t="shared" si="48"/>
        <v>0</v>
      </c>
      <c r="AY17" s="11">
        <f t="shared" si="49"/>
        <v>0</v>
      </c>
      <c r="AZ17" s="11">
        <f t="shared" si="40"/>
        <v>5.5021506197276915E-2</v>
      </c>
      <c r="BA17" s="11">
        <f t="shared" si="41"/>
        <v>5.5021506197276915E-2</v>
      </c>
      <c r="BB17" s="11">
        <f t="shared" si="42"/>
        <v>4.4071813666357235E-2</v>
      </c>
      <c r="BC17" s="11">
        <f t="shared" si="43"/>
        <v>1.8522531094211297E-2</v>
      </c>
      <c r="BD17" s="11">
        <f t="shared" si="44"/>
        <v>7.6041351708539626E-3</v>
      </c>
    </row>
    <row r="18" spans="1:56" x14ac:dyDescent="0.25">
      <c r="A18">
        <v>8</v>
      </c>
      <c r="B18">
        <f>MAX(A18-Settings!$Y$3*voltijdfranchise/1000, 0)</f>
        <v>0</v>
      </c>
      <c r="C18" s="59">
        <f t="shared" si="45"/>
        <v>4.1604018361135066E-2</v>
      </c>
      <c r="D18" s="61">
        <f t="shared" si="13"/>
        <v>8.9128849751201385E-3</v>
      </c>
      <c r="E18" s="109">
        <f t="shared" si="13"/>
        <v>0</v>
      </c>
      <c r="F18" s="59">
        <f t="shared" si="13"/>
        <v>3.9159687171057347E-2</v>
      </c>
      <c r="G18" s="61">
        <f t="shared" si="13"/>
        <v>8.6454562912251579E-3</v>
      </c>
      <c r="H18" s="109">
        <f t="shared" si="13"/>
        <v>0</v>
      </c>
      <c r="I18" s="59">
        <f t="shared" si="13"/>
        <v>2.3794373702957207E-2</v>
      </c>
      <c r="J18" s="57" t="e">
        <f t="shared" si="14"/>
        <v>#N/A</v>
      </c>
      <c r="K18" s="99" t="e">
        <f t="shared" si="14"/>
        <v>#N/A</v>
      </c>
      <c r="L18" s="99" t="e">
        <f t="shared" si="14"/>
        <v>#N/A</v>
      </c>
      <c r="M18" s="99" t="e">
        <f t="shared" si="14"/>
        <v>#N/A</v>
      </c>
      <c r="N18" s="59">
        <f t="shared" si="13"/>
        <v>3.4197010420295985E-2</v>
      </c>
      <c r="O18" s="57" t="e">
        <f t="shared" si="15"/>
        <v>#DIV/0!</v>
      </c>
      <c r="P18" s="61">
        <f t="shared" si="13"/>
        <v>4.968138812616707E-3</v>
      </c>
      <c r="Q18" s="59">
        <f t="shared" si="13"/>
        <v>3.9159687171057347E-2</v>
      </c>
      <c r="R18" s="57" t="e">
        <f t="shared" si="16"/>
        <v>#DIV/0!</v>
      </c>
      <c r="S18" s="61">
        <f t="shared" si="13"/>
        <v>4.968138812616707E-3</v>
      </c>
      <c r="U18" s="18">
        <f t="shared" si="17"/>
        <v>8</v>
      </c>
      <c r="V18" s="11">
        <f t="shared" si="18"/>
        <v>5.0516903336255206E-2</v>
      </c>
      <c r="W18" s="11">
        <f t="shared" si="19"/>
        <v>4.7805143462282505E-2</v>
      </c>
      <c r="X18" s="11" t="e">
        <f t="shared" si="20"/>
        <v>#N/A</v>
      </c>
      <c r="Y18" s="11" t="e">
        <f t="shared" si="21"/>
        <v>#N/A</v>
      </c>
      <c r="Z18" s="11" t="e">
        <f t="shared" si="22"/>
        <v>#N/A</v>
      </c>
      <c r="AA18" s="11" t="e">
        <f t="shared" si="23"/>
        <v>#DIV/0!</v>
      </c>
      <c r="AB18" s="11" t="e">
        <f t="shared" si="24"/>
        <v>#DIV/0!</v>
      </c>
      <c r="AE18" s="59">
        <f t="shared" si="25"/>
        <v>0</v>
      </c>
      <c r="AF18" s="61">
        <f t="shared" si="26"/>
        <v>0</v>
      </c>
      <c r="AG18" s="109">
        <f t="shared" si="46"/>
        <v>0</v>
      </c>
      <c r="AH18" s="59">
        <f t="shared" si="27"/>
        <v>0</v>
      </c>
      <c r="AI18" s="61">
        <f t="shared" si="28"/>
        <v>0</v>
      </c>
      <c r="AJ18" s="109">
        <f t="shared" si="28"/>
        <v>0</v>
      </c>
      <c r="AK18" s="59">
        <f t="shared" si="29"/>
        <v>0</v>
      </c>
      <c r="AL18" s="57">
        <f t="shared" si="30"/>
        <v>1.8522531094211297E-2</v>
      </c>
      <c r="AM18" s="99">
        <f t="shared" si="31"/>
        <v>3.6498975103065621E-2</v>
      </c>
      <c r="AN18" s="99">
        <f t="shared" si="32"/>
        <v>3.6498975103065621E-2</v>
      </c>
      <c r="AO18" s="99">
        <f t="shared" si="33"/>
        <v>2.5549282572145934E-2</v>
      </c>
      <c r="AP18" s="59">
        <f t="shared" si="34"/>
        <v>0</v>
      </c>
      <c r="AQ18" s="57">
        <f t="shared" si="35"/>
        <v>1.8522531094211297E-2</v>
      </c>
      <c r="AR18" s="61">
        <f t="shared" si="36"/>
        <v>0</v>
      </c>
      <c r="AS18" s="59">
        <f t="shared" si="37"/>
        <v>0</v>
      </c>
      <c r="AT18" s="57">
        <f t="shared" si="38"/>
        <v>7.6041351708539626E-3</v>
      </c>
      <c r="AU18" s="61">
        <f t="shared" si="39"/>
        <v>0</v>
      </c>
      <c r="AW18">
        <f t="shared" si="47"/>
        <v>8</v>
      </c>
      <c r="AX18" s="11">
        <f t="shared" si="48"/>
        <v>0</v>
      </c>
      <c r="AY18" s="11">
        <f t="shared" si="49"/>
        <v>0</v>
      </c>
      <c r="AZ18" s="11">
        <f t="shared" si="40"/>
        <v>5.5021506197276915E-2</v>
      </c>
      <c r="BA18" s="11">
        <f t="shared" si="41"/>
        <v>5.5021506197276915E-2</v>
      </c>
      <c r="BB18" s="11">
        <f t="shared" si="42"/>
        <v>4.4071813666357235E-2</v>
      </c>
      <c r="BC18" s="11">
        <f t="shared" si="43"/>
        <v>1.8522531094211297E-2</v>
      </c>
      <c r="BD18" s="11">
        <f t="shared" si="44"/>
        <v>7.6041351708539626E-3</v>
      </c>
    </row>
    <row r="19" spans="1:56" x14ac:dyDescent="0.25">
      <c r="A19">
        <v>9</v>
      </c>
      <c r="B19">
        <f>MAX(A19-Settings!$Y$3*voltijdfranchise/1000, 0)</f>
        <v>0</v>
      </c>
      <c r="C19" s="59">
        <f t="shared" si="45"/>
        <v>4.1604018361135066E-2</v>
      </c>
      <c r="D19" s="61">
        <f t="shared" si="13"/>
        <v>8.9128849751201385E-3</v>
      </c>
      <c r="E19" s="109">
        <f t="shared" si="13"/>
        <v>0</v>
      </c>
      <c r="F19" s="59">
        <f t="shared" si="13"/>
        <v>3.9159687171057347E-2</v>
      </c>
      <c r="G19" s="61">
        <f t="shared" si="13"/>
        <v>8.6454562912251579E-3</v>
      </c>
      <c r="H19" s="109">
        <f t="shared" si="13"/>
        <v>0</v>
      </c>
      <c r="I19" s="59">
        <f t="shared" si="13"/>
        <v>2.3794373702957207E-2</v>
      </c>
      <c r="J19" s="57" t="e">
        <f t="shared" si="14"/>
        <v>#N/A</v>
      </c>
      <c r="K19" s="99" t="e">
        <f t="shared" si="14"/>
        <v>#N/A</v>
      </c>
      <c r="L19" s="99" t="e">
        <f t="shared" si="14"/>
        <v>#N/A</v>
      </c>
      <c r="M19" s="99" t="e">
        <f t="shared" si="14"/>
        <v>#N/A</v>
      </c>
      <c r="N19" s="59">
        <f t="shared" si="13"/>
        <v>3.4197010420295985E-2</v>
      </c>
      <c r="O19" s="57" t="e">
        <f t="shared" si="15"/>
        <v>#DIV/0!</v>
      </c>
      <c r="P19" s="61">
        <f t="shared" si="13"/>
        <v>4.968138812616707E-3</v>
      </c>
      <c r="Q19" s="59">
        <f t="shared" si="13"/>
        <v>3.9159687171057347E-2</v>
      </c>
      <c r="R19" s="57" t="e">
        <f t="shared" si="16"/>
        <v>#DIV/0!</v>
      </c>
      <c r="S19" s="61">
        <f t="shared" si="13"/>
        <v>4.968138812616707E-3</v>
      </c>
      <c r="U19" s="18">
        <f t="shared" si="17"/>
        <v>9</v>
      </c>
      <c r="V19" s="11">
        <f t="shared" si="18"/>
        <v>5.0516903336255206E-2</v>
      </c>
      <c r="W19" s="11">
        <f t="shared" si="19"/>
        <v>4.7805143462282505E-2</v>
      </c>
      <c r="X19" s="11" t="e">
        <f t="shared" si="20"/>
        <v>#N/A</v>
      </c>
      <c r="Y19" s="11" t="e">
        <f t="shared" si="21"/>
        <v>#N/A</v>
      </c>
      <c r="Z19" s="11" t="e">
        <f t="shared" si="22"/>
        <v>#N/A</v>
      </c>
      <c r="AA19" s="11" t="e">
        <f t="shared" si="23"/>
        <v>#DIV/0!</v>
      </c>
      <c r="AB19" s="11" t="e">
        <f t="shared" si="24"/>
        <v>#DIV/0!</v>
      </c>
      <c r="AE19" s="59">
        <f t="shared" si="25"/>
        <v>0</v>
      </c>
      <c r="AF19" s="61">
        <f t="shared" si="26"/>
        <v>0</v>
      </c>
      <c r="AG19" s="109">
        <f t="shared" si="46"/>
        <v>0</v>
      </c>
      <c r="AH19" s="59">
        <f t="shared" si="27"/>
        <v>0</v>
      </c>
      <c r="AI19" s="61">
        <f t="shared" si="28"/>
        <v>0</v>
      </c>
      <c r="AJ19" s="109">
        <f t="shared" si="28"/>
        <v>0</v>
      </c>
      <c r="AK19" s="59">
        <f t="shared" si="29"/>
        <v>0</v>
      </c>
      <c r="AL19" s="57">
        <f t="shared" si="30"/>
        <v>1.8522531094211297E-2</v>
      </c>
      <c r="AM19" s="99">
        <f t="shared" si="31"/>
        <v>3.6498975103065621E-2</v>
      </c>
      <c r="AN19" s="99">
        <f t="shared" si="32"/>
        <v>3.6498975103065621E-2</v>
      </c>
      <c r="AO19" s="99">
        <f t="shared" si="33"/>
        <v>2.5549282572145934E-2</v>
      </c>
      <c r="AP19" s="59">
        <f t="shared" si="34"/>
        <v>0</v>
      </c>
      <c r="AQ19" s="57">
        <f t="shared" si="35"/>
        <v>1.8522531094211297E-2</v>
      </c>
      <c r="AR19" s="61">
        <f t="shared" si="36"/>
        <v>0</v>
      </c>
      <c r="AS19" s="59">
        <f t="shared" si="37"/>
        <v>0</v>
      </c>
      <c r="AT19" s="57">
        <f t="shared" si="38"/>
        <v>7.6041351708539626E-3</v>
      </c>
      <c r="AU19" s="61">
        <f t="shared" si="39"/>
        <v>0</v>
      </c>
      <c r="AW19">
        <f t="shared" si="47"/>
        <v>9</v>
      </c>
      <c r="AX19" s="11">
        <f t="shared" si="48"/>
        <v>0</v>
      </c>
      <c r="AY19" s="11">
        <f t="shared" si="49"/>
        <v>0</v>
      </c>
      <c r="AZ19" s="11">
        <f t="shared" si="40"/>
        <v>5.5021506197276915E-2</v>
      </c>
      <c r="BA19" s="11">
        <f t="shared" si="41"/>
        <v>5.5021506197276915E-2</v>
      </c>
      <c r="BB19" s="11">
        <f t="shared" si="42"/>
        <v>4.4071813666357235E-2</v>
      </c>
      <c r="BC19" s="11">
        <f t="shared" si="43"/>
        <v>1.8522531094211297E-2</v>
      </c>
      <c r="BD19" s="11">
        <f t="shared" si="44"/>
        <v>7.6041351708539626E-3</v>
      </c>
    </row>
    <row r="20" spans="1:56" x14ac:dyDescent="0.25">
      <c r="A20">
        <v>10</v>
      </c>
      <c r="B20">
        <f>MAX(A20-Settings!$Y$3*voltijdfranchise/1000, 0)</f>
        <v>0</v>
      </c>
      <c r="C20" s="59">
        <f t="shared" si="45"/>
        <v>4.1604018361135066E-2</v>
      </c>
      <c r="D20" s="61">
        <f t="shared" si="13"/>
        <v>8.9128849751201385E-3</v>
      </c>
      <c r="E20" s="109">
        <f t="shared" si="13"/>
        <v>0</v>
      </c>
      <c r="F20" s="59">
        <f t="shared" si="13"/>
        <v>3.9159687171057347E-2</v>
      </c>
      <c r="G20" s="61">
        <f t="shared" si="13"/>
        <v>8.6454562912251579E-3</v>
      </c>
      <c r="H20" s="109">
        <f t="shared" si="13"/>
        <v>0</v>
      </c>
      <c r="I20" s="59">
        <f t="shared" si="13"/>
        <v>2.3794373702957207E-2</v>
      </c>
      <c r="J20" s="57" t="e">
        <f t="shared" si="14"/>
        <v>#N/A</v>
      </c>
      <c r="K20" s="99" t="e">
        <f t="shared" si="14"/>
        <v>#N/A</v>
      </c>
      <c r="L20" s="99" t="e">
        <f t="shared" si="14"/>
        <v>#N/A</v>
      </c>
      <c r="M20" s="99" t="e">
        <f t="shared" si="14"/>
        <v>#N/A</v>
      </c>
      <c r="N20" s="59">
        <f t="shared" si="13"/>
        <v>3.4197010420295985E-2</v>
      </c>
      <c r="O20" s="57" t="e">
        <f t="shared" si="15"/>
        <v>#DIV/0!</v>
      </c>
      <c r="P20" s="61">
        <f t="shared" si="13"/>
        <v>4.968138812616707E-3</v>
      </c>
      <c r="Q20" s="59">
        <f t="shared" si="13"/>
        <v>3.9159687171057347E-2</v>
      </c>
      <c r="R20" s="57" t="e">
        <f t="shared" si="16"/>
        <v>#DIV/0!</v>
      </c>
      <c r="S20" s="61">
        <f t="shared" si="13"/>
        <v>4.968138812616707E-3</v>
      </c>
      <c r="U20" s="18">
        <f t="shared" si="17"/>
        <v>10</v>
      </c>
      <c r="V20" s="11">
        <f t="shared" si="18"/>
        <v>5.0516903336255206E-2</v>
      </c>
      <c r="W20" s="11">
        <f t="shared" si="19"/>
        <v>4.7805143462282505E-2</v>
      </c>
      <c r="X20" s="11" t="e">
        <f t="shared" si="20"/>
        <v>#N/A</v>
      </c>
      <c r="Y20" s="11" t="e">
        <f t="shared" si="21"/>
        <v>#N/A</v>
      </c>
      <c r="Z20" s="11" t="e">
        <f t="shared" si="22"/>
        <v>#N/A</v>
      </c>
      <c r="AA20" s="11" t="e">
        <f t="shared" si="23"/>
        <v>#DIV/0!</v>
      </c>
      <c r="AB20" s="11" t="e">
        <f t="shared" si="24"/>
        <v>#DIV/0!</v>
      </c>
      <c r="AE20" s="59">
        <f t="shared" si="25"/>
        <v>0</v>
      </c>
      <c r="AF20" s="61">
        <f t="shared" si="26"/>
        <v>0</v>
      </c>
      <c r="AG20" s="109">
        <f t="shared" si="46"/>
        <v>0</v>
      </c>
      <c r="AH20" s="59">
        <f t="shared" si="27"/>
        <v>0</v>
      </c>
      <c r="AI20" s="61">
        <f t="shared" si="28"/>
        <v>0</v>
      </c>
      <c r="AJ20" s="109">
        <f t="shared" si="28"/>
        <v>0</v>
      </c>
      <c r="AK20" s="59">
        <f t="shared" si="29"/>
        <v>0</v>
      </c>
      <c r="AL20" s="57">
        <f t="shared" si="30"/>
        <v>1.8522531094211297E-2</v>
      </c>
      <c r="AM20" s="99">
        <f t="shared" si="31"/>
        <v>3.6498975103065621E-2</v>
      </c>
      <c r="AN20" s="99">
        <f t="shared" si="32"/>
        <v>3.6498975103065621E-2</v>
      </c>
      <c r="AO20" s="99">
        <f t="shared" si="33"/>
        <v>2.5549282572145934E-2</v>
      </c>
      <c r="AP20" s="59">
        <f t="shared" si="34"/>
        <v>0</v>
      </c>
      <c r="AQ20" s="57">
        <f t="shared" si="35"/>
        <v>1.8522531094211297E-2</v>
      </c>
      <c r="AR20" s="61">
        <f t="shared" si="36"/>
        <v>0</v>
      </c>
      <c r="AS20" s="59">
        <f t="shared" si="37"/>
        <v>0</v>
      </c>
      <c r="AT20" s="57">
        <f t="shared" si="38"/>
        <v>7.6041351708539626E-3</v>
      </c>
      <c r="AU20" s="61">
        <f t="shared" si="39"/>
        <v>0</v>
      </c>
      <c r="AW20">
        <f t="shared" si="47"/>
        <v>10</v>
      </c>
      <c r="AX20" s="11">
        <f t="shared" si="48"/>
        <v>0</v>
      </c>
      <c r="AY20" s="11">
        <f t="shared" si="49"/>
        <v>0</v>
      </c>
      <c r="AZ20" s="11">
        <f t="shared" si="40"/>
        <v>5.5021506197276915E-2</v>
      </c>
      <c r="BA20" s="11">
        <f t="shared" si="41"/>
        <v>5.5021506197276915E-2</v>
      </c>
      <c r="BB20" s="11">
        <f t="shared" si="42"/>
        <v>4.4071813666357235E-2</v>
      </c>
      <c r="BC20" s="11">
        <f t="shared" si="43"/>
        <v>1.8522531094211297E-2</v>
      </c>
      <c r="BD20" s="11">
        <f t="shared" si="44"/>
        <v>7.6041351708539626E-3</v>
      </c>
    </row>
    <row r="21" spans="1:56" x14ac:dyDescent="0.25">
      <c r="A21">
        <v>11</v>
      </c>
      <c r="B21">
        <f>MAX(A21-Settings!$Y$3*voltijdfranchise/1000, 0)</f>
        <v>0</v>
      </c>
      <c r="C21" s="59">
        <f t="shared" si="45"/>
        <v>4.1604018361135066E-2</v>
      </c>
      <c r="D21" s="61">
        <f t="shared" si="13"/>
        <v>8.9128849751201385E-3</v>
      </c>
      <c r="E21" s="109">
        <f t="shared" si="13"/>
        <v>0</v>
      </c>
      <c r="F21" s="59">
        <f t="shared" si="13"/>
        <v>3.9159687171057347E-2</v>
      </c>
      <c r="G21" s="61">
        <f t="shared" si="13"/>
        <v>8.6454562912251579E-3</v>
      </c>
      <c r="H21" s="109">
        <f t="shared" si="13"/>
        <v>0</v>
      </c>
      <c r="I21" s="59">
        <f t="shared" si="13"/>
        <v>2.3794373702957207E-2</v>
      </c>
      <c r="J21" s="57" t="e">
        <f t="shared" si="14"/>
        <v>#N/A</v>
      </c>
      <c r="K21" s="99" t="e">
        <f t="shared" si="14"/>
        <v>#N/A</v>
      </c>
      <c r="L21" s="99" t="e">
        <f t="shared" si="14"/>
        <v>#N/A</v>
      </c>
      <c r="M21" s="99" t="e">
        <f t="shared" si="14"/>
        <v>#N/A</v>
      </c>
      <c r="N21" s="59">
        <f t="shared" si="13"/>
        <v>3.4197010420295985E-2</v>
      </c>
      <c r="O21" s="57" t="e">
        <f t="shared" si="15"/>
        <v>#DIV/0!</v>
      </c>
      <c r="P21" s="61">
        <f t="shared" si="13"/>
        <v>4.968138812616707E-3</v>
      </c>
      <c r="Q21" s="59">
        <f t="shared" si="13"/>
        <v>3.9159687171057347E-2</v>
      </c>
      <c r="R21" s="57" t="e">
        <f t="shared" si="16"/>
        <v>#DIV/0!</v>
      </c>
      <c r="S21" s="61">
        <f t="shared" si="13"/>
        <v>4.968138812616707E-3</v>
      </c>
      <c r="U21" s="18">
        <f t="shared" si="17"/>
        <v>11</v>
      </c>
      <c r="V21" s="11">
        <f t="shared" si="18"/>
        <v>5.0516903336255206E-2</v>
      </c>
      <c r="W21" s="11">
        <f t="shared" si="19"/>
        <v>4.7805143462282505E-2</v>
      </c>
      <c r="X21" s="11" t="e">
        <f t="shared" si="20"/>
        <v>#N/A</v>
      </c>
      <c r="Y21" s="11" t="e">
        <f t="shared" si="21"/>
        <v>#N/A</v>
      </c>
      <c r="Z21" s="11" t="e">
        <f t="shared" si="22"/>
        <v>#N/A</v>
      </c>
      <c r="AA21" s="11" t="e">
        <f t="shared" si="23"/>
        <v>#DIV/0!</v>
      </c>
      <c r="AB21" s="11" t="e">
        <f t="shared" si="24"/>
        <v>#DIV/0!</v>
      </c>
      <c r="AE21" s="59">
        <f t="shared" si="25"/>
        <v>0</v>
      </c>
      <c r="AF21" s="61">
        <f t="shared" si="26"/>
        <v>0</v>
      </c>
      <c r="AG21" s="109">
        <f t="shared" si="46"/>
        <v>0</v>
      </c>
      <c r="AH21" s="59">
        <f t="shared" si="27"/>
        <v>0</v>
      </c>
      <c r="AI21" s="61">
        <f t="shared" si="28"/>
        <v>0</v>
      </c>
      <c r="AJ21" s="109">
        <f t="shared" si="28"/>
        <v>0</v>
      </c>
      <c r="AK21" s="59">
        <f t="shared" si="29"/>
        <v>0</v>
      </c>
      <c r="AL21" s="57">
        <f t="shared" si="30"/>
        <v>1.8522531094211297E-2</v>
      </c>
      <c r="AM21" s="99">
        <f t="shared" si="31"/>
        <v>3.6498975103065621E-2</v>
      </c>
      <c r="AN21" s="99">
        <f t="shared" si="32"/>
        <v>3.6498975103065621E-2</v>
      </c>
      <c r="AO21" s="99">
        <f t="shared" si="33"/>
        <v>2.5549282572145934E-2</v>
      </c>
      <c r="AP21" s="59">
        <f t="shared" si="34"/>
        <v>0</v>
      </c>
      <c r="AQ21" s="57">
        <f t="shared" si="35"/>
        <v>1.8522531094211297E-2</v>
      </c>
      <c r="AR21" s="61">
        <f t="shared" si="36"/>
        <v>0</v>
      </c>
      <c r="AS21" s="59">
        <f t="shared" si="37"/>
        <v>0</v>
      </c>
      <c r="AT21" s="57">
        <f t="shared" si="38"/>
        <v>7.6041351708539626E-3</v>
      </c>
      <c r="AU21" s="61">
        <f t="shared" si="39"/>
        <v>0</v>
      </c>
      <c r="AW21">
        <f t="shared" si="47"/>
        <v>11</v>
      </c>
      <c r="AX21" s="11">
        <f t="shared" si="48"/>
        <v>0</v>
      </c>
      <c r="AY21" s="11">
        <f t="shared" si="49"/>
        <v>0</v>
      </c>
      <c r="AZ21" s="11">
        <f t="shared" si="40"/>
        <v>5.5021506197276915E-2</v>
      </c>
      <c r="BA21" s="11">
        <f t="shared" si="41"/>
        <v>5.5021506197276915E-2</v>
      </c>
      <c r="BB21" s="11">
        <f t="shared" si="42"/>
        <v>4.4071813666357235E-2</v>
      </c>
      <c r="BC21" s="11">
        <f t="shared" si="43"/>
        <v>1.8522531094211297E-2</v>
      </c>
      <c r="BD21" s="11">
        <f t="shared" si="44"/>
        <v>7.6041351708539626E-3</v>
      </c>
    </row>
    <row r="22" spans="1:56" x14ac:dyDescent="0.25">
      <c r="A22">
        <v>12</v>
      </c>
      <c r="B22">
        <f>MAX(A22-Settings!$Y$3*voltijdfranchise/1000, 0)</f>
        <v>0</v>
      </c>
      <c r="C22" s="59">
        <f t="shared" si="45"/>
        <v>4.1604018361135066E-2</v>
      </c>
      <c r="D22" s="61">
        <f t="shared" si="13"/>
        <v>8.9128849751201385E-3</v>
      </c>
      <c r="E22" s="109">
        <f t="shared" si="13"/>
        <v>0</v>
      </c>
      <c r="F22" s="59">
        <f t="shared" si="13"/>
        <v>3.9159687171057347E-2</v>
      </c>
      <c r="G22" s="61">
        <f t="shared" si="13"/>
        <v>8.6454562912251579E-3</v>
      </c>
      <c r="H22" s="109">
        <f t="shared" si="13"/>
        <v>0</v>
      </c>
      <c r="I22" s="59">
        <f t="shared" si="13"/>
        <v>2.3794373702957207E-2</v>
      </c>
      <c r="J22" s="57" t="e">
        <f t="shared" si="14"/>
        <v>#N/A</v>
      </c>
      <c r="K22" s="99" t="e">
        <f t="shared" si="14"/>
        <v>#N/A</v>
      </c>
      <c r="L22" s="99" t="e">
        <f t="shared" si="14"/>
        <v>#N/A</v>
      </c>
      <c r="M22" s="99" t="e">
        <f t="shared" si="14"/>
        <v>#N/A</v>
      </c>
      <c r="N22" s="59">
        <f t="shared" si="13"/>
        <v>3.4197010420295985E-2</v>
      </c>
      <c r="O22" s="57" t="e">
        <f t="shared" si="15"/>
        <v>#DIV/0!</v>
      </c>
      <c r="P22" s="61">
        <f t="shared" si="13"/>
        <v>4.968138812616707E-3</v>
      </c>
      <c r="Q22" s="59">
        <f t="shared" si="13"/>
        <v>3.9159687171057347E-2</v>
      </c>
      <c r="R22" s="57" t="e">
        <f t="shared" si="16"/>
        <v>#DIV/0!</v>
      </c>
      <c r="S22" s="61">
        <f t="shared" si="13"/>
        <v>4.968138812616707E-3</v>
      </c>
      <c r="U22" s="18">
        <f t="shared" si="17"/>
        <v>12</v>
      </c>
      <c r="V22" s="11">
        <f t="shared" si="18"/>
        <v>5.0516903336255206E-2</v>
      </c>
      <c r="W22" s="11">
        <f t="shared" si="19"/>
        <v>4.7805143462282505E-2</v>
      </c>
      <c r="X22" s="11" t="e">
        <f t="shared" si="20"/>
        <v>#N/A</v>
      </c>
      <c r="Y22" s="11" t="e">
        <f t="shared" si="21"/>
        <v>#N/A</v>
      </c>
      <c r="Z22" s="11" t="e">
        <f t="shared" si="22"/>
        <v>#N/A</v>
      </c>
      <c r="AA22" s="11" t="e">
        <f t="shared" si="23"/>
        <v>#DIV/0!</v>
      </c>
      <c r="AB22" s="11" t="e">
        <f t="shared" si="24"/>
        <v>#DIV/0!</v>
      </c>
      <c r="AE22" s="59">
        <f t="shared" si="25"/>
        <v>0</v>
      </c>
      <c r="AF22" s="61">
        <f t="shared" si="26"/>
        <v>0</v>
      </c>
      <c r="AG22" s="109">
        <f t="shared" si="46"/>
        <v>0</v>
      </c>
      <c r="AH22" s="59">
        <f t="shared" si="27"/>
        <v>0</v>
      </c>
      <c r="AI22" s="61">
        <f t="shared" si="28"/>
        <v>0</v>
      </c>
      <c r="AJ22" s="109">
        <f t="shared" si="28"/>
        <v>0</v>
      </c>
      <c r="AK22" s="59">
        <f t="shared" si="29"/>
        <v>0</v>
      </c>
      <c r="AL22" s="57">
        <f t="shared" si="30"/>
        <v>1.8522531094211297E-2</v>
      </c>
      <c r="AM22" s="99">
        <f t="shared" si="31"/>
        <v>3.6498975103065621E-2</v>
      </c>
      <c r="AN22" s="99">
        <f t="shared" si="32"/>
        <v>3.6498975103065621E-2</v>
      </c>
      <c r="AO22" s="99">
        <f t="shared" si="33"/>
        <v>2.5549282572145934E-2</v>
      </c>
      <c r="AP22" s="59">
        <f t="shared" si="34"/>
        <v>0</v>
      </c>
      <c r="AQ22" s="57">
        <f t="shared" si="35"/>
        <v>1.8522531094211297E-2</v>
      </c>
      <c r="AR22" s="61">
        <f t="shared" si="36"/>
        <v>0</v>
      </c>
      <c r="AS22" s="59">
        <f t="shared" si="37"/>
        <v>0</v>
      </c>
      <c r="AT22" s="57">
        <f t="shared" si="38"/>
        <v>7.6041351708539626E-3</v>
      </c>
      <c r="AU22" s="61">
        <f t="shared" si="39"/>
        <v>0</v>
      </c>
      <c r="AW22">
        <f t="shared" si="47"/>
        <v>12</v>
      </c>
      <c r="AX22" s="11">
        <f t="shared" si="48"/>
        <v>0</v>
      </c>
      <c r="AY22" s="11">
        <f t="shared" si="49"/>
        <v>0</v>
      </c>
      <c r="AZ22" s="11">
        <f t="shared" si="40"/>
        <v>5.5021506197276915E-2</v>
      </c>
      <c r="BA22" s="11">
        <f t="shared" si="41"/>
        <v>5.5021506197276915E-2</v>
      </c>
      <c r="BB22" s="11">
        <f t="shared" si="42"/>
        <v>4.4071813666357235E-2</v>
      </c>
      <c r="BC22" s="11">
        <f t="shared" si="43"/>
        <v>1.8522531094211297E-2</v>
      </c>
      <c r="BD22" s="11">
        <f t="shared" si="44"/>
        <v>7.6041351708539626E-3</v>
      </c>
    </row>
    <row r="23" spans="1:56" x14ac:dyDescent="0.25">
      <c r="A23">
        <v>13</v>
      </c>
      <c r="B23">
        <f>MAX(A23-Settings!$Y$3*voltijdfranchise/1000, 0)</f>
        <v>0</v>
      </c>
      <c r="C23" s="59">
        <f t="shared" si="45"/>
        <v>4.1604018361135066E-2</v>
      </c>
      <c r="D23" s="61">
        <f t="shared" si="13"/>
        <v>8.9128849751201385E-3</v>
      </c>
      <c r="E23" s="109">
        <f t="shared" si="13"/>
        <v>0</v>
      </c>
      <c r="F23" s="59">
        <f t="shared" si="13"/>
        <v>3.9159687171057347E-2</v>
      </c>
      <c r="G23" s="61">
        <f t="shared" si="13"/>
        <v>8.6454562912251579E-3</v>
      </c>
      <c r="H23" s="109">
        <f t="shared" si="13"/>
        <v>0</v>
      </c>
      <c r="I23" s="59">
        <f t="shared" si="13"/>
        <v>2.3794373702957207E-2</v>
      </c>
      <c r="J23" s="57" t="e">
        <f t="shared" si="14"/>
        <v>#N/A</v>
      </c>
      <c r="K23" s="99" t="e">
        <f t="shared" si="14"/>
        <v>#N/A</v>
      </c>
      <c r="L23" s="99" t="e">
        <f t="shared" si="14"/>
        <v>#N/A</v>
      </c>
      <c r="M23" s="99" t="e">
        <f t="shared" si="14"/>
        <v>#N/A</v>
      </c>
      <c r="N23" s="59">
        <f t="shared" si="13"/>
        <v>3.4197010420295985E-2</v>
      </c>
      <c r="O23" s="57" t="e">
        <f t="shared" si="15"/>
        <v>#DIV/0!</v>
      </c>
      <c r="P23" s="61">
        <f t="shared" si="13"/>
        <v>4.968138812616707E-3</v>
      </c>
      <c r="Q23" s="59">
        <f t="shared" si="13"/>
        <v>3.9159687171057347E-2</v>
      </c>
      <c r="R23" s="57" t="e">
        <f t="shared" si="16"/>
        <v>#DIV/0!</v>
      </c>
      <c r="S23" s="61">
        <f t="shared" si="13"/>
        <v>4.968138812616707E-3</v>
      </c>
      <c r="U23" s="18">
        <f t="shared" si="17"/>
        <v>13</v>
      </c>
      <c r="V23" s="11">
        <f t="shared" si="18"/>
        <v>5.0516903336255206E-2</v>
      </c>
      <c r="W23" s="11">
        <f t="shared" si="19"/>
        <v>4.7805143462282505E-2</v>
      </c>
      <c r="X23" s="11" t="e">
        <f t="shared" si="20"/>
        <v>#N/A</v>
      </c>
      <c r="Y23" s="11" t="e">
        <f t="shared" si="21"/>
        <v>#N/A</v>
      </c>
      <c r="Z23" s="11" t="e">
        <f t="shared" si="22"/>
        <v>#N/A</v>
      </c>
      <c r="AA23" s="11" t="e">
        <f t="shared" si="23"/>
        <v>#DIV/0!</v>
      </c>
      <c r="AB23" s="11" t="e">
        <f t="shared" si="24"/>
        <v>#DIV/0!</v>
      </c>
      <c r="AE23" s="59">
        <f t="shared" si="25"/>
        <v>0</v>
      </c>
      <c r="AF23" s="61">
        <f t="shared" si="26"/>
        <v>0</v>
      </c>
      <c r="AG23" s="109">
        <f t="shared" si="46"/>
        <v>0</v>
      </c>
      <c r="AH23" s="59">
        <f t="shared" si="27"/>
        <v>0</v>
      </c>
      <c r="AI23" s="61">
        <f t="shared" si="28"/>
        <v>0</v>
      </c>
      <c r="AJ23" s="109">
        <f t="shared" si="28"/>
        <v>0</v>
      </c>
      <c r="AK23" s="59">
        <f t="shared" si="29"/>
        <v>0</v>
      </c>
      <c r="AL23" s="57">
        <f t="shared" si="30"/>
        <v>1.8522531094211297E-2</v>
      </c>
      <c r="AM23" s="99">
        <f t="shared" si="31"/>
        <v>3.6498975103065621E-2</v>
      </c>
      <c r="AN23" s="99">
        <f t="shared" si="32"/>
        <v>3.6498975103065621E-2</v>
      </c>
      <c r="AO23" s="99">
        <f t="shared" si="33"/>
        <v>2.5549282572145934E-2</v>
      </c>
      <c r="AP23" s="59">
        <f t="shared" si="34"/>
        <v>0</v>
      </c>
      <c r="AQ23" s="57">
        <f t="shared" si="35"/>
        <v>1.8522531094211297E-2</v>
      </c>
      <c r="AR23" s="61">
        <f t="shared" si="36"/>
        <v>0</v>
      </c>
      <c r="AS23" s="59">
        <f t="shared" si="37"/>
        <v>0</v>
      </c>
      <c r="AT23" s="57">
        <f t="shared" si="38"/>
        <v>7.6041351708539626E-3</v>
      </c>
      <c r="AU23" s="61">
        <f t="shared" si="39"/>
        <v>0</v>
      </c>
      <c r="AW23">
        <f t="shared" si="47"/>
        <v>13</v>
      </c>
      <c r="AX23" s="11">
        <f t="shared" si="48"/>
        <v>0</v>
      </c>
      <c r="AY23" s="11">
        <f t="shared" si="49"/>
        <v>0</v>
      </c>
      <c r="AZ23" s="11">
        <f t="shared" si="40"/>
        <v>5.5021506197276915E-2</v>
      </c>
      <c r="BA23" s="11">
        <f t="shared" si="41"/>
        <v>5.5021506197276915E-2</v>
      </c>
      <c r="BB23" s="11">
        <f t="shared" si="42"/>
        <v>4.4071813666357235E-2</v>
      </c>
      <c r="BC23" s="11">
        <f t="shared" si="43"/>
        <v>1.8522531094211297E-2</v>
      </c>
      <c r="BD23" s="11">
        <f t="shared" si="44"/>
        <v>7.6041351708539626E-3</v>
      </c>
    </row>
    <row r="24" spans="1:56" x14ac:dyDescent="0.25">
      <c r="A24">
        <v>14</v>
      </c>
      <c r="B24">
        <f>MAX(A24-Settings!$Y$3*voltijdfranchise/1000, 0)</f>
        <v>0</v>
      </c>
      <c r="C24" s="59">
        <f t="shared" si="45"/>
        <v>4.1604018361135066E-2</v>
      </c>
      <c r="D24" s="61">
        <f t="shared" si="13"/>
        <v>8.9128849751201385E-3</v>
      </c>
      <c r="E24" s="109">
        <f t="shared" si="13"/>
        <v>0</v>
      </c>
      <c r="F24" s="59">
        <f t="shared" si="13"/>
        <v>3.9159687171057347E-2</v>
      </c>
      <c r="G24" s="61">
        <f t="shared" si="13"/>
        <v>8.6454562912251579E-3</v>
      </c>
      <c r="H24" s="109">
        <f t="shared" si="13"/>
        <v>0</v>
      </c>
      <c r="I24" s="59">
        <f t="shared" si="13"/>
        <v>2.3794373702957207E-2</v>
      </c>
      <c r="J24" s="57" t="e">
        <f t="shared" si="14"/>
        <v>#N/A</v>
      </c>
      <c r="K24" s="99" t="e">
        <f t="shared" si="14"/>
        <v>#N/A</v>
      </c>
      <c r="L24" s="99" t="e">
        <f t="shared" si="14"/>
        <v>#N/A</v>
      </c>
      <c r="M24" s="99" t="e">
        <f t="shared" si="14"/>
        <v>#N/A</v>
      </c>
      <c r="N24" s="59">
        <f t="shared" si="13"/>
        <v>3.4197010420295985E-2</v>
      </c>
      <c r="O24" s="57" t="e">
        <f t="shared" si="15"/>
        <v>#DIV/0!</v>
      </c>
      <c r="P24" s="61">
        <f t="shared" si="13"/>
        <v>4.968138812616707E-3</v>
      </c>
      <c r="Q24" s="59">
        <f t="shared" si="13"/>
        <v>3.9159687171057347E-2</v>
      </c>
      <c r="R24" s="57" t="e">
        <f t="shared" si="16"/>
        <v>#DIV/0!</v>
      </c>
      <c r="S24" s="61">
        <f t="shared" si="13"/>
        <v>4.968138812616707E-3</v>
      </c>
      <c r="U24" s="18">
        <f t="shared" si="17"/>
        <v>14</v>
      </c>
      <c r="V24" s="11">
        <f t="shared" si="18"/>
        <v>5.0516903336255206E-2</v>
      </c>
      <c r="W24" s="11">
        <f t="shared" si="19"/>
        <v>4.7805143462282505E-2</v>
      </c>
      <c r="X24" s="11" t="e">
        <f t="shared" si="20"/>
        <v>#N/A</v>
      </c>
      <c r="Y24" s="11" t="e">
        <f t="shared" si="21"/>
        <v>#N/A</v>
      </c>
      <c r="Z24" s="11" t="e">
        <f t="shared" si="22"/>
        <v>#N/A</v>
      </c>
      <c r="AA24" s="11" t="e">
        <f t="shared" si="23"/>
        <v>#DIV/0!</v>
      </c>
      <c r="AB24" s="11" t="e">
        <f t="shared" si="24"/>
        <v>#DIV/0!</v>
      </c>
      <c r="AE24" s="59">
        <f t="shared" si="25"/>
        <v>0</v>
      </c>
      <c r="AF24" s="61">
        <f t="shared" si="26"/>
        <v>0</v>
      </c>
      <c r="AG24" s="109">
        <f t="shared" si="46"/>
        <v>0</v>
      </c>
      <c r="AH24" s="59">
        <f t="shared" si="27"/>
        <v>0</v>
      </c>
      <c r="AI24" s="61">
        <f t="shared" si="28"/>
        <v>0</v>
      </c>
      <c r="AJ24" s="109">
        <f t="shared" si="28"/>
        <v>0</v>
      </c>
      <c r="AK24" s="59">
        <f t="shared" si="29"/>
        <v>0</v>
      </c>
      <c r="AL24" s="57">
        <f t="shared" si="30"/>
        <v>1.8522531094211297E-2</v>
      </c>
      <c r="AM24" s="99">
        <f t="shared" si="31"/>
        <v>3.6498975103065621E-2</v>
      </c>
      <c r="AN24" s="99">
        <f t="shared" si="32"/>
        <v>3.6498975103065621E-2</v>
      </c>
      <c r="AO24" s="99">
        <f t="shared" si="33"/>
        <v>2.5549282572145934E-2</v>
      </c>
      <c r="AP24" s="59">
        <f t="shared" si="34"/>
        <v>0</v>
      </c>
      <c r="AQ24" s="57">
        <f t="shared" si="35"/>
        <v>1.8522531094211297E-2</v>
      </c>
      <c r="AR24" s="61">
        <f t="shared" si="36"/>
        <v>0</v>
      </c>
      <c r="AS24" s="59">
        <f t="shared" si="37"/>
        <v>0</v>
      </c>
      <c r="AT24" s="57">
        <f t="shared" si="38"/>
        <v>7.6041351708539626E-3</v>
      </c>
      <c r="AU24" s="61">
        <f t="shared" si="39"/>
        <v>0</v>
      </c>
      <c r="AW24">
        <f t="shared" si="47"/>
        <v>14</v>
      </c>
      <c r="AX24" s="11">
        <f t="shared" si="48"/>
        <v>0</v>
      </c>
      <c r="AY24" s="11">
        <f t="shared" si="49"/>
        <v>0</v>
      </c>
      <c r="AZ24" s="11">
        <f t="shared" si="40"/>
        <v>5.5021506197276915E-2</v>
      </c>
      <c r="BA24" s="11">
        <f t="shared" si="41"/>
        <v>5.5021506197276915E-2</v>
      </c>
      <c r="BB24" s="11">
        <f t="shared" si="42"/>
        <v>4.4071813666357235E-2</v>
      </c>
      <c r="BC24" s="11">
        <f t="shared" si="43"/>
        <v>1.8522531094211297E-2</v>
      </c>
      <c r="BD24" s="11">
        <f t="shared" si="44"/>
        <v>7.6041351708539626E-3</v>
      </c>
    </row>
    <row r="25" spans="1:56" x14ac:dyDescent="0.25">
      <c r="A25">
        <v>15</v>
      </c>
      <c r="B25">
        <f>MAX(A25-Settings!$Y$3*voltijdfranchise/1000, 0)</f>
        <v>0</v>
      </c>
      <c r="C25" s="59">
        <f t="shared" si="45"/>
        <v>4.1604018361135066E-2</v>
      </c>
      <c r="D25" s="61">
        <f t="shared" si="13"/>
        <v>8.9128849751201385E-3</v>
      </c>
      <c r="E25" s="109">
        <f t="shared" si="13"/>
        <v>0</v>
      </c>
      <c r="F25" s="59">
        <f t="shared" si="13"/>
        <v>3.9159687171057347E-2</v>
      </c>
      <c r="G25" s="61">
        <f t="shared" si="13"/>
        <v>8.6454562912251579E-3</v>
      </c>
      <c r="H25" s="109">
        <f t="shared" si="13"/>
        <v>0</v>
      </c>
      <c r="I25" s="59">
        <f t="shared" si="13"/>
        <v>2.3794373702957207E-2</v>
      </c>
      <c r="J25" s="57" t="e">
        <f t="shared" si="14"/>
        <v>#N/A</v>
      </c>
      <c r="K25" s="99" t="e">
        <f t="shared" si="14"/>
        <v>#N/A</v>
      </c>
      <c r="L25" s="99" t="e">
        <f t="shared" si="14"/>
        <v>#N/A</v>
      </c>
      <c r="M25" s="99" t="e">
        <f t="shared" si="14"/>
        <v>#N/A</v>
      </c>
      <c r="N25" s="59">
        <f t="shared" si="13"/>
        <v>3.4197010420295985E-2</v>
      </c>
      <c r="O25" s="57" t="e">
        <f t="shared" si="15"/>
        <v>#DIV/0!</v>
      </c>
      <c r="P25" s="61">
        <f t="shared" si="13"/>
        <v>4.968138812616707E-3</v>
      </c>
      <c r="Q25" s="59">
        <f t="shared" si="13"/>
        <v>3.9159687171057347E-2</v>
      </c>
      <c r="R25" s="57" t="e">
        <f t="shared" si="16"/>
        <v>#DIV/0!</v>
      </c>
      <c r="S25" s="61">
        <f t="shared" si="13"/>
        <v>4.968138812616707E-3</v>
      </c>
      <c r="U25" s="18">
        <f t="shared" si="17"/>
        <v>15</v>
      </c>
      <c r="V25" s="11">
        <f t="shared" si="18"/>
        <v>5.0516903336255206E-2</v>
      </c>
      <c r="W25" s="11">
        <f t="shared" si="19"/>
        <v>4.7805143462282505E-2</v>
      </c>
      <c r="X25" s="11" t="e">
        <f t="shared" si="20"/>
        <v>#N/A</v>
      </c>
      <c r="Y25" s="11" t="e">
        <f t="shared" si="21"/>
        <v>#N/A</v>
      </c>
      <c r="Z25" s="11" t="e">
        <f t="shared" si="22"/>
        <v>#N/A</v>
      </c>
      <c r="AA25" s="11" t="e">
        <f t="shared" si="23"/>
        <v>#DIV/0!</v>
      </c>
      <c r="AB25" s="11" t="e">
        <f t="shared" si="24"/>
        <v>#DIV/0!</v>
      </c>
      <c r="AE25" s="59">
        <f t="shared" si="25"/>
        <v>0</v>
      </c>
      <c r="AF25" s="61">
        <f t="shared" si="26"/>
        <v>0</v>
      </c>
      <c r="AG25" s="109">
        <f t="shared" si="46"/>
        <v>0</v>
      </c>
      <c r="AH25" s="59">
        <f t="shared" si="27"/>
        <v>0</v>
      </c>
      <c r="AI25" s="61">
        <f t="shared" si="28"/>
        <v>0</v>
      </c>
      <c r="AJ25" s="109">
        <f t="shared" si="28"/>
        <v>0</v>
      </c>
      <c r="AK25" s="59">
        <f t="shared" si="29"/>
        <v>0</v>
      </c>
      <c r="AL25" s="57">
        <f t="shared" si="30"/>
        <v>1.8522531094211297E-2</v>
      </c>
      <c r="AM25" s="99">
        <f t="shared" si="31"/>
        <v>3.6498975103065621E-2</v>
      </c>
      <c r="AN25" s="99">
        <f t="shared" si="32"/>
        <v>3.6498975103065621E-2</v>
      </c>
      <c r="AO25" s="99">
        <f t="shared" si="33"/>
        <v>2.5549282572145934E-2</v>
      </c>
      <c r="AP25" s="59">
        <f t="shared" si="34"/>
        <v>0</v>
      </c>
      <c r="AQ25" s="57">
        <f t="shared" si="35"/>
        <v>1.8522531094211297E-2</v>
      </c>
      <c r="AR25" s="61">
        <f t="shared" si="36"/>
        <v>0</v>
      </c>
      <c r="AS25" s="59">
        <f t="shared" si="37"/>
        <v>0</v>
      </c>
      <c r="AT25" s="57">
        <f t="shared" si="38"/>
        <v>7.6041351708539626E-3</v>
      </c>
      <c r="AU25" s="61">
        <f t="shared" si="39"/>
        <v>0</v>
      </c>
      <c r="AW25">
        <f t="shared" si="47"/>
        <v>15</v>
      </c>
      <c r="AX25" s="11">
        <f t="shared" si="48"/>
        <v>0</v>
      </c>
      <c r="AY25" s="11">
        <f t="shared" si="49"/>
        <v>0</v>
      </c>
      <c r="AZ25" s="11">
        <f t="shared" si="40"/>
        <v>5.5021506197276915E-2</v>
      </c>
      <c r="BA25" s="11">
        <f t="shared" si="41"/>
        <v>5.5021506197276915E-2</v>
      </c>
      <c r="BB25" s="11">
        <f t="shared" si="42"/>
        <v>4.4071813666357235E-2</v>
      </c>
      <c r="BC25" s="11">
        <f t="shared" si="43"/>
        <v>1.8522531094211297E-2</v>
      </c>
      <c r="BD25" s="11">
        <f t="shared" si="44"/>
        <v>7.6041351708539626E-3</v>
      </c>
    </row>
    <row r="26" spans="1:56" x14ac:dyDescent="0.25">
      <c r="A26">
        <v>16</v>
      </c>
      <c r="B26">
        <f>MAX(A26-Settings!$Y$3*voltijdfranchise/1000, 0)</f>
        <v>1</v>
      </c>
      <c r="C26" s="59">
        <f t="shared" si="45"/>
        <v>4.1604018361135066E-2</v>
      </c>
      <c r="D26" s="61">
        <f t="shared" si="45"/>
        <v>8.9128849751201385E-3</v>
      </c>
      <c r="E26" s="109">
        <f t="shared" si="45"/>
        <v>0</v>
      </c>
      <c r="F26" s="59">
        <f t="shared" si="45"/>
        <v>3.9159687171057347E-2</v>
      </c>
      <c r="G26" s="61">
        <f t="shared" si="45"/>
        <v>8.6454562912251579E-3</v>
      </c>
      <c r="H26" s="109">
        <f t="shared" si="45"/>
        <v>0</v>
      </c>
      <c r="I26" s="59">
        <f t="shared" si="45"/>
        <v>2.3794373702957207E-2</v>
      </c>
      <c r="J26" s="57">
        <f t="shared" si="14"/>
        <v>0.29636049750738075</v>
      </c>
      <c r="K26" s="99">
        <f t="shared" si="14"/>
        <v>0.58398360164904994</v>
      </c>
      <c r="L26" s="99">
        <f t="shared" si="14"/>
        <v>0.58398360164904994</v>
      </c>
      <c r="M26" s="99">
        <f t="shared" si="14"/>
        <v>0.40878852115433495</v>
      </c>
      <c r="N26" s="59">
        <f t="shared" si="45"/>
        <v>3.4197010420295985E-2</v>
      </c>
      <c r="O26" s="57">
        <f t="shared" si="15"/>
        <v>0.29636049750738075</v>
      </c>
      <c r="P26" s="61">
        <f t="shared" si="45"/>
        <v>4.968138812616707E-3</v>
      </c>
      <c r="Q26" s="59">
        <f t="shared" si="45"/>
        <v>3.9159687171057347E-2</v>
      </c>
      <c r="R26" s="57">
        <f t="shared" si="16"/>
        <v>0.1216661627336634</v>
      </c>
      <c r="S26" s="61">
        <f t="shared" si="45"/>
        <v>4.968138812616707E-3</v>
      </c>
      <c r="U26" s="18">
        <f t="shared" si="17"/>
        <v>16</v>
      </c>
      <c r="V26" s="11">
        <f t="shared" si="18"/>
        <v>5.0516903336255206E-2</v>
      </c>
      <c r="W26" s="11">
        <f t="shared" si="19"/>
        <v>4.7805143462282505E-2</v>
      </c>
      <c r="X26" s="11">
        <f t="shared" si="20"/>
        <v>0.90413847285938798</v>
      </c>
      <c r="Y26" s="11">
        <f t="shared" si="21"/>
        <v>0.90413847285938798</v>
      </c>
      <c r="Z26" s="11">
        <f t="shared" si="22"/>
        <v>0.72894339236467287</v>
      </c>
      <c r="AA26" s="11">
        <f t="shared" si="23"/>
        <v>0.33552564674029345</v>
      </c>
      <c r="AB26" s="11">
        <f t="shared" si="24"/>
        <v>0.16579398871733747</v>
      </c>
      <c r="AE26" s="59">
        <f t="shared" si="25"/>
        <v>2.6002511475709416E-3</v>
      </c>
      <c r="AF26" s="61">
        <f t="shared" si="26"/>
        <v>5.5705531094500866E-4</v>
      </c>
      <c r="AG26" s="109">
        <f t="shared" si="46"/>
        <v>0</v>
      </c>
      <c r="AH26" s="59">
        <f t="shared" si="27"/>
        <v>2.4474804481910842E-3</v>
      </c>
      <c r="AI26" s="61">
        <f t="shared" si="28"/>
        <v>5.4034101820157237E-4</v>
      </c>
      <c r="AJ26" s="109">
        <f t="shared" si="28"/>
        <v>0</v>
      </c>
      <c r="AK26" s="59">
        <f t="shared" si="29"/>
        <v>1.4871483564348254E-3</v>
      </c>
      <c r="AL26" s="57">
        <f t="shared" si="30"/>
        <v>1.8522531094211297E-2</v>
      </c>
      <c r="AM26" s="99">
        <f t="shared" si="31"/>
        <v>3.6498975103065621E-2</v>
      </c>
      <c r="AN26" s="99">
        <f t="shared" si="32"/>
        <v>3.6498975103065621E-2</v>
      </c>
      <c r="AO26" s="99">
        <f t="shared" si="33"/>
        <v>2.5549282572145934E-2</v>
      </c>
      <c r="AP26" s="59">
        <f t="shared" si="34"/>
        <v>2.1373131512684991E-3</v>
      </c>
      <c r="AQ26" s="57">
        <f t="shared" si="35"/>
        <v>1.8522531094211297E-2</v>
      </c>
      <c r="AR26" s="61">
        <f t="shared" si="36"/>
        <v>3.1050867578854419E-4</v>
      </c>
      <c r="AS26" s="59">
        <f t="shared" si="37"/>
        <v>2.4474804481910842E-3</v>
      </c>
      <c r="AT26" s="57">
        <f t="shared" si="38"/>
        <v>7.6041351708539626E-3</v>
      </c>
      <c r="AU26" s="61">
        <f t="shared" si="39"/>
        <v>3.1050867578854419E-4</v>
      </c>
      <c r="AW26">
        <f t="shared" si="47"/>
        <v>16</v>
      </c>
      <c r="AX26" s="11">
        <f t="shared" si="48"/>
        <v>3.1573064585159504E-3</v>
      </c>
      <c r="AY26" s="11">
        <f t="shared" si="49"/>
        <v>2.9878214663926566E-3</v>
      </c>
      <c r="AZ26" s="11">
        <f t="shared" si="40"/>
        <v>5.6508654553711749E-2</v>
      </c>
      <c r="BA26" s="11">
        <f t="shared" si="41"/>
        <v>5.6508654553711749E-2</v>
      </c>
      <c r="BB26" s="11">
        <f t="shared" si="42"/>
        <v>4.5558962022792054E-2</v>
      </c>
      <c r="BC26" s="11">
        <f t="shared" si="43"/>
        <v>2.0970352921268341E-2</v>
      </c>
      <c r="BD26" s="11">
        <f t="shared" si="44"/>
        <v>1.0362124294833592E-2</v>
      </c>
    </row>
    <row r="27" spans="1:56" x14ac:dyDescent="0.25">
      <c r="A27">
        <v>17</v>
      </c>
      <c r="B27">
        <f>MAX(A27-Settings!$Y$3*voltijdfranchise/1000, 0)</f>
        <v>2</v>
      </c>
      <c r="C27" s="59">
        <f t="shared" si="45"/>
        <v>4.1604018361135066E-2</v>
      </c>
      <c r="D27" s="61">
        <f t="shared" si="45"/>
        <v>8.9128849751201385E-3</v>
      </c>
      <c r="E27" s="109">
        <f t="shared" si="45"/>
        <v>0</v>
      </c>
      <c r="F27" s="59">
        <f t="shared" si="45"/>
        <v>3.9159687171057347E-2</v>
      </c>
      <c r="G27" s="61">
        <f t="shared" si="45"/>
        <v>8.6454562912251579E-3</v>
      </c>
      <c r="H27" s="109">
        <f t="shared" si="45"/>
        <v>0</v>
      </c>
      <c r="I27" s="59">
        <f t="shared" si="45"/>
        <v>2.3794373702957207E-2</v>
      </c>
      <c r="J27" s="57">
        <f t="shared" si="14"/>
        <v>0.15744151430079603</v>
      </c>
      <c r="K27" s="99">
        <f t="shared" si="14"/>
        <v>0.3102412883760578</v>
      </c>
      <c r="L27" s="99">
        <f t="shared" si="14"/>
        <v>0.3102412883760578</v>
      </c>
      <c r="M27" s="99">
        <f t="shared" si="14"/>
        <v>0.21716890186324045</v>
      </c>
      <c r="N27" s="59">
        <f t="shared" si="45"/>
        <v>3.4197010420295985E-2</v>
      </c>
      <c r="O27" s="57">
        <f t="shared" si="15"/>
        <v>0.15744151430079603</v>
      </c>
      <c r="P27" s="61">
        <f t="shared" si="45"/>
        <v>4.968138812616707E-3</v>
      </c>
      <c r="Q27" s="59">
        <f t="shared" si="45"/>
        <v>3.9159687171057347E-2</v>
      </c>
      <c r="R27" s="57">
        <f t="shared" si="16"/>
        <v>6.4635148952258692E-2</v>
      </c>
      <c r="S27" s="61">
        <f t="shared" si="45"/>
        <v>4.968138812616707E-3</v>
      </c>
      <c r="U27" s="18">
        <f t="shared" si="17"/>
        <v>17</v>
      </c>
      <c r="V27" s="11">
        <f t="shared" si="18"/>
        <v>5.0516903336255206E-2</v>
      </c>
      <c r="W27" s="11">
        <f t="shared" si="19"/>
        <v>4.7805143462282505E-2</v>
      </c>
      <c r="X27" s="11">
        <f t="shared" si="20"/>
        <v>0.49147717637981103</v>
      </c>
      <c r="Y27" s="11">
        <f t="shared" si="21"/>
        <v>0.49147717637981103</v>
      </c>
      <c r="Z27" s="11">
        <f t="shared" si="22"/>
        <v>0.39840478986699368</v>
      </c>
      <c r="AA27" s="11">
        <f t="shared" si="23"/>
        <v>0.19660666353370873</v>
      </c>
      <c r="AB27" s="11">
        <f t="shared" si="24"/>
        <v>0.10876297493593275</v>
      </c>
      <c r="AE27" s="59">
        <f t="shared" si="25"/>
        <v>4.8945903954276549E-3</v>
      </c>
      <c r="AF27" s="61">
        <f t="shared" si="26"/>
        <v>1.0485747029553103E-3</v>
      </c>
      <c r="AG27" s="109">
        <f t="shared" si="46"/>
        <v>0</v>
      </c>
      <c r="AH27" s="59">
        <f t="shared" si="27"/>
        <v>4.607022020124394E-3</v>
      </c>
      <c r="AI27" s="61">
        <f t="shared" si="28"/>
        <v>1.0171125048500185E-3</v>
      </c>
      <c r="AJ27" s="109">
        <f t="shared" si="28"/>
        <v>0</v>
      </c>
      <c r="AK27" s="59">
        <f t="shared" si="29"/>
        <v>2.7993380827008481E-3</v>
      </c>
      <c r="AL27" s="57">
        <f t="shared" si="30"/>
        <v>1.8522531094211297E-2</v>
      </c>
      <c r="AM27" s="99">
        <f t="shared" si="31"/>
        <v>3.6498975103065621E-2</v>
      </c>
      <c r="AN27" s="99">
        <f t="shared" si="32"/>
        <v>3.6498975103065621E-2</v>
      </c>
      <c r="AO27" s="99">
        <f t="shared" si="33"/>
        <v>2.5549282572145934E-2</v>
      </c>
      <c r="AP27" s="59">
        <f t="shared" si="34"/>
        <v>4.0231776965054099E-3</v>
      </c>
      <c r="AQ27" s="57">
        <f t="shared" si="35"/>
        <v>1.8522531094211297E-2</v>
      </c>
      <c r="AR27" s="61">
        <f t="shared" si="36"/>
        <v>5.8448691913137729E-4</v>
      </c>
      <c r="AS27" s="59">
        <f t="shared" si="37"/>
        <v>4.607022020124394E-3</v>
      </c>
      <c r="AT27" s="57">
        <f t="shared" si="38"/>
        <v>7.6041351708539626E-3</v>
      </c>
      <c r="AU27" s="61">
        <f t="shared" si="39"/>
        <v>5.8448691913137729E-4</v>
      </c>
      <c r="AW27">
        <f t="shared" si="47"/>
        <v>17</v>
      </c>
      <c r="AX27" s="11">
        <f t="shared" si="48"/>
        <v>5.9431650983829652E-3</v>
      </c>
      <c r="AY27" s="11">
        <f t="shared" si="49"/>
        <v>5.6241345249744123E-3</v>
      </c>
      <c r="AZ27" s="11">
        <f t="shared" si="40"/>
        <v>5.7820844279977766E-2</v>
      </c>
      <c r="BA27" s="11">
        <f t="shared" si="41"/>
        <v>5.7820844279977766E-2</v>
      </c>
      <c r="BB27" s="11">
        <f t="shared" si="42"/>
        <v>4.6871151749058079E-2</v>
      </c>
      <c r="BC27" s="11">
        <f t="shared" si="43"/>
        <v>2.3130195709848082E-2</v>
      </c>
      <c r="BD27" s="11">
        <f t="shared" si="44"/>
        <v>1.2795644110109734E-2</v>
      </c>
    </row>
    <row r="28" spans="1:56" x14ac:dyDescent="0.25">
      <c r="A28">
        <v>18</v>
      </c>
      <c r="B28">
        <f>MAX(A28-Settings!$Y$3*voltijdfranchise/1000, 0)</f>
        <v>3</v>
      </c>
      <c r="C28" s="59">
        <f t="shared" si="45"/>
        <v>4.1604018361135066E-2</v>
      </c>
      <c r="D28" s="61">
        <f t="shared" si="45"/>
        <v>8.9128849751201385E-3</v>
      </c>
      <c r="E28" s="109">
        <f t="shared" si="45"/>
        <v>0</v>
      </c>
      <c r="F28" s="59">
        <f t="shared" si="45"/>
        <v>3.9159687171057347E-2</v>
      </c>
      <c r="G28" s="61">
        <f t="shared" si="45"/>
        <v>8.6454562912251579E-3</v>
      </c>
      <c r="H28" s="109">
        <f t="shared" si="45"/>
        <v>0</v>
      </c>
      <c r="I28" s="59">
        <f t="shared" si="45"/>
        <v>2.3794373702957207E-2</v>
      </c>
      <c r="J28" s="57">
        <f t="shared" si="14"/>
        <v>0.11113518656526777</v>
      </c>
      <c r="K28" s="99">
        <f t="shared" si="14"/>
        <v>0.21899385061839372</v>
      </c>
      <c r="L28" s="99">
        <f t="shared" si="14"/>
        <v>0.21899385061839372</v>
      </c>
      <c r="M28" s="99">
        <f t="shared" si="14"/>
        <v>0.15329569543287561</v>
      </c>
      <c r="N28" s="59">
        <f t="shared" si="45"/>
        <v>3.4197010420295985E-2</v>
      </c>
      <c r="O28" s="57">
        <f t="shared" si="15"/>
        <v>0.11113518656526777</v>
      </c>
      <c r="P28" s="61">
        <f t="shared" si="45"/>
        <v>4.968138812616707E-3</v>
      </c>
      <c r="Q28" s="59">
        <f t="shared" si="45"/>
        <v>3.9159687171057347E-2</v>
      </c>
      <c r="R28" s="57">
        <f t="shared" si="16"/>
        <v>4.5624811025123779E-2</v>
      </c>
      <c r="S28" s="61">
        <f t="shared" si="45"/>
        <v>4.968138812616707E-3</v>
      </c>
      <c r="U28" s="18">
        <f t="shared" si="17"/>
        <v>18</v>
      </c>
      <c r="V28" s="11">
        <f t="shared" si="18"/>
        <v>5.0516903336255206E-2</v>
      </c>
      <c r="W28" s="11">
        <f t="shared" si="19"/>
        <v>4.7805143462282505E-2</v>
      </c>
      <c r="X28" s="11">
        <f t="shared" si="20"/>
        <v>0.35392341088661872</v>
      </c>
      <c r="Y28" s="11">
        <f t="shared" si="21"/>
        <v>0.35392341088661872</v>
      </c>
      <c r="Z28" s="11">
        <f t="shared" si="22"/>
        <v>0.28822525570110058</v>
      </c>
      <c r="AA28" s="11">
        <f t="shared" si="23"/>
        <v>0.15030033579818047</v>
      </c>
      <c r="AB28" s="11">
        <f t="shared" si="24"/>
        <v>8.9752637008797834E-2</v>
      </c>
      <c r="AE28" s="59">
        <f t="shared" si="25"/>
        <v>6.9340030601891776E-3</v>
      </c>
      <c r="AF28" s="61">
        <f t="shared" si="26"/>
        <v>1.4854808291866898E-3</v>
      </c>
      <c r="AG28" s="109">
        <f t="shared" si="46"/>
        <v>0</v>
      </c>
      <c r="AH28" s="59">
        <f t="shared" si="27"/>
        <v>6.5266145285095582E-3</v>
      </c>
      <c r="AI28" s="61">
        <f t="shared" si="28"/>
        <v>1.4409093818708596E-3</v>
      </c>
      <c r="AJ28" s="109">
        <f t="shared" si="28"/>
        <v>0</v>
      </c>
      <c r="AK28" s="59">
        <f t="shared" si="29"/>
        <v>3.9657289504928684E-3</v>
      </c>
      <c r="AL28" s="57">
        <f t="shared" si="30"/>
        <v>1.8522531094211297E-2</v>
      </c>
      <c r="AM28" s="99">
        <f t="shared" si="31"/>
        <v>3.6498975103065621E-2</v>
      </c>
      <c r="AN28" s="99">
        <f t="shared" si="32"/>
        <v>3.6498975103065621E-2</v>
      </c>
      <c r="AO28" s="99">
        <f t="shared" si="33"/>
        <v>2.5549282572145934E-2</v>
      </c>
      <c r="AP28" s="59">
        <f t="shared" si="34"/>
        <v>5.6995017367159973E-3</v>
      </c>
      <c r="AQ28" s="57">
        <f t="shared" si="35"/>
        <v>1.8522531094211297E-2</v>
      </c>
      <c r="AR28" s="61">
        <f t="shared" si="36"/>
        <v>8.2802313543611783E-4</v>
      </c>
      <c r="AS28" s="59">
        <f t="shared" si="37"/>
        <v>6.5266145285095582E-3</v>
      </c>
      <c r="AT28" s="57">
        <f t="shared" si="38"/>
        <v>7.6041351708539626E-3</v>
      </c>
      <c r="AU28" s="61">
        <f t="shared" si="39"/>
        <v>8.2802313543611783E-4</v>
      </c>
      <c r="AW28">
        <f t="shared" si="47"/>
        <v>18</v>
      </c>
      <c r="AX28" s="11">
        <f t="shared" si="48"/>
        <v>8.4194838893758665E-3</v>
      </c>
      <c r="AY28" s="11">
        <f t="shared" si="49"/>
        <v>7.9675239103804175E-3</v>
      </c>
      <c r="AZ28" s="11">
        <f t="shared" si="40"/>
        <v>5.8987235147769788E-2</v>
      </c>
      <c r="BA28" s="11">
        <f t="shared" si="41"/>
        <v>5.8987235147769788E-2</v>
      </c>
      <c r="BB28" s="11">
        <f t="shared" si="42"/>
        <v>4.8037542616850101E-2</v>
      </c>
      <c r="BC28" s="11">
        <f t="shared" si="43"/>
        <v>2.5050055966363411E-2</v>
      </c>
      <c r="BD28" s="11">
        <f t="shared" si="44"/>
        <v>1.4958772834799638E-2</v>
      </c>
    </row>
    <row r="29" spans="1:56" x14ac:dyDescent="0.25">
      <c r="A29">
        <v>19</v>
      </c>
      <c r="B29">
        <f>MAX(A29-Settings!$Y$3*voltijdfranchise/1000, 0)</f>
        <v>4</v>
      </c>
      <c r="C29" s="59">
        <f t="shared" si="45"/>
        <v>4.1604018361135066E-2</v>
      </c>
      <c r="D29" s="61">
        <f t="shared" si="45"/>
        <v>8.9128849751201385E-3</v>
      </c>
      <c r="E29" s="109">
        <f t="shared" si="45"/>
        <v>0</v>
      </c>
      <c r="F29" s="59">
        <f t="shared" si="45"/>
        <v>3.9159687171057347E-2</v>
      </c>
      <c r="G29" s="61">
        <f t="shared" si="45"/>
        <v>8.6454562912251579E-3</v>
      </c>
      <c r="H29" s="109">
        <f t="shared" si="45"/>
        <v>0</v>
      </c>
      <c r="I29" s="59">
        <f t="shared" si="45"/>
        <v>2.3794373702957207E-2</v>
      </c>
      <c r="J29" s="57">
        <f t="shared" si="14"/>
        <v>8.7982022697503659E-2</v>
      </c>
      <c r="K29" s="99">
        <f t="shared" si="14"/>
        <v>0.1733701317395617</v>
      </c>
      <c r="L29" s="99">
        <f t="shared" si="14"/>
        <v>0.1733701317395617</v>
      </c>
      <c r="M29" s="99">
        <f t="shared" si="14"/>
        <v>0.1213590922176932</v>
      </c>
      <c r="N29" s="59">
        <f t="shared" si="45"/>
        <v>3.4197010420295985E-2</v>
      </c>
      <c r="O29" s="57">
        <f t="shared" si="15"/>
        <v>8.7982022697503659E-2</v>
      </c>
      <c r="P29" s="61">
        <f t="shared" si="45"/>
        <v>4.968138812616707E-3</v>
      </c>
      <c r="Q29" s="59">
        <f t="shared" si="45"/>
        <v>3.9159687171057347E-2</v>
      </c>
      <c r="R29" s="57">
        <f t="shared" si="16"/>
        <v>3.6119642061556323E-2</v>
      </c>
      <c r="S29" s="61">
        <f t="shared" si="45"/>
        <v>4.968138812616707E-3</v>
      </c>
      <c r="U29" s="18">
        <f t="shared" si="17"/>
        <v>19</v>
      </c>
      <c r="V29" s="11">
        <f t="shared" si="18"/>
        <v>5.0516903336255206E-2</v>
      </c>
      <c r="W29" s="11">
        <f t="shared" si="19"/>
        <v>4.7805143462282505E-2</v>
      </c>
      <c r="X29" s="11">
        <f t="shared" si="20"/>
        <v>0.28514652814002256</v>
      </c>
      <c r="Y29" s="11">
        <f t="shared" si="21"/>
        <v>0.28514652814002256</v>
      </c>
      <c r="Z29" s="11">
        <f t="shared" si="22"/>
        <v>0.23313548861815406</v>
      </c>
      <c r="AA29" s="11">
        <f t="shared" si="23"/>
        <v>0.12714717193041636</v>
      </c>
      <c r="AB29" s="11">
        <f t="shared" si="24"/>
        <v>8.0247468045230377E-2</v>
      </c>
      <c r="AE29" s="59">
        <f t="shared" si="25"/>
        <v>8.7587407076073816E-3</v>
      </c>
      <c r="AF29" s="61">
        <f t="shared" si="26"/>
        <v>1.8763968368673977E-3</v>
      </c>
      <c r="AG29" s="109">
        <f t="shared" si="46"/>
        <v>0</v>
      </c>
      <c r="AH29" s="59">
        <f t="shared" si="27"/>
        <v>8.2441446675910208E-3</v>
      </c>
      <c r="AI29" s="61">
        <f t="shared" si="28"/>
        <v>1.8200960613105595E-3</v>
      </c>
      <c r="AJ29" s="109">
        <f t="shared" si="28"/>
        <v>0</v>
      </c>
      <c r="AK29" s="59">
        <f t="shared" si="29"/>
        <v>5.0093418322015174E-3</v>
      </c>
      <c r="AL29" s="57">
        <f t="shared" si="30"/>
        <v>1.8522531094211297E-2</v>
      </c>
      <c r="AM29" s="99">
        <f t="shared" si="31"/>
        <v>3.6498975103065621E-2</v>
      </c>
      <c r="AN29" s="99">
        <f t="shared" si="32"/>
        <v>3.6498975103065621E-2</v>
      </c>
      <c r="AO29" s="99">
        <f t="shared" si="33"/>
        <v>2.5549282572145934E-2</v>
      </c>
      <c r="AP29" s="59">
        <f t="shared" si="34"/>
        <v>7.1993706147991552E-3</v>
      </c>
      <c r="AQ29" s="57">
        <f t="shared" si="35"/>
        <v>1.8522531094211297E-2</v>
      </c>
      <c r="AR29" s="61">
        <f t="shared" si="36"/>
        <v>1.0459239605508856E-3</v>
      </c>
      <c r="AS29" s="59">
        <f t="shared" si="37"/>
        <v>8.2441446675910208E-3</v>
      </c>
      <c r="AT29" s="57">
        <f t="shared" si="38"/>
        <v>7.6041351708539626E-3</v>
      </c>
      <c r="AU29" s="61">
        <f t="shared" si="39"/>
        <v>1.0459239605508856E-3</v>
      </c>
      <c r="AW29">
        <f t="shared" si="47"/>
        <v>19</v>
      </c>
      <c r="AX29" s="11">
        <f t="shared" si="48"/>
        <v>1.0635137544474779E-2</v>
      </c>
      <c r="AY29" s="11">
        <f t="shared" si="49"/>
        <v>1.006424072890158E-2</v>
      </c>
      <c r="AZ29" s="11">
        <f t="shared" si="40"/>
        <v>6.0030848029478431E-2</v>
      </c>
      <c r="BA29" s="11">
        <f t="shared" si="41"/>
        <v>6.0030848029478431E-2</v>
      </c>
      <c r="BB29" s="11">
        <f t="shared" si="42"/>
        <v>4.9081155498558751E-2</v>
      </c>
      <c r="BC29" s="11">
        <f t="shared" si="43"/>
        <v>2.6767825669561339E-2</v>
      </c>
      <c r="BD29" s="11">
        <f t="shared" si="44"/>
        <v>1.6894203798995869E-2</v>
      </c>
    </row>
    <row r="30" spans="1:56" x14ac:dyDescent="0.25">
      <c r="A30">
        <v>20</v>
      </c>
      <c r="B30">
        <f>MAX(A30-Settings!$Y$3*voltijdfranchise/1000, 0)</f>
        <v>5</v>
      </c>
      <c r="C30" s="59">
        <f t="shared" si="45"/>
        <v>4.1604018361135066E-2</v>
      </c>
      <c r="D30" s="61">
        <f t="shared" si="45"/>
        <v>8.9128849751201385E-3</v>
      </c>
      <c r="E30" s="109">
        <f t="shared" si="45"/>
        <v>0</v>
      </c>
      <c r="F30" s="59">
        <f t="shared" si="45"/>
        <v>3.9159687171057347E-2</v>
      </c>
      <c r="G30" s="61">
        <f t="shared" si="45"/>
        <v>8.6454562912251579E-3</v>
      </c>
      <c r="H30" s="109">
        <f t="shared" si="45"/>
        <v>0</v>
      </c>
      <c r="I30" s="59">
        <f t="shared" si="45"/>
        <v>2.3794373702957207E-2</v>
      </c>
      <c r="J30" s="57">
        <f t="shared" ref="J30:M49" si="50">IFERROR(J$6*$K$3*($A30/$K$2)/$B30, NA())</f>
        <v>7.4090124376845187E-2</v>
      </c>
      <c r="K30" s="99">
        <f t="shared" si="50"/>
        <v>0.14599590041226249</v>
      </c>
      <c r="L30" s="99">
        <f t="shared" si="50"/>
        <v>0.14599590041226249</v>
      </c>
      <c r="M30" s="99">
        <f t="shared" si="50"/>
        <v>0.10219713028858375</v>
      </c>
      <c r="N30" s="59">
        <f t="shared" si="45"/>
        <v>3.4197010420295985E-2</v>
      </c>
      <c r="O30" s="57">
        <f t="shared" si="15"/>
        <v>7.4090124376845187E-2</v>
      </c>
      <c r="P30" s="61">
        <f t="shared" si="45"/>
        <v>4.968138812616707E-3</v>
      </c>
      <c r="Q30" s="59">
        <f t="shared" si="45"/>
        <v>3.9159687171057347E-2</v>
      </c>
      <c r="R30" s="57">
        <f t="shared" si="16"/>
        <v>3.0416540683415854E-2</v>
      </c>
      <c r="S30" s="61">
        <f t="shared" si="45"/>
        <v>4.968138812616707E-3</v>
      </c>
      <c r="U30" s="18">
        <f t="shared" si="17"/>
        <v>20</v>
      </c>
      <c r="V30" s="11">
        <f t="shared" si="18"/>
        <v>5.0516903336255206E-2</v>
      </c>
      <c r="W30" s="11">
        <f t="shared" si="19"/>
        <v>4.7805143462282505E-2</v>
      </c>
      <c r="X30" s="11">
        <f t="shared" si="20"/>
        <v>0.24388039849206489</v>
      </c>
      <c r="Y30" s="11">
        <f t="shared" si="21"/>
        <v>0.24388039849206489</v>
      </c>
      <c r="Z30" s="11">
        <f t="shared" si="22"/>
        <v>0.20008162836838617</v>
      </c>
      <c r="AA30" s="11">
        <f t="shared" si="23"/>
        <v>0.11325527360975787</v>
      </c>
      <c r="AB30" s="11">
        <f t="shared" si="24"/>
        <v>7.4544366667089912E-2</v>
      </c>
      <c r="AE30" s="59">
        <f t="shared" si="25"/>
        <v>1.0401004590283766E-2</v>
      </c>
      <c r="AF30" s="61">
        <f t="shared" si="26"/>
        <v>2.2282212437800346E-3</v>
      </c>
      <c r="AG30" s="109">
        <f t="shared" si="46"/>
        <v>0</v>
      </c>
      <c r="AH30" s="59">
        <f t="shared" si="27"/>
        <v>9.7899217927643369E-3</v>
      </c>
      <c r="AI30" s="61">
        <f t="shared" si="28"/>
        <v>2.1613640728062895E-3</v>
      </c>
      <c r="AJ30" s="109">
        <f t="shared" si="28"/>
        <v>0</v>
      </c>
      <c r="AK30" s="59">
        <f t="shared" si="29"/>
        <v>5.9485934257393017E-3</v>
      </c>
      <c r="AL30" s="57">
        <f t="shared" si="30"/>
        <v>1.8522531094211297E-2</v>
      </c>
      <c r="AM30" s="99">
        <f t="shared" si="31"/>
        <v>3.6498975103065621E-2</v>
      </c>
      <c r="AN30" s="99">
        <f t="shared" si="32"/>
        <v>3.6498975103065621E-2</v>
      </c>
      <c r="AO30" s="99">
        <f t="shared" si="33"/>
        <v>2.5549282572145934E-2</v>
      </c>
      <c r="AP30" s="59">
        <f t="shared" si="34"/>
        <v>8.5492526050739964E-3</v>
      </c>
      <c r="AQ30" s="57">
        <f t="shared" si="35"/>
        <v>1.8522531094211297E-2</v>
      </c>
      <c r="AR30" s="61">
        <f t="shared" si="36"/>
        <v>1.2420347031541767E-3</v>
      </c>
      <c r="AS30" s="59">
        <f t="shared" si="37"/>
        <v>9.7899217927643369E-3</v>
      </c>
      <c r="AT30" s="57">
        <f t="shared" si="38"/>
        <v>7.6041351708539626E-3</v>
      </c>
      <c r="AU30" s="61">
        <f t="shared" si="39"/>
        <v>1.2420347031541767E-3</v>
      </c>
      <c r="AW30">
        <f t="shared" si="47"/>
        <v>20</v>
      </c>
      <c r="AX30" s="11">
        <f t="shared" si="48"/>
        <v>1.2629225834063802E-2</v>
      </c>
      <c r="AY30" s="11">
        <f t="shared" si="49"/>
        <v>1.1951285865570626E-2</v>
      </c>
      <c r="AZ30" s="11">
        <f t="shared" si="40"/>
        <v>6.0970099623016222E-2</v>
      </c>
      <c r="BA30" s="11">
        <f t="shared" si="41"/>
        <v>6.0970099623016222E-2</v>
      </c>
      <c r="BB30" s="11">
        <f t="shared" si="42"/>
        <v>5.0020407092096535E-2</v>
      </c>
      <c r="BC30" s="11">
        <f t="shared" si="43"/>
        <v>2.8313818402439468E-2</v>
      </c>
      <c r="BD30" s="11">
        <f t="shared" si="44"/>
        <v>1.8636091666772478E-2</v>
      </c>
    </row>
    <row r="31" spans="1:56" x14ac:dyDescent="0.25">
      <c r="A31">
        <v>21</v>
      </c>
      <c r="B31">
        <f>MAX(A31-Settings!$Y$3*voltijdfranchise/1000, 0)</f>
        <v>6</v>
      </c>
      <c r="C31" s="59">
        <f t="shared" si="45"/>
        <v>4.1604018361135066E-2</v>
      </c>
      <c r="D31" s="61">
        <f t="shared" si="45"/>
        <v>8.9128849751201385E-3</v>
      </c>
      <c r="E31" s="109">
        <f t="shared" si="45"/>
        <v>0</v>
      </c>
      <c r="F31" s="59">
        <f t="shared" si="45"/>
        <v>3.9159687171057347E-2</v>
      </c>
      <c r="G31" s="61">
        <f t="shared" si="45"/>
        <v>8.6454562912251579E-3</v>
      </c>
      <c r="H31" s="109">
        <f t="shared" si="45"/>
        <v>0</v>
      </c>
      <c r="I31" s="59">
        <f t="shared" si="45"/>
        <v>2.3794373702957207E-2</v>
      </c>
      <c r="J31" s="57">
        <f t="shared" si="50"/>
        <v>6.482885882973953E-2</v>
      </c>
      <c r="K31" s="99">
        <f t="shared" si="50"/>
        <v>0.12774641286072966</v>
      </c>
      <c r="L31" s="99">
        <f t="shared" si="50"/>
        <v>0.12774641286072966</v>
      </c>
      <c r="M31" s="99">
        <f t="shared" si="50"/>
        <v>8.9422489002510763E-2</v>
      </c>
      <c r="N31" s="59">
        <f t="shared" si="45"/>
        <v>3.4197010420295985E-2</v>
      </c>
      <c r="O31" s="57">
        <f t="shared" si="15"/>
        <v>6.482885882973953E-2</v>
      </c>
      <c r="P31" s="61">
        <f t="shared" si="45"/>
        <v>4.968138812616707E-3</v>
      </c>
      <c r="Q31" s="59">
        <f t="shared" si="45"/>
        <v>3.9159687171057347E-2</v>
      </c>
      <c r="R31" s="57">
        <f t="shared" si="16"/>
        <v>2.661447309798887E-2</v>
      </c>
      <c r="S31" s="61">
        <f t="shared" si="45"/>
        <v>4.968138812616707E-3</v>
      </c>
      <c r="U31" s="18">
        <f t="shared" si="17"/>
        <v>21</v>
      </c>
      <c r="V31" s="11">
        <f t="shared" si="18"/>
        <v>5.0516903336255206E-2</v>
      </c>
      <c r="W31" s="11">
        <f t="shared" si="19"/>
        <v>4.7805143462282505E-2</v>
      </c>
      <c r="X31" s="11">
        <f t="shared" si="20"/>
        <v>0.2163696453934264</v>
      </c>
      <c r="Y31" s="11">
        <f t="shared" si="21"/>
        <v>0.2163696453934264</v>
      </c>
      <c r="Z31" s="11">
        <f t="shared" si="22"/>
        <v>0.17804572153520751</v>
      </c>
      <c r="AA31" s="11">
        <f t="shared" si="23"/>
        <v>0.10399400806265222</v>
      </c>
      <c r="AB31" s="11">
        <f t="shared" si="24"/>
        <v>7.0742299081662921E-2</v>
      </c>
      <c r="AE31" s="59">
        <f t="shared" si="25"/>
        <v>1.1886862388895733E-2</v>
      </c>
      <c r="AF31" s="61">
        <f t="shared" si="26"/>
        <v>2.5465385643200396E-3</v>
      </c>
      <c r="AG31" s="109">
        <f t="shared" si="46"/>
        <v>0</v>
      </c>
      <c r="AH31" s="59">
        <f t="shared" si="27"/>
        <v>1.1188482048873528E-2</v>
      </c>
      <c r="AI31" s="61">
        <f t="shared" si="28"/>
        <v>2.4701303689214737E-3</v>
      </c>
      <c r="AJ31" s="109">
        <f t="shared" si="28"/>
        <v>0</v>
      </c>
      <c r="AK31" s="59">
        <f t="shared" si="29"/>
        <v>6.798392486559203E-3</v>
      </c>
      <c r="AL31" s="57">
        <f t="shared" si="30"/>
        <v>1.8522531094211297E-2</v>
      </c>
      <c r="AM31" s="99">
        <f t="shared" si="31"/>
        <v>3.6498975103065621E-2</v>
      </c>
      <c r="AN31" s="99">
        <f t="shared" si="32"/>
        <v>3.6498975103065621E-2</v>
      </c>
      <c r="AO31" s="99">
        <f t="shared" si="33"/>
        <v>2.5549282572145934E-2</v>
      </c>
      <c r="AP31" s="59">
        <f t="shared" si="34"/>
        <v>9.7705744057988517E-3</v>
      </c>
      <c r="AQ31" s="57">
        <f t="shared" si="35"/>
        <v>1.8522531094211297E-2</v>
      </c>
      <c r="AR31" s="61">
        <f t="shared" si="36"/>
        <v>1.419468232176202E-3</v>
      </c>
      <c r="AS31" s="59">
        <f t="shared" si="37"/>
        <v>1.1188482048873528E-2</v>
      </c>
      <c r="AT31" s="57">
        <f t="shared" si="38"/>
        <v>7.6041351708539626E-3</v>
      </c>
      <c r="AU31" s="61">
        <f t="shared" si="39"/>
        <v>1.419468232176202E-3</v>
      </c>
      <c r="AW31">
        <f t="shared" si="47"/>
        <v>21</v>
      </c>
      <c r="AX31" s="11">
        <f t="shared" si="48"/>
        <v>1.4433400953215773E-2</v>
      </c>
      <c r="AY31" s="11">
        <f t="shared" si="49"/>
        <v>1.3658612417795002E-2</v>
      </c>
      <c r="AZ31" s="11">
        <f t="shared" si="40"/>
        <v>6.1819898683836125E-2</v>
      </c>
      <c r="BA31" s="11">
        <f t="shared" si="41"/>
        <v>6.1819898683836125E-2</v>
      </c>
      <c r="BB31" s="11">
        <f t="shared" si="42"/>
        <v>5.0870206152916431E-2</v>
      </c>
      <c r="BC31" s="11">
        <f t="shared" si="43"/>
        <v>2.9712573732186352E-2</v>
      </c>
      <c r="BD31" s="11">
        <f t="shared" si="44"/>
        <v>2.0212085451903693E-2</v>
      </c>
    </row>
    <row r="32" spans="1:56" x14ac:dyDescent="0.25">
      <c r="A32">
        <v>22</v>
      </c>
      <c r="B32">
        <f>MAX(A32-Settings!$Y$3*voltijdfranchise/1000, 0)</f>
        <v>7</v>
      </c>
      <c r="C32" s="59">
        <f t="shared" si="45"/>
        <v>4.1604018361135066E-2</v>
      </c>
      <c r="D32" s="61">
        <f t="shared" si="45"/>
        <v>8.9128849751201385E-3</v>
      </c>
      <c r="E32" s="109">
        <f t="shared" si="45"/>
        <v>0</v>
      </c>
      <c r="F32" s="59">
        <f t="shared" si="45"/>
        <v>3.9159687171057347E-2</v>
      </c>
      <c r="G32" s="61">
        <f t="shared" si="45"/>
        <v>8.6454562912251579E-3</v>
      </c>
      <c r="H32" s="109">
        <f t="shared" si="45"/>
        <v>0</v>
      </c>
      <c r="I32" s="59">
        <f t="shared" si="45"/>
        <v>2.3794373702957207E-2</v>
      </c>
      <c r="J32" s="57">
        <f t="shared" si="50"/>
        <v>5.8213669153235503E-2</v>
      </c>
      <c r="K32" s="99">
        <f t="shared" si="50"/>
        <v>0.1147110646096348</v>
      </c>
      <c r="L32" s="99">
        <f t="shared" si="50"/>
        <v>0.1147110646096348</v>
      </c>
      <c r="M32" s="99">
        <f t="shared" si="50"/>
        <v>8.0297745226744363E-2</v>
      </c>
      <c r="N32" s="59">
        <f t="shared" si="45"/>
        <v>3.4197010420295985E-2</v>
      </c>
      <c r="O32" s="57">
        <f t="shared" si="15"/>
        <v>5.8213669153235503E-2</v>
      </c>
      <c r="P32" s="61">
        <f t="shared" si="45"/>
        <v>4.968138812616707E-3</v>
      </c>
      <c r="Q32" s="59">
        <f t="shared" si="45"/>
        <v>3.9159687171057347E-2</v>
      </c>
      <c r="R32" s="57">
        <f t="shared" si="16"/>
        <v>2.3898710536969597E-2</v>
      </c>
      <c r="S32" s="61">
        <f t="shared" si="45"/>
        <v>4.968138812616707E-3</v>
      </c>
      <c r="U32" s="18">
        <f t="shared" si="17"/>
        <v>22</v>
      </c>
      <c r="V32" s="11">
        <f t="shared" si="18"/>
        <v>5.0516903336255206E-2</v>
      </c>
      <c r="W32" s="11">
        <f t="shared" si="19"/>
        <v>4.7805143462282505E-2</v>
      </c>
      <c r="X32" s="11">
        <f t="shared" si="20"/>
        <v>0.19671910746582749</v>
      </c>
      <c r="Y32" s="11">
        <f t="shared" si="21"/>
        <v>0.19671910746582749</v>
      </c>
      <c r="Z32" s="11">
        <f t="shared" si="22"/>
        <v>0.16230578808293705</v>
      </c>
      <c r="AA32" s="11">
        <f t="shared" si="23"/>
        <v>9.7378818386148203E-2</v>
      </c>
      <c r="AB32" s="11">
        <f t="shared" si="24"/>
        <v>6.8026536520643652E-2</v>
      </c>
      <c r="AE32" s="59">
        <f t="shared" si="25"/>
        <v>1.3237642205815702E-2</v>
      </c>
      <c r="AF32" s="61">
        <f t="shared" si="26"/>
        <v>2.8359179466291348E-3</v>
      </c>
      <c r="AG32" s="109">
        <f t="shared" si="46"/>
        <v>0</v>
      </c>
      <c r="AH32" s="59">
        <f t="shared" si="27"/>
        <v>1.2459900463518248E-2</v>
      </c>
      <c r="AI32" s="61">
        <f t="shared" si="28"/>
        <v>2.7508270017534593E-3</v>
      </c>
      <c r="AJ32" s="109">
        <f t="shared" si="28"/>
        <v>0</v>
      </c>
      <c r="AK32" s="59">
        <f t="shared" si="29"/>
        <v>7.5709370873045662E-3</v>
      </c>
      <c r="AL32" s="57">
        <f t="shared" si="30"/>
        <v>1.8522531094211297E-2</v>
      </c>
      <c r="AM32" s="99">
        <f t="shared" si="31"/>
        <v>3.6498975103065621E-2</v>
      </c>
      <c r="AN32" s="99">
        <f t="shared" si="32"/>
        <v>3.6498975103065621E-2</v>
      </c>
      <c r="AO32" s="99">
        <f t="shared" si="33"/>
        <v>2.5549282572145934E-2</v>
      </c>
      <c r="AP32" s="59">
        <f t="shared" si="34"/>
        <v>1.0880866951912359E-2</v>
      </c>
      <c r="AQ32" s="57">
        <f t="shared" si="35"/>
        <v>1.8522531094211297E-2</v>
      </c>
      <c r="AR32" s="61">
        <f t="shared" si="36"/>
        <v>1.5807714403780432E-3</v>
      </c>
      <c r="AS32" s="59">
        <f t="shared" si="37"/>
        <v>1.2459900463518248E-2</v>
      </c>
      <c r="AT32" s="57">
        <f t="shared" si="38"/>
        <v>7.6041351708539626E-3</v>
      </c>
      <c r="AU32" s="61">
        <f t="shared" si="39"/>
        <v>1.5807714403780432E-3</v>
      </c>
      <c r="AW32">
        <f t="shared" si="47"/>
        <v>22</v>
      </c>
      <c r="AX32" s="11">
        <f t="shared" si="48"/>
        <v>1.6073560152444835E-2</v>
      </c>
      <c r="AY32" s="11">
        <f t="shared" si="49"/>
        <v>1.5210727465271707E-2</v>
      </c>
      <c r="AZ32" s="11">
        <f t="shared" si="40"/>
        <v>6.2592443284581481E-2</v>
      </c>
      <c r="BA32" s="11">
        <f t="shared" si="41"/>
        <v>6.2592443284581481E-2</v>
      </c>
      <c r="BB32" s="11">
        <f t="shared" si="42"/>
        <v>5.1642750753661801E-2</v>
      </c>
      <c r="BC32" s="11">
        <f t="shared" si="43"/>
        <v>3.0984169486501702E-2</v>
      </c>
      <c r="BD32" s="11">
        <f t="shared" si="44"/>
        <v>2.1644807074750253E-2</v>
      </c>
    </row>
    <row r="33" spans="1:56" x14ac:dyDescent="0.25">
      <c r="A33">
        <v>23</v>
      </c>
      <c r="B33">
        <f>MAX(A33-Settings!$Y$3*voltijdfranchise/1000, 0)</f>
        <v>8</v>
      </c>
      <c r="C33" s="59">
        <f t="shared" si="45"/>
        <v>4.1604018361135066E-2</v>
      </c>
      <c r="D33" s="61">
        <f t="shared" si="45"/>
        <v>8.9128849751201385E-3</v>
      </c>
      <c r="E33" s="109">
        <f t="shared" si="45"/>
        <v>0</v>
      </c>
      <c r="F33" s="59">
        <f t="shared" si="45"/>
        <v>3.9159687171057347E-2</v>
      </c>
      <c r="G33" s="61">
        <f t="shared" si="45"/>
        <v>8.6454562912251579E-3</v>
      </c>
      <c r="H33" s="109">
        <f t="shared" si="45"/>
        <v>0</v>
      </c>
      <c r="I33" s="59">
        <f t="shared" si="45"/>
        <v>2.3794373702957207E-2</v>
      </c>
      <c r="J33" s="57">
        <f t="shared" si="50"/>
        <v>5.325227689585748E-2</v>
      </c>
      <c r="K33" s="99">
        <f t="shared" si="50"/>
        <v>0.10493455342131366</v>
      </c>
      <c r="L33" s="99">
        <f t="shared" si="50"/>
        <v>0.10493455342131366</v>
      </c>
      <c r="M33" s="99">
        <f t="shared" si="50"/>
        <v>7.345418739491956E-2</v>
      </c>
      <c r="N33" s="59">
        <f t="shared" si="45"/>
        <v>3.4197010420295985E-2</v>
      </c>
      <c r="O33" s="57">
        <f t="shared" si="15"/>
        <v>5.325227689585748E-2</v>
      </c>
      <c r="P33" s="61">
        <f t="shared" si="45"/>
        <v>4.968138812616707E-3</v>
      </c>
      <c r="Q33" s="59">
        <f t="shared" si="45"/>
        <v>3.9159687171057347E-2</v>
      </c>
      <c r="R33" s="57">
        <f t="shared" si="16"/>
        <v>2.1861888616205145E-2</v>
      </c>
      <c r="S33" s="61">
        <f t="shared" si="45"/>
        <v>4.968138812616707E-3</v>
      </c>
      <c r="U33" s="18">
        <f t="shared" si="17"/>
        <v>23</v>
      </c>
      <c r="V33" s="11">
        <f t="shared" si="18"/>
        <v>5.0516903336255206E-2</v>
      </c>
      <c r="W33" s="11">
        <f t="shared" si="19"/>
        <v>4.7805143462282505E-2</v>
      </c>
      <c r="X33" s="11">
        <f t="shared" si="20"/>
        <v>0.18198120402012835</v>
      </c>
      <c r="Y33" s="11">
        <f t="shared" si="21"/>
        <v>0.18198120402012835</v>
      </c>
      <c r="Z33" s="11">
        <f t="shared" si="22"/>
        <v>0.15050083799373426</v>
      </c>
      <c r="AA33" s="11">
        <f t="shared" si="23"/>
        <v>9.2417426128770172E-2</v>
      </c>
      <c r="AB33" s="11">
        <f t="shared" si="24"/>
        <v>6.5989714599879207E-2</v>
      </c>
      <c r="AE33" s="59">
        <f t="shared" si="25"/>
        <v>1.4470962908220893E-2</v>
      </c>
      <c r="AF33" s="61">
        <f t="shared" si="26"/>
        <v>3.1001339043896133E-3</v>
      </c>
      <c r="AG33" s="109">
        <f t="shared" si="46"/>
        <v>0</v>
      </c>
      <c r="AH33" s="59">
        <f t="shared" si="27"/>
        <v>1.3620760755150382E-2</v>
      </c>
      <c r="AI33" s="61">
        <f t="shared" si="28"/>
        <v>3.0071152317304897E-3</v>
      </c>
      <c r="AJ33" s="109">
        <f t="shared" si="28"/>
        <v>0</v>
      </c>
      <c r="AK33" s="59">
        <f t="shared" si="29"/>
        <v>8.2763038966807683E-3</v>
      </c>
      <c r="AL33" s="57">
        <f t="shared" si="30"/>
        <v>1.8522531094211297E-2</v>
      </c>
      <c r="AM33" s="99">
        <f t="shared" si="31"/>
        <v>3.6498975103065621E-2</v>
      </c>
      <c r="AN33" s="99">
        <f t="shared" si="32"/>
        <v>3.6498975103065621E-2</v>
      </c>
      <c r="AO33" s="99">
        <f t="shared" si="33"/>
        <v>2.5549282572145934E-2</v>
      </c>
      <c r="AP33" s="59">
        <f t="shared" si="34"/>
        <v>1.1894612320102952E-2</v>
      </c>
      <c r="AQ33" s="57">
        <f t="shared" si="35"/>
        <v>1.8522531094211297E-2</v>
      </c>
      <c r="AR33" s="61">
        <f t="shared" si="36"/>
        <v>1.7280482826492894E-3</v>
      </c>
      <c r="AS33" s="59">
        <f t="shared" si="37"/>
        <v>1.3620760755150382E-2</v>
      </c>
      <c r="AT33" s="57">
        <f t="shared" si="38"/>
        <v>7.6041351708539626E-3</v>
      </c>
      <c r="AU33" s="61">
        <f t="shared" si="39"/>
        <v>1.7280482826492894E-3</v>
      </c>
      <c r="AW33">
        <f t="shared" si="47"/>
        <v>23</v>
      </c>
      <c r="AX33" s="11">
        <f t="shared" si="48"/>
        <v>1.7571096812610508E-2</v>
      </c>
      <c r="AY33" s="11">
        <f t="shared" si="49"/>
        <v>1.6627875986880872E-2</v>
      </c>
      <c r="AZ33" s="11">
        <f t="shared" si="40"/>
        <v>6.3297810093957685E-2</v>
      </c>
      <c r="BA33" s="11">
        <f t="shared" si="41"/>
        <v>6.3297810093957685E-2</v>
      </c>
      <c r="BB33" s="11">
        <f t="shared" si="42"/>
        <v>5.2348117563037998E-2</v>
      </c>
      <c r="BC33" s="11">
        <f t="shared" si="43"/>
        <v>3.2145191696963539E-2</v>
      </c>
      <c r="BD33" s="11">
        <f t="shared" si="44"/>
        <v>2.2952944208653632E-2</v>
      </c>
    </row>
    <row r="34" spans="1:56" x14ac:dyDescent="0.25">
      <c r="A34">
        <v>24</v>
      </c>
      <c r="B34">
        <f>MAX(A34-Settings!$Y$3*voltijdfranchise/1000, 0)</f>
        <v>9</v>
      </c>
      <c r="C34" s="59">
        <f t="shared" si="45"/>
        <v>4.1604018361135066E-2</v>
      </c>
      <c r="D34" s="61">
        <f t="shared" si="45"/>
        <v>8.9128849751201385E-3</v>
      </c>
      <c r="E34" s="109">
        <f t="shared" si="45"/>
        <v>0</v>
      </c>
      <c r="F34" s="59">
        <f t="shared" si="45"/>
        <v>3.9159687171057347E-2</v>
      </c>
      <c r="G34" s="61">
        <f t="shared" si="45"/>
        <v>8.6454562912251579E-3</v>
      </c>
      <c r="H34" s="109">
        <f t="shared" si="45"/>
        <v>0</v>
      </c>
      <c r="I34" s="59">
        <f t="shared" si="45"/>
        <v>2.3794373702957207E-2</v>
      </c>
      <c r="J34" s="57">
        <f t="shared" si="50"/>
        <v>4.9393416251230123E-2</v>
      </c>
      <c r="K34" s="99">
        <f t="shared" si="50"/>
        <v>9.7330600274841653E-2</v>
      </c>
      <c r="L34" s="99">
        <f t="shared" si="50"/>
        <v>9.7330600274841653E-2</v>
      </c>
      <c r="M34" s="99">
        <f t="shared" si="50"/>
        <v>6.8131420192389158E-2</v>
      </c>
      <c r="N34" s="59">
        <f t="shared" si="45"/>
        <v>3.4197010420295985E-2</v>
      </c>
      <c r="O34" s="57">
        <f t="shared" si="15"/>
        <v>4.9393416251230123E-2</v>
      </c>
      <c r="P34" s="61">
        <f t="shared" si="45"/>
        <v>4.968138812616707E-3</v>
      </c>
      <c r="Q34" s="59">
        <f t="shared" si="45"/>
        <v>3.9159687171057347E-2</v>
      </c>
      <c r="R34" s="57">
        <f t="shared" si="16"/>
        <v>2.0277693788943899E-2</v>
      </c>
      <c r="S34" s="61">
        <f t="shared" si="45"/>
        <v>4.968138812616707E-3</v>
      </c>
      <c r="U34" s="18">
        <f t="shared" si="17"/>
        <v>24</v>
      </c>
      <c r="V34" s="11">
        <f t="shared" si="18"/>
        <v>5.0516903336255206E-2</v>
      </c>
      <c r="W34" s="11">
        <f t="shared" si="19"/>
        <v>4.7805143462282505E-2</v>
      </c>
      <c r="X34" s="11">
        <f t="shared" si="20"/>
        <v>0.17051839022902898</v>
      </c>
      <c r="Y34" s="11">
        <f t="shared" si="21"/>
        <v>0.17051839022902898</v>
      </c>
      <c r="Z34" s="11">
        <f t="shared" si="22"/>
        <v>0.1413192101465765</v>
      </c>
      <c r="AA34" s="11">
        <f t="shared" si="23"/>
        <v>8.8558565484142815E-2</v>
      </c>
      <c r="AB34" s="11">
        <f t="shared" si="24"/>
        <v>6.440551977261795E-2</v>
      </c>
      <c r="AE34" s="59">
        <f t="shared" si="25"/>
        <v>1.5601506885425651E-2</v>
      </c>
      <c r="AF34" s="61">
        <f t="shared" si="26"/>
        <v>3.3423318656700517E-3</v>
      </c>
      <c r="AG34" s="109">
        <f t="shared" si="46"/>
        <v>0</v>
      </c>
      <c r="AH34" s="59">
        <f t="shared" si="27"/>
        <v>1.4684882689146505E-2</v>
      </c>
      <c r="AI34" s="61">
        <f t="shared" si="28"/>
        <v>3.2420461092094338E-3</v>
      </c>
      <c r="AJ34" s="109">
        <f t="shared" si="28"/>
        <v>0</v>
      </c>
      <c r="AK34" s="59">
        <f t="shared" si="29"/>
        <v>8.9228901386089517E-3</v>
      </c>
      <c r="AL34" s="57">
        <f t="shared" si="30"/>
        <v>1.8522531094211297E-2</v>
      </c>
      <c r="AM34" s="99">
        <f t="shared" si="31"/>
        <v>3.6498975103065621E-2</v>
      </c>
      <c r="AN34" s="99">
        <f t="shared" si="32"/>
        <v>3.6498975103065621E-2</v>
      </c>
      <c r="AO34" s="99">
        <f t="shared" si="33"/>
        <v>2.5549282572145934E-2</v>
      </c>
      <c r="AP34" s="59">
        <f t="shared" si="34"/>
        <v>1.2823878907610995E-2</v>
      </c>
      <c r="AQ34" s="57">
        <f t="shared" si="35"/>
        <v>1.8522531094211297E-2</v>
      </c>
      <c r="AR34" s="61">
        <f t="shared" si="36"/>
        <v>1.8630520547312651E-3</v>
      </c>
      <c r="AS34" s="59">
        <f t="shared" si="37"/>
        <v>1.4684882689146505E-2</v>
      </c>
      <c r="AT34" s="57">
        <f t="shared" si="38"/>
        <v>7.6041351708539626E-3</v>
      </c>
      <c r="AU34" s="61">
        <f t="shared" si="39"/>
        <v>1.8630520547312651E-3</v>
      </c>
      <c r="AW34">
        <f t="shared" si="47"/>
        <v>24</v>
      </c>
      <c r="AX34" s="11">
        <f t="shared" si="48"/>
        <v>1.8943838751095704E-2</v>
      </c>
      <c r="AY34" s="11">
        <f t="shared" si="49"/>
        <v>1.7926928798355939E-2</v>
      </c>
      <c r="AZ34" s="11">
        <f t="shared" si="40"/>
        <v>6.3944396335885861E-2</v>
      </c>
      <c r="BA34" s="11">
        <f t="shared" si="41"/>
        <v>6.3944396335885861E-2</v>
      </c>
      <c r="BB34" s="11">
        <f t="shared" si="42"/>
        <v>5.2994703804966181E-2</v>
      </c>
      <c r="BC34" s="11">
        <f t="shared" si="43"/>
        <v>3.3209462056553556E-2</v>
      </c>
      <c r="BD34" s="11">
        <f t="shared" si="44"/>
        <v>2.4152069914731733E-2</v>
      </c>
    </row>
    <row r="35" spans="1:56" x14ac:dyDescent="0.25">
      <c r="A35">
        <v>25</v>
      </c>
      <c r="B35">
        <f>MAX(A35-Settings!$Y$3*voltijdfranchise/1000, 0)</f>
        <v>10</v>
      </c>
      <c r="C35" s="59">
        <f t="shared" si="45"/>
        <v>4.1604018361135066E-2</v>
      </c>
      <c r="D35" s="61">
        <f t="shared" si="45"/>
        <v>8.9128849751201385E-3</v>
      </c>
      <c r="E35" s="109">
        <f t="shared" si="45"/>
        <v>0</v>
      </c>
      <c r="F35" s="59">
        <f t="shared" si="45"/>
        <v>3.9159687171057347E-2</v>
      </c>
      <c r="G35" s="61">
        <f t="shared" si="45"/>
        <v>8.6454562912251579E-3</v>
      </c>
      <c r="H35" s="109">
        <f t="shared" si="45"/>
        <v>0</v>
      </c>
      <c r="I35" s="59">
        <f t="shared" si="45"/>
        <v>2.3794373702957207E-2</v>
      </c>
      <c r="J35" s="57">
        <f t="shared" si="50"/>
        <v>4.6306327735528244E-2</v>
      </c>
      <c r="K35" s="99">
        <f t="shared" si="50"/>
        <v>9.1247437757664057E-2</v>
      </c>
      <c r="L35" s="99">
        <f t="shared" si="50"/>
        <v>9.1247437757664057E-2</v>
      </c>
      <c r="M35" s="99">
        <f t="shared" si="50"/>
        <v>6.3873206430364843E-2</v>
      </c>
      <c r="N35" s="59">
        <f t="shared" si="45"/>
        <v>3.4197010420295985E-2</v>
      </c>
      <c r="O35" s="57">
        <f t="shared" si="15"/>
        <v>4.6306327735528244E-2</v>
      </c>
      <c r="P35" s="61">
        <f t="shared" si="45"/>
        <v>4.968138812616707E-3</v>
      </c>
      <c r="Q35" s="59">
        <f t="shared" si="45"/>
        <v>3.9159687171057347E-2</v>
      </c>
      <c r="R35" s="57">
        <f t="shared" si="16"/>
        <v>1.9010337927134906E-2</v>
      </c>
      <c r="S35" s="61">
        <f t="shared" si="45"/>
        <v>4.968138812616707E-3</v>
      </c>
      <c r="U35" s="18">
        <f t="shared" si="17"/>
        <v>25</v>
      </c>
      <c r="V35" s="11">
        <f t="shared" si="18"/>
        <v>5.0516903336255206E-2</v>
      </c>
      <c r="W35" s="11">
        <f t="shared" si="19"/>
        <v>4.7805143462282505E-2</v>
      </c>
      <c r="X35" s="11">
        <f t="shared" si="20"/>
        <v>0.16134813919614951</v>
      </c>
      <c r="Y35" s="11">
        <f t="shared" si="21"/>
        <v>0.16134813919614951</v>
      </c>
      <c r="Z35" s="11">
        <f t="shared" si="22"/>
        <v>0.1339739078688503</v>
      </c>
      <c r="AA35" s="11">
        <f t="shared" si="23"/>
        <v>8.5471476968440929E-2</v>
      </c>
      <c r="AB35" s="11">
        <f t="shared" si="24"/>
        <v>6.3138163910808953E-2</v>
      </c>
      <c r="AE35" s="59">
        <f t="shared" si="25"/>
        <v>1.6641607344454027E-2</v>
      </c>
      <c r="AF35" s="61">
        <f t="shared" si="26"/>
        <v>3.5651539900480554E-3</v>
      </c>
      <c r="AG35" s="109">
        <f t="shared" si="46"/>
        <v>0</v>
      </c>
      <c r="AH35" s="59">
        <f t="shared" si="27"/>
        <v>1.5663874868422939E-2</v>
      </c>
      <c r="AI35" s="61">
        <f t="shared" si="28"/>
        <v>3.4581825164900631E-3</v>
      </c>
      <c r="AJ35" s="109">
        <f t="shared" si="28"/>
        <v>0</v>
      </c>
      <c r="AK35" s="59">
        <f t="shared" si="29"/>
        <v>9.5177494811828824E-3</v>
      </c>
      <c r="AL35" s="57">
        <f t="shared" si="30"/>
        <v>1.8522531094211297E-2</v>
      </c>
      <c r="AM35" s="99">
        <f t="shared" si="31"/>
        <v>3.6498975103065621E-2</v>
      </c>
      <c r="AN35" s="99">
        <f t="shared" si="32"/>
        <v>3.6498975103065621E-2</v>
      </c>
      <c r="AO35" s="99">
        <f t="shared" si="33"/>
        <v>2.5549282572145934E-2</v>
      </c>
      <c r="AP35" s="59">
        <f t="shared" si="34"/>
        <v>1.3678804168118395E-2</v>
      </c>
      <c r="AQ35" s="57">
        <f t="shared" si="35"/>
        <v>1.8522531094211297E-2</v>
      </c>
      <c r="AR35" s="61">
        <f t="shared" si="36"/>
        <v>1.9872555250466826E-3</v>
      </c>
      <c r="AS35" s="59">
        <f t="shared" si="37"/>
        <v>1.5663874868422939E-2</v>
      </c>
      <c r="AT35" s="57">
        <f t="shared" si="38"/>
        <v>7.6041351708539626E-3</v>
      </c>
      <c r="AU35" s="61">
        <f t="shared" si="39"/>
        <v>1.9872555250466826E-3</v>
      </c>
      <c r="AW35">
        <f t="shared" si="47"/>
        <v>25</v>
      </c>
      <c r="AX35" s="11">
        <f t="shared" si="48"/>
        <v>2.0206761334502082E-2</v>
      </c>
      <c r="AY35" s="11">
        <f t="shared" si="49"/>
        <v>1.9122057384913002E-2</v>
      </c>
      <c r="AZ35" s="11">
        <f t="shared" si="40"/>
        <v>6.4539255678459806E-2</v>
      </c>
      <c r="BA35" s="11">
        <f t="shared" si="41"/>
        <v>6.4539255678459806E-2</v>
      </c>
      <c r="BB35" s="11">
        <f t="shared" si="42"/>
        <v>5.3589563147540112E-2</v>
      </c>
      <c r="BC35" s="11">
        <f t="shared" si="43"/>
        <v>3.418859078737637E-2</v>
      </c>
      <c r="BD35" s="11">
        <f t="shared" si="44"/>
        <v>2.5255265564323583E-2</v>
      </c>
    </row>
    <row r="36" spans="1:56" x14ac:dyDescent="0.25">
      <c r="A36">
        <v>26</v>
      </c>
      <c r="B36">
        <f>MAX(A36-Settings!$Y$3*voltijdfranchise/1000, 0)</f>
        <v>11</v>
      </c>
      <c r="C36" s="59">
        <f t="shared" si="45"/>
        <v>4.1604018361135066E-2</v>
      </c>
      <c r="D36" s="61">
        <f t="shared" si="45"/>
        <v>8.9128849751201385E-3</v>
      </c>
      <c r="E36" s="109">
        <f t="shared" si="45"/>
        <v>0</v>
      </c>
      <c r="F36" s="59">
        <f t="shared" si="45"/>
        <v>3.9159687171057347E-2</v>
      </c>
      <c r="G36" s="61">
        <f t="shared" si="45"/>
        <v>8.6454562912251579E-3</v>
      </c>
      <c r="H36" s="109">
        <f t="shared" si="45"/>
        <v>0</v>
      </c>
      <c r="I36" s="59">
        <f t="shared" si="45"/>
        <v>2.3794373702957207E-2</v>
      </c>
      <c r="J36" s="57">
        <f t="shared" si="50"/>
        <v>4.3780528040863069E-2</v>
      </c>
      <c r="K36" s="99">
        <f t="shared" si="50"/>
        <v>8.6270304789064195E-2</v>
      </c>
      <c r="L36" s="99">
        <f t="shared" si="50"/>
        <v>8.6270304789064195E-2</v>
      </c>
      <c r="M36" s="99">
        <f t="shared" si="50"/>
        <v>6.0389213352344935E-2</v>
      </c>
      <c r="N36" s="59">
        <f t="shared" si="45"/>
        <v>3.4197010420295985E-2</v>
      </c>
      <c r="O36" s="57">
        <f t="shared" si="15"/>
        <v>4.3780528040863069E-2</v>
      </c>
      <c r="P36" s="61">
        <f t="shared" si="45"/>
        <v>4.968138812616707E-3</v>
      </c>
      <c r="Q36" s="59">
        <f t="shared" si="45"/>
        <v>3.9159687171057347E-2</v>
      </c>
      <c r="R36" s="57">
        <f t="shared" si="16"/>
        <v>1.797341040383664E-2</v>
      </c>
      <c r="S36" s="61">
        <f t="shared" si="45"/>
        <v>4.968138812616707E-3</v>
      </c>
      <c r="U36" s="18">
        <f t="shared" si="17"/>
        <v>26</v>
      </c>
      <c r="V36" s="11">
        <f t="shared" si="18"/>
        <v>5.0516903336255206E-2</v>
      </c>
      <c r="W36" s="11">
        <f t="shared" si="19"/>
        <v>4.7805143462282505E-2</v>
      </c>
      <c r="X36" s="11">
        <f t="shared" si="20"/>
        <v>0.15384520653288447</v>
      </c>
      <c r="Y36" s="11">
        <f t="shared" si="21"/>
        <v>0.15384520653288447</v>
      </c>
      <c r="Z36" s="11">
        <f t="shared" si="22"/>
        <v>0.1279641150961652</v>
      </c>
      <c r="AA36" s="11">
        <f t="shared" si="23"/>
        <v>8.2945677273775761E-2</v>
      </c>
      <c r="AB36" s="11">
        <f t="shared" si="24"/>
        <v>6.2101236387510694E-2</v>
      </c>
      <c r="AE36" s="59">
        <f t="shared" si="25"/>
        <v>1.7601700075864837E-2</v>
      </c>
      <c r="AF36" s="61">
        <f t="shared" si="26"/>
        <v>3.7708359510123662E-3</v>
      </c>
      <c r="AG36" s="109">
        <f t="shared" si="46"/>
        <v>0</v>
      </c>
      <c r="AH36" s="59">
        <f t="shared" si="27"/>
        <v>1.6567559956985802E-2</v>
      </c>
      <c r="AI36" s="61">
        <f t="shared" si="28"/>
        <v>3.6576930462875672E-3</v>
      </c>
      <c r="AJ36" s="109">
        <f t="shared" si="28"/>
        <v>0</v>
      </c>
      <c r="AK36" s="59">
        <f t="shared" si="29"/>
        <v>1.0066850412789588E-2</v>
      </c>
      <c r="AL36" s="57">
        <f t="shared" si="30"/>
        <v>1.8522531094211297E-2</v>
      </c>
      <c r="AM36" s="99">
        <f t="shared" si="31"/>
        <v>3.6498975103065621E-2</v>
      </c>
      <c r="AN36" s="99">
        <f t="shared" si="32"/>
        <v>3.6498975103065621E-2</v>
      </c>
      <c r="AO36" s="99">
        <f t="shared" si="33"/>
        <v>2.5549282572145934E-2</v>
      </c>
      <c r="AP36" s="59">
        <f t="shared" si="34"/>
        <v>1.4467965947048302E-2</v>
      </c>
      <c r="AQ36" s="57">
        <f t="shared" si="35"/>
        <v>1.8522531094211297E-2</v>
      </c>
      <c r="AR36" s="61">
        <f t="shared" si="36"/>
        <v>2.1019048822609144E-3</v>
      </c>
      <c r="AS36" s="59">
        <f t="shared" si="37"/>
        <v>1.6567559956985802E-2</v>
      </c>
      <c r="AT36" s="57">
        <f t="shared" si="38"/>
        <v>7.6041351708539626E-3</v>
      </c>
      <c r="AU36" s="61">
        <f t="shared" si="39"/>
        <v>2.1019048822609144E-3</v>
      </c>
      <c r="AW36">
        <f t="shared" si="47"/>
        <v>26</v>
      </c>
      <c r="AX36" s="11">
        <f t="shared" si="48"/>
        <v>2.1372536026877203E-2</v>
      </c>
      <c r="AY36" s="11">
        <f t="shared" si="49"/>
        <v>2.022525300327337E-2</v>
      </c>
      <c r="AZ36" s="11">
        <f t="shared" si="40"/>
        <v>6.5088356610066511E-2</v>
      </c>
      <c r="BA36" s="11">
        <f t="shared" si="41"/>
        <v>6.5088356610066511E-2</v>
      </c>
      <c r="BB36" s="11">
        <f t="shared" si="42"/>
        <v>5.4138664079146817E-2</v>
      </c>
      <c r="BC36" s="11">
        <f t="shared" si="43"/>
        <v>3.5092401923520512E-2</v>
      </c>
      <c r="BD36" s="11">
        <f t="shared" si="44"/>
        <v>2.6273600010100682E-2</v>
      </c>
    </row>
    <row r="37" spans="1:56" x14ac:dyDescent="0.25">
      <c r="A37">
        <v>27</v>
      </c>
      <c r="B37">
        <f>MAX(A37-Settings!$Y$3*voltijdfranchise/1000, 0)</f>
        <v>12</v>
      </c>
      <c r="C37" s="59">
        <f t="shared" si="45"/>
        <v>4.1604018361135066E-2</v>
      </c>
      <c r="D37" s="61">
        <f t="shared" si="45"/>
        <v>8.9128849751201385E-3</v>
      </c>
      <c r="E37" s="109">
        <f t="shared" si="45"/>
        <v>0</v>
      </c>
      <c r="F37" s="59">
        <f t="shared" si="45"/>
        <v>3.9159687171057347E-2</v>
      </c>
      <c r="G37" s="61">
        <f t="shared" si="45"/>
        <v>8.6454562912251579E-3</v>
      </c>
      <c r="H37" s="109">
        <f t="shared" si="45"/>
        <v>0</v>
      </c>
      <c r="I37" s="59">
        <f t="shared" si="45"/>
        <v>2.3794373702957207E-2</v>
      </c>
      <c r="J37" s="57">
        <f t="shared" si="50"/>
        <v>4.1675694961975422E-2</v>
      </c>
      <c r="K37" s="99">
        <f t="shared" si="50"/>
        <v>8.2122693981897657E-2</v>
      </c>
      <c r="L37" s="99">
        <f t="shared" si="50"/>
        <v>8.2122693981897657E-2</v>
      </c>
      <c r="M37" s="99">
        <f t="shared" si="50"/>
        <v>5.7485885787328356E-2</v>
      </c>
      <c r="N37" s="59">
        <f t="shared" si="45"/>
        <v>3.4197010420295985E-2</v>
      </c>
      <c r="O37" s="57">
        <f t="shared" si="15"/>
        <v>4.1675694961975422E-2</v>
      </c>
      <c r="P37" s="61">
        <f t="shared" si="45"/>
        <v>4.968138812616707E-3</v>
      </c>
      <c r="Q37" s="59">
        <f t="shared" si="45"/>
        <v>3.9159687171057347E-2</v>
      </c>
      <c r="R37" s="57">
        <f t="shared" si="16"/>
        <v>1.7109304134421417E-2</v>
      </c>
      <c r="S37" s="61">
        <f t="shared" si="45"/>
        <v>4.968138812616707E-3</v>
      </c>
      <c r="U37" s="18">
        <f t="shared" si="17"/>
        <v>27</v>
      </c>
      <c r="V37" s="11">
        <f t="shared" si="18"/>
        <v>5.0516903336255206E-2</v>
      </c>
      <c r="W37" s="11">
        <f t="shared" si="19"/>
        <v>4.7805143462282505E-2</v>
      </c>
      <c r="X37" s="11">
        <f t="shared" si="20"/>
        <v>0.1475927626468303</v>
      </c>
      <c r="Y37" s="11">
        <f t="shared" si="21"/>
        <v>0.1475927626468303</v>
      </c>
      <c r="Z37" s="11">
        <f t="shared" si="22"/>
        <v>0.12295595445226098</v>
      </c>
      <c r="AA37" s="11">
        <f t="shared" si="23"/>
        <v>8.0840844194888115E-2</v>
      </c>
      <c r="AB37" s="11">
        <f t="shared" si="24"/>
        <v>6.1237130118095472E-2</v>
      </c>
      <c r="AE37" s="59">
        <f t="shared" si="25"/>
        <v>1.8490674827171143E-2</v>
      </c>
      <c r="AF37" s="61">
        <f t="shared" si="26"/>
        <v>3.961282211164506E-3</v>
      </c>
      <c r="AG37" s="109">
        <f t="shared" si="46"/>
        <v>0</v>
      </c>
      <c r="AH37" s="59">
        <f t="shared" si="27"/>
        <v>1.740430540935882E-2</v>
      </c>
      <c r="AI37" s="61">
        <f t="shared" si="28"/>
        <v>3.8424250183222925E-3</v>
      </c>
      <c r="AJ37" s="109">
        <f t="shared" si="28"/>
        <v>0</v>
      </c>
      <c r="AK37" s="59">
        <f t="shared" si="29"/>
        <v>1.0575277201314315E-2</v>
      </c>
      <c r="AL37" s="57">
        <f t="shared" si="30"/>
        <v>1.8522531094211297E-2</v>
      </c>
      <c r="AM37" s="99">
        <f t="shared" si="31"/>
        <v>3.6498975103065621E-2</v>
      </c>
      <c r="AN37" s="99">
        <f t="shared" si="32"/>
        <v>3.6498975103065621E-2</v>
      </c>
      <c r="AO37" s="99">
        <f t="shared" si="33"/>
        <v>2.5549282572145934E-2</v>
      </c>
      <c r="AP37" s="59">
        <f t="shared" si="34"/>
        <v>1.5198671297909326E-2</v>
      </c>
      <c r="AQ37" s="57">
        <f t="shared" si="35"/>
        <v>1.8522531094211297E-2</v>
      </c>
      <c r="AR37" s="61">
        <f t="shared" si="36"/>
        <v>2.2080616944963141E-3</v>
      </c>
      <c r="AS37" s="59">
        <f t="shared" si="37"/>
        <v>1.740430540935882E-2</v>
      </c>
      <c r="AT37" s="57">
        <f t="shared" si="38"/>
        <v>7.6041351708539626E-3</v>
      </c>
      <c r="AU37" s="61">
        <f t="shared" si="39"/>
        <v>2.2080616944963141E-3</v>
      </c>
      <c r="AW37">
        <f t="shared" si="47"/>
        <v>27</v>
      </c>
      <c r="AX37" s="11">
        <f t="shared" si="48"/>
        <v>2.2451957038335649E-2</v>
      </c>
      <c r="AY37" s="11">
        <f t="shared" si="49"/>
        <v>2.1246730427681111E-2</v>
      </c>
      <c r="AZ37" s="11">
        <f t="shared" si="40"/>
        <v>6.5596783398591235E-2</v>
      </c>
      <c r="BA37" s="11">
        <f t="shared" si="41"/>
        <v>6.5596783398591235E-2</v>
      </c>
      <c r="BB37" s="11">
        <f t="shared" si="42"/>
        <v>5.4647090867671548E-2</v>
      </c>
      <c r="BC37" s="11">
        <f t="shared" si="43"/>
        <v>3.5929264086616931E-2</v>
      </c>
      <c r="BD37" s="11">
        <f t="shared" si="44"/>
        <v>2.7216502274709096E-2</v>
      </c>
    </row>
    <row r="38" spans="1:56" x14ac:dyDescent="0.25">
      <c r="A38">
        <v>28</v>
      </c>
      <c r="B38">
        <f>MAX(A38-Settings!$Y$3*voltijdfranchise/1000, 0)</f>
        <v>13</v>
      </c>
      <c r="C38" s="59">
        <f t="shared" si="45"/>
        <v>4.1604018361135066E-2</v>
      </c>
      <c r="D38" s="61">
        <f t="shared" si="45"/>
        <v>8.9128849751201385E-3</v>
      </c>
      <c r="E38" s="109">
        <f t="shared" si="45"/>
        <v>0</v>
      </c>
      <c r="F38" s="59">
        <f t="shared" si="45"/>
        <v>3.9159687171057347E-2</v>
      </c>
      <c r="G38" s="61">
        <f t="shared" si="45"/>
        <v>8.6454562912251579E-3</v>
      </c>
      <c r="H38" s="109">
        <f t="shared" si="45"/>
        <v>0</v>
      </c>
      <c r="I38" s="59">
        <f t="shared" si="45"/>
        <v>2.3794373702957207E-2</v>
      </c>
      <c r="J38" s="57">
        <f t="shared" si="50"/>
        <v>3.9894682356762794E-2</v>
      </c>
      <c r="K38" s="99">
        <f t="shared" si="50"/>
        <v>7.8613177145064425E-2</v>
      </c>
      <c r="L38" s="99">
        <f t="shared" si="50"/>
        <v>7.8613177145064425E-2</v>
      </c>
      <c r="M38" s="99">
        <f t="shared" si="50"/>
        <v>5.5029224001545092E-2</v>
      </c>
      <c r="N38" s="59">
        <f t="shared" si="45"/>
        <v>3.4197010420295985E-2</v>
      </c>
      <c r="O38" s="57">
        <f t="shared" si="15"/>
        <v>3.9894682356762794E-2</v>
      </c>
      <c r="P38" s="61">
        <f t="shared" si="45"/>
        <v>4.968138812616707E-3</v>
      </c>
      <c r="Q38" s="59">
        <f t="shared" si="45"/>
        <v>3.9159687171057347E-2</v>
      </c>
      <c r="R38" s="57">
        <f t="shared" si="16"/>
        <v>1.6378137291070075E-2</v>
      </c>
      <c r="S38" s="61">
        <f t="shared" si="45"/>
        <v>4.968138812616707E-3</v>
      </c>
      <c r="U38" s="18">
        <f t="shared" si="17"/>
        <v>28</v>
      </c>
      <c r="V38" s="11">
        <f t="shared" si="18"/>
        <v>5.0516903336255206E-2</v>
      </c>
      <c r="W38" s="11">
        <f t="shared" si="19"/>
        <v>4.7805143462282505E-2</v>
      </c>
      <c r="X38" s="11">
        <f t="shared" si="20"/>
        <v>0.14230223320478441</v>
      </c>
      <c r="Y38" s="11">
        <f t="shared" si="21"/>
        <v>0.14230223320478441</v>
      </c>
      <c r="Z38" s="11">
        <f t="shared" si="22"/>
        <v>0.11871828006126509</v>
      </c>
      <c r="AA38" s="11">
        <f t="shared" si="23"/>
        <v>7.9059831589675486E-2</v>
      </c>
      <c r="AB38" s="11">
        <f t="shared" si="24"/>
        <v>6.0505963274744126E-2</v>
      </c>
      <c r="AE38" s="59">
        <f t="shared" si="25"/>
        <v>1.9316151381955565E-2</v>
      </c>
      <c r="AF38" s="61">
        <f t="shared" si="26"/>
        <v>4.1381251670200648E-3</v>
      </c>
      <c r="AG38" s="109">
        <f t="shared" si="46"/>
        <v>0</v>
      </c>
      <c r="AH38" s="59">
        <f t="shared" si="27"/>
        <v>1.8181283329419484E-2</v>
      </c>
      <c r="AI38" s="61">
        <f t="shared" si="28"/>
        <v>4.0139618494973942E-3</v>
      </c>
      <c r="AJ38" s="109">
        <f t="shared" si="28"/>
        <v>0</v>
      </c>
      <c r="AK38" s="59">
        <f t="shared" si="29"/>
        <v>1.1047387790658702E-2</v>
      </c>
      <c r="AL38" s="57">
        <f t="shared" si="30"/>
        <v>1.8522531094211297E-2</v>
      </c>
      <c r="AM38" s="99">
        <f t="shared" si="31"/>
        <v>3.6498975103065621E-2</v>
      </c>
      <c r="AN38" s="99">
        <f t="shared" si="32"/>
        <v>3.6498975103065621E-2</v>
      </c>
      <c r="AO38" s="99">
        <f t="shared" si="33"/>
        <v>2.5549282572145934E-2</v>
      </c>
      <c r="AP38" s="59">
        <f t="shared" si="34"/>
        <v>1.5877183409423134E-2</v>
      </c>
      <c r="AQ38" s="57">
        <f t="shared" si="35"/>
        <v>1.8522531094211297E-2</v>
      </c>
      <c r="AR38" s="61">
        <f t="shared" si="36"/>
        <v>2.3066358772863282E-3</v>
      </c>
      <c r="AS38" s="59">
        <f t="shared" si="37"/>
        <v>1.8181283329419484E-2</v>
      </c>
      <c r="AT38" s="57">
        <f t="shared" si="38"/>
        <v>7.6041351708539626E-3</v>
      </c>
      <c r="AU38" s="61">
        <f t="shared" si="39"/>
        <v>2.3066358772863282E-3</v>
      </c>
      <c r="AW38">
        <f t="shared" si="47"/>
        <v>28</v>
      </c>
      <c r="AX38" s="11">
        <f t="shared" si="48"/>
        <v>2.3454276548975628E-2</v>
      </c>
      <c r="AY38" s="11">
        <f t="shared" si="49"/>
        <v>2.2195245178916877E-2</v>
      </c>
      <c r="AZ38" s="11">
        <f t="shared" si="40"/>
        <v>6.6068893987935612E-2</v>
      </c>
      <c r="BA38" s="11">
        <f t="shared" si="41"/>
        <v>6.6068893987935612E-2</v>
      </c>
      <c r="BB38" s="11">
        <f t="shared" si="42"/>
        <v>5.5119201457015932E-2</v>
      </c>
      <c r="BC38" s="11">
        <f t="shared" si="43"/>
        <v>3.6706350380920759E-2</v>
      </c>
      <c r="BD38" s="11">
        <f t="shared" si="44"/>
        <v>2.8092054377559773E-2</v>
      </c>
    </row>
    <row r="39" spans="1:56" x14ac:dyDescent="0.25">
      <c r="A39">
        <v>29</v>
      </c>
      <c r="B39">
        <f>MAX(A39-Settings!$Y$3*voltijdfranchise/1000, 0)</f>
        <v>14</v>
      </c>
      <c r="C39" s="59">
        <f t="shared" si="45"/>
        <v>4.1604018361135066E-2</v>
      </c>
      <c r="D39" s="61">
        <f t="shared" si="45"/>
        <v>8.9128849751201385E-3</v>
      </c>
      <c r="E39" s="109">
        <f t="shared" si="45"/>
        <v>0</v>
      </c>
      <c r="F39" s="59">
        <f t="shared" si="45"/>
        <v>3.9159687171057347E-2</v>
      </c>
      <c r="G39" s="61">
        <f t="shared" si="45"/>
        <v>8.6454562912251579E-3</v>
      </c>
      <c r="H39" s="109">
        <f t="shared" si="45"/>
        <v>0</v>
      </c>
      <c r="I39" s="59">
        <f t="shared" si="45"/>
        <v>2.3794373702957207E-2</v>
      </c>
      <c r="J39" s="57">
        <f t="shared" si="50"/>
        <v>3.8368100123723395E-2</v>
      </c>
      <c r="K39" s="99">
        <f t="shared" si="50"/>
        <v>7.5605019856350222E-2</v>
      </c>
      <c r="L39" s="99">
        <f t="shared" si="50"/>
        <v>7.5605019856350222E-2</v>
      </c>
      <c r="M39" s="99">
        <f t="shared" si="50"/>
        <v>5.2923513899445149E-2</v>
      </c>
      <c r="N39" s="59">
        <f t="shared" si="45"/>
        <v>3.4197010420295985E-2</v>
      </c>
      <c r="O39" s="57">
        <f t="shared" si="15"/>
        <v>3.8368100123723395E-2</v>
      </c>
      <c r="P39" s="61">
        <f t="shared" si="45"/>
        <v>4.968138812616707E-3</v>
      </c>
      <c r="Q39" s="59">
        <f t="shared" si="45"/>
        <v>3.9159687171057347E-2</v>
      </c>
      <c r="R39" s="57">
        <f t="shared" si="16"/>
        <v>1.5751422853911779E-2</v>
      </c>
      <c r="S39" s="61">
        <f t="shared" si="45"/>
        <v>4.968138812616707E-3</v>
      </c>
      <c r="U39" s="18">
        <f t="shared" si="17"/>
        <v>29</v>
      </c>
      <c r="V39" s="11">
        <f t="shared" si="18"/>
        <v>5.0516903336255206E-2</v>
      </c>
      <c r="W39" s="11">
        <f t="shared" si="19"/>
        <v>4.7805143462282505E-2</v>
      </c>
      <c r="X39" s="11">
        <f t="shared" si="20"/>
        <v>0.13776749368303082</v>
      </c>
      <c r="Y39" s="11">
        <f t="shared" si="21"/>
        <v>0.13776749368303082</v>
      </c>
      <c r="Z39" s="11">
        <f t="shared" si="22"/>
        <v>0.11508598772612574</v>
      </c>
      <c r="AA39" s="11">
        <f t="shared" si="23"/>
        <v>7.753324935663608E-2</v>
      </c>
      <c r="AB39" s="11">
        <f t="shared" si="24"/>
        <v>5.987924883758583E-2</v>
      </c>
      <c r="AE39" s="59">
        <f t="shared" si="25"/>
        <v>2.0084698519168651E-2</v>
      </c>
      <c r="AF39" s="61">
        <f t="shared" si="26"/>
        <v>4.3027720569545494E-3</v>
      </c>
      <c r="AG39" s="109">
        <f t="shared" si="46"/>
        <v>0</v>
      </c>
      <c r="AH39" s="59">
        <f t="shared" si="27"/>
        <v>1.8904676565338032E-2</v>
      </c>
      <c r="AI39" s="61">
        <f t="shared" si="28"/>
        <v>4.1736685543845593E-3</v>
      </c>
      <c r="AJ39" s="109">
        <f t="shared" si="28"/>
        <v>0</v>
      </c>
      <c r="AK39" s="59">
        <f t="shared" si="29"/>
        <v>1.1486939029013824E-2</v>
      </c>
      <c r="AL39" s="57">
        <f t="shared" si="30"/>
        <v>1.8522531094211297E-2</v>
      </c>
      <c r="AM39" s="99">
        <f t="shared" si="31"/>
        <v>3.6498975103065621E-2</v>
      </c>
      <c r="AN39" s="99">
        <f t="shared" si="32"/>
        <v>3.6498975103065621E-2</v>
      </c>
      <c r="AO39" s="99">
        <f t="shared" si="33"/>
        <v>2.5549282572145934E-2</v>
      </c>
      <c r="AP39" s="59">
        <f t="shared" si="34"/>
        <v>1.6508901582211855E-2</v>
      </c>
      <c r="AQ39" s="57">
        <f t="shared" si="35"/>
        <v>1.8522531094211297E-2</v>
      </c>
      <c r="AR39" s="61">
        <f t="shared" si="36"/>
        <v>2.3984118405735826E-3</v>
      </c>
      <c r="AS39" s="59">
        <f t="shared" si="37"/>
        <v>1.8904676565338032E-2</v>
      </c>
      <c r="AT39" s="57">
        <f t="shared" si="38"/>
        <v>7.6041351708539626E-3</v>
      </c>
      <c r="AU39" s="61">
        <f t="shared" si="39"/>
        <v>2.3984118405735826E-3</v>
      </c>
      <c r="AW39">
        <f t="shared" si="47"/>
        <v>29</v>
      </c>
      <c r="AX39" s="11">
        <f t="shared" si="48"/>
        <v>2.4387470576123199E-2</v>
      </c>
      <c r="AY39" s="11">
        <f t="shared" si="49"/>
        <v>2.3078345119722593E-2</v>
      </c>
      <c r="AZ39" s="11">
        <f t="shared" si="40"/>
        <v>6.6508445226290736E-2</v>
      </c>
      <c r="BA39" s="11">
        <f t="shared" si="41"/>
        <v>6.6508445226290736E-2</v>
      </c>
      <c r="BB39" s="11">
        <f t="shared" si="42"/>
        <v>5.5558752695371055E-2</v>
      </c>
      <c r="BC39" s="11">
        <f t="shared" si="43"/>
        <v>3.7429844516996741E-2</v>
      </c>
      <c r="BD39" s="11">
        <f t="shared" si="44"/>
        <v>2.8907223576765579E-2</v>
      </c>
    </row>
    <row r="40" spans="1:56" x14ac:dyDescent="0.25">
      <c r="A40">
        <v>30</v>
      </c>
      <c r="B40">
        <f>MAX(A40-Settings!$Y$3*voltijdfranchise/1000, 0)</f>
        <v>15</v>
      </c>
      <c r="C40" s="59">
        <f t="shared" si="45"/>
        <v>4.1604018361135066E-2</v>
      </c>
      <c r="D40" s="61">
        <f t="shared" si="45"/>
        <v>8.9128849751201385E-3</v>
      </c>
      <c r="E40" s="109">
        <f t="shared" si="45"/>
        <v>0</v>
      </c>
      <c r="F40" s="59">
        <f t="shared" si="45"/>
        <v>3.9159687171057347E-2</v>
      </c>
      <c r="G40" s="61">
        <f t="shared" si="45"/>
        <v>8.6454562912251579E-3</v>
      </c>
      <c r="H40" s="109">
        <f t="shared" si="45"/>
        <v>0</v>
      </c>
      <c r="I40" s="59">
        <f t="shared" si="45"/>
        <v>2.3794373702957207E-2</v>
      </c>
      <c r="J40" s="57">
        <f t="shared" si="50"/>
        <v>3.7045062188422594E-2</v>
      </c>
      <c r="K40" s="99">
        <f t="shared" si="50"/>
        <v>7.2997950206131243E-2</v>
      </c>
      <c r="L40" s="99">
        <f t="shared" si="50"/>
        <v>7.2997950206131243E-2</v>
      </c>
      <c r="M40" s="99">
        <f t="shared" si="50"/>
        <v>5.1098565144291869E-2</v>
      </c>
      <c r="N40" s="59">
        <f t="shared" si="45"/>
        <v>3.4197010420295985E-2</v>
      </c>
      <c r="O40" s="57">
        <f t="shared" si="15"/>
        <v>3.7045062188422594E-2</v>
      </c>
      <c r="P40" s="61">
        <f t="shared" si="45"/>
        <v>4.968138812616707E-3</v>
      </c>
      <c r="Q40" s="59">
        <f t="shared" si="45"/>
        <v>3.9159687171057347E-2</v>
      </c>
      <c r="R40" s="57">
        <f t="shared" si="16"/>
        <v>1.5208270341707925E-2</v>
      </c>
      <c r="S40" s="61">
        <f t="shared" si="45"/>
        <v>4.968138812616707E-3</v>
      </c>
      <c r="U40" s="18">
        <f t="shared" si="17"/>
        <v>30</v>
      </c>
      <c r="V40" s="11">
        <f t="shared" si="18"/>
        <v>5.0516903336255206E-2</v>
      </c>
      <c r="W40" s="11">
        <f t="shared" si="19"/>
        <v>4.7805143462282505E-2</v>
      </c>
      <c r="X40" s="11">
        <f t="shared" si="20"/>
        <v>0.13383738609751106</v>
      </c>
      <c r="Y40" s="11">
        <f t="shared" si="21"/>
        <v>0.13383738609751106</v>
      </c>
      <c r="Z40" s="11">
        <f t="shared" si="22"/>
        <v>0.11193800103567167</v>
      </c>
      <c r="AA40" s="11">
        <f t="shared" si="23"/>
        <v>7.6210211421335286E-2</v>
      </c>
      <c r="AB40" s="11">
        <f t="shared" si="24"/>
        <v>5.9336096325381976E-2</v>
      </c>
      <c r="AE40" s="59">
        <f t="shared" si="25"/>
        <v>2.0802009180567533E-2</v>
      </c>
      <c r="AF40" s="61">
        <f t="shared" si="26"/>
        <v>4.4564424875600693E-3</v>
      </c>
      <c r="AG40" s="109">
        <f t="shared" si="46"/>
        <v>0</v>
      </c>
      <c r="AH40" s="59">
        <f t="shared" si="27"/>
        <v>1.9579843585528674E-2</v>
      </c>
      <c r="AI40" s="61">
        <f t="shared" si="28"/>
        <v>4.3227281456125789E-3</v>
      </c>
      <c r="AJ40" s="109">
        <f t="shared" si="28"/>
        <v>0</v>
      </c>
      <c r="AK40" s="59">
        <f t="shared" si="29"/>
        <v>1.1897186851478603E-2</v>
      </c>
      <c r="AL40" s="57">
        <f t="shared" si="30"/>
        <v>1.8522531094211297E-2</v>
      </c>
      <c r="AM40" s="99">
        <f t="shared" si="31"/>
        <v>3.6498975103065621E-2</v>
      </c>
      <c r="AN40" s="99">
        <f t="shared" si="32"/>
        <v>3.6498975103065621E-2</v>
      </c>
      <c r="AO40" s="99">
        <f t="shared" si="33"/>
        <v>2.5549282572145934E-2</v>
      </c>
      <c r="AP40" s="59">
        <f t="shared" si="34"/>
        <v>1.7098505210147993E-2</v>
      </c>
      <c r="AQ40" s="57">
        <f t="shared" si="35"/>
        <v>1.8522531094211297E-2</v>
      </c>
      <c r="AR40" s="61">
        <f t="shared" si="36"/>
        <v>2.4840694063083535E-3</v>
      </c>
      <c r="AS40" s="59">
        <f t="shared" si="37"/>
        <v>1.9579843585528674E-2</v>
      </c>
      <c r="AT40" s="57">
        <f t="shared" si="38"/>
        <v>7.6041351708539626E-3</v>
      </c>
      <c r="AU40" s="61">
        <f t="shared" si="39"/>
        <v>2.4840694063083535E-3</v>
      </c>
      <c r="AW40">
        <f t="shared" si="47"/>
        <v>30</v>
      </c>
      <c r="AX40" s="11">
        <f t="shared" si="48"/>
        <v>2.5258451668127603E-2</v>
      </c>
      <c r="AY40" s="11">
        <f t="shared" si="49"/>
        <v>2.3902571731141253E-2</v>
      </c>
      <c r="AZ40" s="11">
        <f t="shared" si="40"/>
        <v>6.6918693048755529E-2</v>
      </c>
      <c r="BA40" s="11">
        <f t="shared" si="41"/>
        <v>6.6918693048755529E-2</v>
      </c>
      <c r="BB40" s="11">
        <f t="shared" si="42"/>
        <v>5.5969000517835835E-2</v>
      </c>
      <c r="BC40" s="11">
        <f t="shared" si="43"/>
        <v>3.8105105710667643E-2</v>
      </c>
      <c r="BD40" s="11">
        <f t="shared" si="44"/>
        <v>2.9668048162690988E-2</v>
      </c>
    </row>
    <row r="41" spans="1:56" x14ac:dyDescent="0.25">
      <c r="A41">
        <v>31</v>
      </c>
      <c r="B41">
        <f>MAX(A41-Settings!$Y$3*voltijdfranchise/1000, 0)</f>
        <v>16</v>
      </c>
      <c r="C41" s="59">
        <f t="shared" si="45"/>
        <v>4.1604018361135066E-2</v>
      </c>
      <c r="D41" s="61">
        <f t="shared" si="45"/>
        <v>8.9128849751201385E-3</v>
      </c>
      <c r="E41" s="109">
        <f t="shared" si="45"/>
        <v>0</v>
      </c>
      <c r="F41" s="59">
        <f t="shared" si="45"/>
        <v>3.9159687171057347E-2</v>
      </c>
      <c r="G41" s="61">
        <f t="shared" si="45"/>
        <v>8.6454562912251579E-3</v>
      </c>
      <c r="H41" s="109">
        <f t="shared" si="45"/>
        <v>0</v>
      </c>
      <c r="I41" s="59">
        <f t="shared" si="45"/>
        <v>2.3794373702957207E-2</v>
      </c>
      <c r="J41" s="57">
        <f t="shared" si="50"/>
        <v>3.5887403995034386E-2</v>
      </c>
      <c r="K41" s="99">
        <f t="shared" si="50"/>
        <v>7.0716764262189646E-2</v>
      </c>
      <c r="L41" s="99">
        <f t="shared" si="50"/>
        <v>7.0716764262189646E-2</v>
      </c>
      <c r="M41" s="99">
        <f t="shared" si="50"/>
        <v>4.9501734983532747E-2</v>
      </c>
      <c r="N41" s="59">
        <f t="shared" si="45"/>
        <v>3.4197010420295985E-2</v>
      </c>
      <c r="O41" s="57">
        <f t="shared" si="15"/>
        <v>3.5887403995034386E-2</v>
      </c>
      <c r="P41" s="61">
        <f t="shared" si="45"/>
        <v>4.968138812616707E-3</v>
      </c>
      <c r="Q41" s="59">
        <f t="shared" si="45"/>
        <v>3.9159687171057347E-2</v>
      </c>
      <c r="R41" s="57">
        <f t="shared" si="16"/>
        <v>1.4733011893529553E-2</v>
      </c>
      <c r="S41" s="61">
        <f t="shared" si="45"/>
        <v>4.968138812616707E-3</v>
      </c>
      <c r="U41" s="18">
        <f t="shared" si="17"/>
        <v>31</v>
      </c>
      <c r="V41" s="11">
        <f t="shared" si="18"/>
        <v>5.0516903336255206E-2</v>
      </c>
      <c r="W41" s="11">
        <f t="shared" si="19"/>
        <v>4.7805143462282505E-2</v>
      </c>
      <c r="X41" s="11">
        <f t="shared" si="20"/>
        <v>0.13039854196018125</v>
      </c>
      <c r="Y41" s="11">
        <f t="shared" si="21"/>
        <v>0.13039854196018125</v>
      </c>
      <c r="Z41" s="11">
        <f t="shared" si="22"/>
        <v>0.10918351268152435</v>
      </c>
      <c r="AA41" s="11">
        <f t="shared" si="23"/>
        <v>7.5052553227947072E-2</v>
      </c>
      <c r="AB41" s="11">
        <f t="shared" si="24"/>
        <v>5.8860837877203608E-2</v>
      </c>
      <c r="AE41" s="59">
        <f t="shared" si="25"/>
        <v>2.1473041734779388E-2</v>
      </c>
      <c r="AF41" s="61">
        <f t="shared" si="26"/>
        <v>4.6001986968362005E-3</v>
      </c>
      <c r="AG41" s="109">
        <f t="shared" si="46"/>
        <v>0</v>
      </c>
      <c r="AH41" s="59">
        <f t="shared" si="27"/>
        <v>2.0211451443126374E-2</v>
      </c>
      <c r="AI41" s="61">
        <f t="shared" si="28"/>
        <v>4.4621709890194363E-3</v>
      </c>
      <c r="AJ41" s="109">
        <f t="shared" si="28"/>
        <v>0</v>
      </c>
      <c r="AK41" s="59">
        <f t="shared" si="29"/>
        <v>1.2280967072494042E-2</v>
      </c>
      <c r="AL41" s="57">
        <f t="shared" si="30"/>
        <v>1.8522531094211297E-2</v>
      </c>
      <c r="AM41" s="99">
        <f t="shared" si="31"/>
        <v>3.6498975103065621E-2</v>
      </c>
      <c r="AN41" s="99">
        <f t="shared" si="32"/>
        <v>3.6498975103065621E-2</v>
      </c>
      <c r="AO41" s="99">
        <f t="shared" si="33"/>
        <v>2.5549282572145934E-2</v>
      </c>
      <c r="AP41" s="59">
        <f t="shared" si="34"/>
        <v>1.7650069894346317E-2</v>
      </c>
      <c r="AQ41" s="57">
        <f t="shared" si="35"/>
        <v>1.8522531094211297E-2</v>
      </c>
      <c r="AR41" s="61">
        <f t="shared" si="36"/>
        <v>2.5642006774795906E-3</v>
      </c>
      <c r="AS41" s="59">
        <f t="shared" si="37"/>
        <v>2.0211451443126374E-2</v>
      </c>
      <c r="AT41" s="57">
        <f t="shared" si="38"/>
        <v>7.6041351708539626E-3</v>
      </c>
      <c r="AU41" s="61">
        <f t="shared" si="39"/>
        <v>2.5642006774795906E-3</v>
      </c>
      <c r="AW41">
        <f t="shared" si="47"/>
        <v>31</v>
      </c>
      <c r="AX41" s="11">
        <f t="shared" si="48"/>
        <v>2.6073240431615588E-2</v>
      </c>
      <c r="AY41" s="11">
        <f t="shared" si="49"/>
        <v>2.4673622432145811E-2</v>
      </c>
      <c r="AZ41" s="11">
        <f t="shared" si="40"/>
        <v>6.7302473269770957E-2</v>
      </c>
      <c r="BA41" s="11">
        <f t="shared" si="41"/>
        <v>6.7302473269770957E-2</v>
      </c>
      <c r="BB41" s="11">
        <f t="shared" si="42"/>
        <v>5.6352780738851277E-2</v>
      </c>
      <c r="BC41" s="11">
        <f t="shared" si="43"/>
        <v>3.8736801666037199E-2</v>
      </c>
      <c r="BD41" s="11">
        <f t="shared" si="44"/>
        <v>3.0379787291459924E-2</v>
      </c>
    </row>
    <row r="42" spans="1:56" x14ac:dyDescent="0.25">
      <c r="A42">
        <v>32</v>
      </c>
      <c r="B42">
        <f>MAX(A42-Settings!$Y$3*voltijdfranchise/1000, 0)</f>
        <v>17</v>
      </c>
      <c r="C42" s="59">
        <f t="shared" ref="C42:S58" si="51">C$6</f>
        <v>4.1604018361135066E-2</v>
      </c>
      <c r="D42" s="61">
        <f t="shared" si="51"/>
        <v>8.9128849751201385E-3</v>
      </c>
      <c r="E42" s="109">
        <f t="shared" si="51"/>
        <v>0</v>
      </c>
      <c r="F42" s="59">
        <f t="shared" si="51"/>
        <v>3.9159687171057347E-2</v>
      </c>
      <c r="G42" s="61">
        <f t="shared" si="51"/>
        <v>8.6454562912251579E-3</v>
      </c>
      <c r="H42" s="109">
        <f t="shared" si="51"/>
        <v>0</v>
      </c>
      <c r="I42" s="59">
        <f t="shared" si="51"/>
        <v>2.3794373702957207E-2</v>
      </c>
      <c r="J42" s="57">
        <f t="shared" si="50"/>
        <v>3.4865940883221265E-2</v>
      </c>
      <c r="K42" s="99">
        <f t="shared" si="50"/>
        <v>6.870395313518235E-2</v>
      </c>
      <c r="L42" s="99">
        <f t="shared" si="50"/>
        <v>6.870395313518235E-2</v>
      </c>
      <c r="M42" s="99">
        <f t="shared" si="50"/>
        <v>4.8092767194627642E-2</v>
      </c>
      <c r="N42" s="59">
        <f t="shared" si="51"/>
        <v>3.4197010420295985E-2</v>
      </c>
      <c r="O42" s="57">
        <f t="shared" ref="O42:O73" si="52">O$6*$K$3*($A42/$K$2)/$B42</f>
        <v>3.4865940883221265E-2</v>
      </c>
      <c r="P42" s="61">
        <f t="shared" si="51"/>
        <v>4.968138812616707E-3</v>
      </c>
      <c r="Q42" s="59">
        <f t="shared" si="51"/>
        <v>3.9159687171057347E-2</v>
      </c>
      <c r="R42" s="57">
        <f t="shared" ref="R42:R73" si="53">R$6*$K$3*($A42/$K$2)/$B42</f>
        <v>1.43136662039604E-2</v>
      </c>
      <c r="S42" s="61">
        <f t="shared" si="51"/>
        <v>4.968138812616707E-3</v>
      </c>
      <c r="U42" s="18">
        <f t="shared" si="17"/>
        <v>32</v>
      </c>
      <c r="V42" s="11">
        <f t="shared" si="18"/>
        <v>5.0516903336255206E-2</v>
      </c>
      <c r="W42" s="11">
        <f t="shared" si="19"/>
        <v>4.7805143462282505E-2</v>
      </c>
      <c r="X42" s="11">
        <f t="shared" si="20"/>
        <v>0.12736426772136084</v>
      </c>
      <c r="Y42" s="11">
        <f t="shared" si="21"/>
        <v>0.12736426772136084</v>
      </c>
      <c r="Z42" s="11">
        <f t="shared" si="22"/>
        <v>0.10675308178080611</v>
      </c>
      <c r="AA42" s="11">
        <f t="shared" si="23"/>
        <v>7.4031090116133957E-2</v>
      </c>
      <c r="AB42" s="11">
        <f t="shared" si="24"/>
        <v>5.8441492187634454E-2</v>
      </c>
      <c r="AE42" s="59">
        <f t="shared" si="25"/>
        <v>2.2102134754353003E-2</v>
      </c>
      <c r="AF42" s="61">
        <f t="shared" si="26"/>
        <v>4.7349701430325734E-3</v>
      </c>
      <c r="AG42" s="109">
        <f t="shared" si="46"/>
        <v>0</v>
      </c>
      <c r="AH42" s="59">
        <f t="shared" si="27"/>
        <v>2.0803583809624215E-2</v>
      </c>
      <c r="AI42" s="61">
        <f t="shared" si="28"/>
        <v>4.5928986547133649E-3</v>
      </c>
      <c r="AJ42" s="109">
        <f t="shared" si="28"/>
        <v>0</v>
      </c>
      <c r="AK42" s="59">
        <f t="shared" si="29"/>
        <v>1.2640761029696017E-2</v>
      </c>
      <c r="AL42" s="57">
        <f t="shared" si="30"/>
        <v>1.8522531094211297E-2</v>
      </c>
      <c r="AM42" s="99">
        <f t="shared" si="31"/>
        <v>3.6498975103065621E-2</v>
      </c>
      <c r="AN42" s="99">
        <f t="shared" si="32"/>
        <v>3.6498975103065621E-2</v>
      </c>
      <c r="AO42" s="99">
        <f t="shared" ref="AO42:AO73" si="54">IFERROR(M$6*$K$3/$K$2, NA())</f>
        <v>2.5549282572145934E-2</v>
      </c>
      <c r="AP42" s="59">
        <f t="shared" si="34"/>
        <v>1.8167161785782242E-2</v>
      </c>
      <c r="AQ42" s="57">
        <f t="shared" ref="AQ42:AQ73" si="55">IFERROR(O$6*$K$3/$K$2, NA())</f>
        <v>1.8522531094211297E-2</v>
      </c>
      <c r="AR42" s="61">
        <f t="shared" ref="AR42:AR73" si="56">IFERROR(P42*$B42/$A42,NA())</f>
        <v>2.6393237442026256E-3</v>
      </c>
      <c r="AS42" s="59">
        <f t="shared" ref="AS42:AS73" si="57">IFERROR(Q42*$B42/$A42,NA())</f>
        <v>2.0803583809624215E-2</v>
      </c>
      <c r="AT42" s="57">
        <f t="shared" si="38"/>
        <v>7.6041351708539626E-3</v>
      </c>
      <c r="AU42" s="61">
        <f t="shared" si="39"/>
        <v>2.6393237442026256E-3</v>
      </c>
      <c r="AW42">
        <f t="shared" si="47"/>
        <v>32</v>
      </c>
      <c r="AX42" s="11">
        <f t="shared" si="48"/>
        <v>2.6837104897385576E-2</v>
      </c>
      <c r="AY42" s="11">
        <f t="shared" si="49"/>
        <v>2.539648246433758E-2</v>
      </c>
      <c r="AZ42" s="11">
        <f t="shared" ref="AZ42:AZ73" si="58">$AK42+$AL42+AM42</f>
        <v>6.7662267226972939E-2</v>
      </c>
      <c r="BA42" s="11">
        <f t="shared" ref="BA42:BA73" si="59">$AK42+$AL42+AN42</f>
        <v>6.7662267226972939E-2</v>
      </c>
      <c r="BB42" s="11">
        <f t="shared" ref="BB42:BB73" si="60">$AK42+$AL42+AO42</f>
        <v>5.6712574696053245E-2</v>
      </c>
      <c r="BC42" s="11">
        <f t="shared" si="43"/>
        <v>3.9329016624196161E-2</v>
      </c>
      <c r="BD42" s="11">
        <f t="shared" si="44"/>
        <v>3.1047042724680802E-2</v>
      </c>
    </row>
    <row r="43" spans="1:56" x14ac:dyDescent="0.25">
      <c r="A43">
        <v>33</v>
      </c>
      <c r="B43">
        <f>MAX(A43-Settings!$Y$3*voltijdfranchise/1000, 0)</f>
        <v>18</v>
      </c>
      <c r="C43" s="59">
        <f t="shared" si="51"/>
        <v>4.1604018361135066E-2</v>
      </c>
      <c r="D43" s="61">
        <f t="shared" si="51"/>
        <v>8.9128849751201385E-3</v>
      </c>
      <c r="E43" s="109">
        <f t="shared" si="51"/>
        <v>0</v>
      </c>
      <c r="F43" s="59">
        <f t="shared" si="51"/>
        <v>3.9159687171057347E-2</v>
      </c>
      <c r="G43" s="61">
        <f t="shared" si="51"/>
        <v>8.6454562912251579E-3</v>
      </c>
      <c r="H43" s="109">
        <f t="shared" si="51"/>
        <v>0</v>
      </c>
      <c r="I43" s="59">
        <f t="shared" si="51"/>
        <v>2.3794373702957207E-2</v>
      </c>
      <c r="J43" s="57">
        <f t="shared" si="50"/>
        <v>3.3957973672720715E-2</v>
      </c>
      <c r="K43" s="99">
        <f t="shared" si="50"/>
        <v>6.6914787688953634E-2</v>
      </c>
      <c r="L43" s="99">
        <f t="shared" si="50"/>
        <v>6.6914787688953634E-2</v>
      </c>
      <c r="M43" s="99">
        <f t="shared" si="50"/>
        <v>4.6840351382267546E-2</v>
      </c>
      <c r="N43" s="59">
        <f t="shared" si="51"/>
        <v>3.4197010420295985E-2</v>
      </c>
      <c r="O43" s="57">
        <f t="shared" si="52"/>
        <v>3.3957973672720715E-2</v>
      </c>
      <c r="P43" s="61">
        <f t="shared" si="51"/>
        <v>4.968138812616707E-3</v>
      </c>
      <c r="Q43" s="59">
        <f t="shared" si="51"/>
        <v>3.9159687171057347E-2</v>
      </c>
      <c r="R43" s="57">
        <f t="shared" si="53"/>
        <v>1.3940914479898932E-2</v>
      </c>
      <c r="S43" s="61">
        <f t="shared" si="51"/>
        <v>4.968138812616707E-3</v>
      </c>
      <c r="U43" s="18">
        <f t="shared" si="17"/>
        <v>33</v>
      </c>
      <c r="V43" s="11">
        <f t="shared" si="18"/>
        <v>5.0516903336255206E-2</v>
      </c>
      <c r="W43" s="11">
        <f t="shared" si="19"/>
        <v>4.7805143462282505E-2</v>
      </c>
      <c r="X43" s="11">
        <f t="shared" si="20"/>
        <v>0.12466713506463156</v>
      </c>
      <c r="Y43" s="11">
        <f t="shared" si="21"/>
        <v>0.12466713506463156</v>
      </c>
      <c r="Z43" s="11">
        <f t="shared" si="22"/>
        <v>0.10459269875794547</v>
      </c>
      <c r="AA43" s="11">
        <f t="shared" si="23"/>
        <v>7.3123122905633414E-2</v>
      </c>
      <c r="AB43" s="11">
        <f t="shared" si="24"/>
        <v>5.8068740463572986E-2</v>
      </c>
      <c r="AE43" s="59">
        <f t="shared" si="25"/>
        <v>2.2693100924255492E-2</v>
      </c>
      <c r="AF43" s="61">
        <f t="shared" si="26"/>
        <v>4.8615736227928027E-3</v>
      </c>
      <c r="AG43" s="109">
        <f t="shared" si="46"/>
        <v>0</v>
      </c>
      <c r="AH43" s="59">
        <f t="shared" si="27"/>
        <v>2.1359829366031279E-2</v>
      </c>
      <c r="AI43" s="61">
        <f t="shared" si="28"/>
        <v>4.7157034315773588E-3</v>
      </c>
      <c r="AJ43" s="109">
        <f t="shared" si="28"/>
        <v>0</v>
      </c>
      <c r="AK43" s="59">
        <f t="shared" si="29"/>
        <v>1.2978749292522112E-2</v>
      </c>
      <c r="AL43" s="57">
        <f t="shared" si="30"/>
        <v>1.8522531094211297E-2</v>
      </c>
      <c r="AM43" s="99">
        <f t="shared" si="31"/>
        <v>3.6498975103065621E-2</v>
      </c>
      <c r="AN43" s="99">
        <f t="shared" si="32"/>
        <v>3.6498975103065621E-2</v>
      </c>
      <c r="AO43" s="99">
        <f t="shared" si="54"/>
        <v>2.5549282572145934E-2</v>
      </c>
      <c r="AP43" s="59">
        <f t="shared" si="34"/>
        <v>1.8652914774706902E-2</v>
      </c>
      <c r="AQ43" s="57">
        <f t="shared" si="55"/>
        <v>1.8522531094211297E-2</v>
      </c>
      <c r="AR43" s="61">
        <f t="shared" si="56"/>
        <v>2.7098938977909311E-3</v>
      </c>
      <c r="AS43" s="59">
        <f t="shared" si="57"/>
        <v>2.1359829366031279E-2</v>
      </c>
      <c r="AT43" s="57">
        <f t="shared" si="38"/>
        <v>7.6041351708539626E-3</v>
      </c>
      <c r="AU43" s="61">
        <f t="shared" si="39"/>
        <v>2.7098938977909311E-3</v>
      </c>
      <c r="AW43">
        <f t="shared" si="47"/>
        <v>33</v>
      </c>
      <c r="AX43" s="11">
        <f t="shared" si="48"/>
        <v>2.7554674547048297E-2</v>
      </c>
      <c r="AY43" s="11">
        <f t="shared" si="49"/>
        <v>2.6075532797608637E-2</v>
      </c>
      <c r="AZ43" s="11">
        <f t="shared" si="58"/>
        <v>6.800025548979903E-2</v>
      </c>
      <c r="BA43" s="11">
        <f t="shared" si="59"/>
        <v>6.800025548979903E-2</v>
      </c>
      <c r="BB43" s="11">
        <f t="shared" si="60"/>
        <v>5.7050562958879343E-2</v>
      </c>
      <c r="BC43" s="11">
        <f t="shared" si="43"/>
        <v>3.9885339766709133E-2</v>
      </c>
      <c r="BD43" s="11">
        <f t="shared" si="44"/>
        <v>3.1673858434676169E-2</v>
      </c>
    </row>
    <row r="44" spans="1:56" x14ac:dyDescent="0.25">
      <c r="A44">
        <v>34</v>
      </c>
      <c r="B44">
        <f>MAX(A44-Settings!$Y$3*voltijdfranchise/1000, 0)</f>
        <v>19</v>
      </c>
      <c r="C44" s="59">
        <f t="shared" si="51"/>
        <v>4.1604018361135066E-2</v>
      </c>
      <c r="D44" s="61">
        <f t="shared" si="51"/>
        <v>8.9128849751201385E-3</v>
      </c>
      <c r="E44" s="109">
        <f t="shared" si="51"/>
        <v>0</v>
      </c>
      <c r="F44" s="59">
        <f t="shared" si="51"/>
        <v>3.9159687171057347E-2</v>
      </c>
      <c r="G44" s="61">
        <f t="shared" si="51"/>
        <v>8.6454562912251579E-3</v>
      </c>
      <c r="H44" s="109">
        <f t="shared" si="51"/>
        <v>0</v>
      </c>
      <c r="I44" s="59">
        <f t="shared" si="51"/>
        <v>2.3794373702957207E-2</v>
      </c>
      <c r="J44" s="57">
        <f t="shared" si="50"/>
        <v>3.3145581958062324E-2</v>
      </c>
      <c r="K44" s="99">
        <f t="shared" si="50"/>
        <v>6.531395544759111E-2</v>
      </c>
      <c r="L44" s="99">
        <f t="shared" si="50"/>
        <v>6.531395544759111E-2</v>
      </c>
      <c r="M44" s="99">
        <f t="shared" si="50"/>
        <v>4.5719768813313778E-2</v>
      </c>
      <c r="N44" s="59">
        <f t="shared" si="51"/>
        <v>3.4197010420295985E-2</v>
      </c>
      <c r="O44" s="57">
        <f t="shared" si="52"/>
        <v>3.3145581958062324E-2</v>
      </c>
      <c r="P44" s="61">
        <f t="shared" si="51"/>
        <v>4.968138812616707E-3</v>
      </c>
      <c r="Q44" s="59">
        <f t="shared" si="51"/>
        <v>3.9159687171057347E-2</v>
      </c>
      <c r="R44" s="57">
        <f t="shared" si="53"/>
        <v>1.3607399779422883E-2</v>
      </c>
      <c r="S44" s="61">
        <f t="shared" si="51"/>
        <v>4.968138812616707E-3</v>
      </c>
      <c r="U44" s="18">
        <f t="shared" si="17"/>
        <v>34</v>
      </c>
      <c r="V44" s="11">
        <f t="shared" si="18"/>
        <v>5.0516903336255206E-2</v>
      </c>
      <c r="W44" s="11">
        <f t="shared" si="19"/>
        <v>4.7805143462282505E-2</v>
      </c>
      <c r="X44" s="11">
        <f t="shared" si="20"/>
        <v>0.12225391110861064</v>
      </c>
      <c r="Y44" s="11">
        <f t="shared" si="21"/>
        <v>0.12225391110861064</v>
      </c>
      <c r="Z44" s="11">
        <f t="shared" si="22"/>
        <v>0.1026597244743333</v>
      </c>
      <c r="AA44" s="11">
        <f t="shared" si="23"/>
        <v>7.2310731190975017E-2</v>
      </c>
      <c r="AB44" s="11">
        <f t="shared" si="24"/>
        <v>5.7735225763096934E-2</v>
      </c>
      <c r="AE44" s="59">
        <f t="shared" si="25"/>
        <v>2.324930437828136E-2</v>
      </c>
      <c r="AF44" s="61">
        <f t="shared" si="26"/>
        <v>4.9807298390377244E-3</v>
      </c>
      <c r="AG44" s="109">
        <f t="shared" si="46"/>
        <v>0</v>
      </c>
      <c r="AH44" s="59">
        <f t="shared" si="27"/>
        <v>2.1883354595590869E-2</v>
      </c>
      <c r="AI44" s="61">
        <f t="shared" si="28"/>
        <v>4.8312843980375881E-3</v>
      </c>
      <c r="AJ44" s="109">
        <f t="shared" si="28"/>
        <v>0</v>
      </c>
      <c r="AK44" s="59">
        <f t="shared" si="29"/>
        <v>1.3296855892829028E-2</v>
      </c>
      <c r="AL44" s="57">
        <f t="shared" si="30"/>
        <v>1.8522531094211297E-2</v>
      </c>
      <c r="AM44" s="99">
        <f t="shared" si="31"/>
        <v>3.6498975103065621E-2</v>
      </c>
      <c r="AN44" s="99">
        <f t="shared" si="32"/>
        <v>3.6498975103065621E-2</v>
      </c>
      <c r="AO44" s="99">
        <f t="shared" si="54"/>
        <v>2.5549282572145934E-2</v>
      </c>
      <c r="AP44" s="59">
        <f t="shared" si="34"/>
        <v>1.9110094058400699E-2</v>
      </c>
      <c r="AQ44" s="57">
        <f t="shared" si="55"/>
        <v>1.8522531094211297E-2</v>
      </c>
      <c r="AR44" s="61">
        <f t="shared" si="56"/>
        <v>2.7763128658740421E-3</v>
      </c>
      <c r="AS44" s="59">
        <f t="shared" si="57"/>
        <v>2.1883354595590869E-2</v>
      </c>
      <c r="AT44" s="57">
        <f t="shared" si="38"/>
        <v>7.6041351708539626E-3</v>
      </c>
      <c r="AU44" s="61">
        <f t="shared" si="39"/>
        <v>2.7763128658740421E-3</v>
      </c>
      <c r="AW44">
        <f t="shared" si="47"/>
        <v>34</v>
      </c>
      <c r="AX44" s="11">
        <f t="shared" si="48"/>
        <v>2.8230034217319084E-2</v>
      </c>
      <c r="AY44" s="11">
        <f t="shared" si="49"/>
        <v>2.6714638993628456E-2</v>
      </c>
      <c r="AZ44" s="11">
        <f t="shared" si="58"/>
        <v>6.8318362090105944E-2</v>
      </c>
      <c r="BA44" s="11">
        <f t="shared" si="59"/>
        <v>6.8318362090105944E-2</v>
      </c>
      <c r="BB44" s="11">
        <f t="shared" si="60"/>
        <v>5.7368669559186257E-2</v>
      </c>
      <c r="BC44" s="11">
        <f t="shared" si="43"/>
        <v>4.0408938018486038E-2</v>
      </c>
      <c r="BD44" s="11">
        <f t="shared" si="44"/>
        <v>3.2263802632318872E-2</v>
      </c>
    </row>
    <row r="45" spans="1:56" x14ac:dyDescent="0.25">
      <c r="A45">
        <v>35</v>
      </c>
      <c r="B45">
        <f>MAX(A45-Settings!$Y$3*voltijdfranchise/1000, 0)</f>
        <v>20</v>
      </c>
      <c r="C45" s="59">
        <f t="shared" si="51"/>
        <v>4.1604018361135066E-2</v>
      </c>
      <c r="D45" s="61">
        <f t="shared" si="51"/>
        <v>8.9128849751201385E-3</v>
      </c>
      <c r="E45" s="109">
        <f t="shared" si="51"/>
        <v>0</v>
      </c>
      <c r="F45" s="59">
        <f t="shared" si="51"/>
        <v>3.9159687171057347E-2</v>
      </c>
      <c r="G45" s="61">
        <f t="shared" si="51"/>
        <v>8.6454562912251579E-3</v>
      </c>
      <c r="H45" s="109">
        <f t="shared" si="51"/>
        <v>0</v>
      </c>
      <c r="I45" s="59">
        <f t="shared" si="51"/>
        <v>2.3794373702957207E-2</v>
      </c>
      <c r="J45" s="57">
        <f t="shared" si="50"/>
        <v>3.2414429414869765E-2</v>
      </c>
      <c r="K45" s="99">
        <f t="shared" si="50"/>
        <v>6.3873206430364843E-2</v>
      </c>
      <c r="L45" s="99">
        <f t="shared" si="50"/>
        <v>6.3873206430364843E-2</v>
      </c>
      <c r="M45" s="99">
        <f t="shared" si="50"/>
        <v>4.4711244501255382E-2</v>
      </c>
      <c r="N45" s="59">
        <f t="shared" si="51"/>
        <v>3.4197010420295985E-2</v>
      </c>
      <c r="O45" s="57">
        <f t="shared" si="52"/>
        <v>3.2414429414869765E-2</v>
      </c>
      <c r="P45" s="61">
        <f t="shared" si="51"/>
        <v>4.968138812616707E-3</v>
      </c>
      <c r="Q45" s="59">
        <f t="shared" si="51"/>
        <v>3.9159687171057347E-2</v>
      </c>
      <c r="R45" s="57">
        <f t="shared" si="53"/>
        <v>1.3307236548994433E-2</v>
      </c>
      <c r="S45" s="61">
        <f t="shared" si="51"/>
        <v>4.968138812616707E-3</v>
      </c>
      <c r="U45" s="18">
        <f t="shared" si="17"/>
        <v>35</v>
      </c>
      <c r="V45" s="11">
        <f t="shared" si="18"/>
        <v>5.0516903336255206E-2</v>
      </c>
      <c r="W45" s="11">
        <f t="shared" si="19"/>
        <v>4.7805143462282505E-2</v>
      </c>
      <c r="X45" s="11">
        <f t="shared" si="20"/>
        <v>0.12008200954819181</v>
      </c>
      <c r="Y45" s="11">
        <f t="shared" si="21"/>
        <v>0.12008200954819181</v>
      </c>
      <c r="Z45" s="11">
        <f t="shared" si="22"/>
        <v>0.10092004761908235</v>
      </c>
      <c r="AA45" s="11">
        <f t="shared" si="23"/>
        <v>7.1579578647782457E-2</v>
      </c>
      <c r="AB45" s="11">
        <f t="shared" si="24"/>
        <v>5.7435062532668488E-2</v>
      </c>
      <c r="AE45" s="59">
        <f t="shared" si="25"/>
        <v>2.3773724777791466E-2</v>
      </c>
      <c r="AF45" s="61">
        <f t="shared" si="26"/>
        <v>5.0930771286400792E-3</v>
      </c>
      <c r="AG45" s="109">
        <f t="shared" si="46"/>
        <v>0</v>
      </c>
      <c r="AH45" s="59">
        <f t="shared" si="27"/>
        <v>2.2376964097747053E-2</v>
      </c>
      <c r="AI45" s="61">
        <f t="shared" si="28"/>
        <v>4.9402607378429475E-3</v>
      </c>
      <c r="AJ45" s="109">
        <f t="shared" si="28"/>
        <v>0</v>
      </c>
      <c r="AK45" s="59">
        <f t="shared" si="29"/>
        <v>1.3596784973118402E-2</v>
      </c>
      <c r="AL45" s="57">
        <f t="shared" si="30"/>
        <v>1.8522531094211297E-2</v>
      </c>
      <c r="AM45" s="99">
        <f t="shared" si="31"/>
        <v>3.6498975103065621E-2</v>
      </c>
      <c r="AN45" s="99">
        <f t="shared" si="32"/>
        <v>3.6498975103065621E-2</v>
      </c>
      <c r="AO45" s="99">
        <f t="shared" si="54"/>
        <v>2.5549282572145934E-2</v>
      </c>
      <c r="AP45" s="59">
        <f t="shared" si="34"/>
        <v>1.9541148811597707E-2</v>
      </c>
      <c r="AQ45" s="57">
        <f t="shared" si="55"/>
        <v>1.8522531094211297E-2</v>
      </c>
      <c r="AR45" s="61">
        <f t="shared" si="56"/>
        <v>2.838936464352404E-3</v>
      </c>
      <c r="AS45" s="59">
        <f t="shared" si="57"/>
        <v>2.2376964097747053E-2</v>
      </c>
      <c r="AT45" s="57">
        <f t="shared" si="38"/>
        <v>7.6041351708539626E-3</v>
      </c>
      <c r="AU45" s="61">
        <f t="shared" si="39"/>
        <v>2.838936464352404E-3</v>
      </c>
      <c r="AW45">
        <f t="shared" si="47"/>
        <v>35</v>
      </c>
      <c r="AX45" s="11">
        <f t="shared" si="48"/>
        <v>2.8866801906431545E-2</v>
      </c>
      <c r="AY45" s="11">
        <f t="shared" si="49"/>
        <v>2.7317224835590001E-2</v>
      </c>
      <c r="AZ45" s="11">
        <f t="shared" si="58"/>
        <v>6.8618291170395321E-2</v>
      </c>
      <c r="BA45" s="11">
        <f t="shared" si="59"/>
        <v>6.8618291170395321E-2</v>
      </c>
      <c r="BB45" s="11">
        <f t="shared" si="60"/>
        <v>5.7668598639475634E-2</v>
      </c>
      <c r="BC45" s="11">
        <f t="shared" si="43"/>
        <v>4.0902616370161404E-2</v>
      </c>
      <c r="BD45" s="11">
        <f t="shared" si="44"/>
        <v>3.2820035732953418E-2</v>
      </c>
    </row>
    <row r="46" spans="1:56" x14ac:dyDescent="0.25">
      <c r="A46">
        <v>36</v>
      </c>
      <c r="B46">
        <f>MAX(A46-Settings!$Y$3*voltijdfranchise/1000, 0)</f>
        <v>21</v>
      </c>
      <c r="C46" s="59">
        <f t="shared" si="51"/>
        <v>4.1604018361135066E-2</v>
      </c>
      <c r="D46" s="61">
        <f t="shared" si="51"/>
        <v>8.9128849751201385E-3</v>
      </c>
      <c r="E46" s="109">
        <f t="shared" si="51"/>
        <v>0</v>
      </c>
      <c r="F46" s="59">
        <f t="shared" si="51"/>
        <v>3.9159687171057347E-2</v>
      </c>
      <c r="G46" s="61">
        <f t="shared" si="51"/>
        <v>8.6454562912251579E-3</v>
      </c>
      <c r="H46" s="109">
        <f t="shared" si="51"/>
        <v>0</v>
      </c>
      <c r="I46" s="59">
        <f t="shared" si="51"/>
        <v>2.3794373702957207E-2</v>
      </c>
      <c r="J46" s="57">
        <f t="shared" si="50"/>
        <v>3.1752910447219361E-2</v>
      </c>
      <c r="K46" s="99">
        <f t="shared" si="50"/>
        <v>6.2569671605255353E-2</v>
      </c>
      <c r="L46" s="99">
        <f t="shared" si="50"/>
        <v>6.2569671605255353E-2</v>
      </c>
      <c r="M46" s="99">
        <f t="shared" si="50"/>
        <v>4.3798770123678742E-2</v>
      </c>
      <c r="N46" s="59">
        <f t="shared" si="51"/>
        <v>3.4197010420295985E-2</v>
      </c>
      <c r="O46" s="57">
        <f t="shared" si="52"/>
        <v>3.1752910447219361E-2</v>
      </c>
      <c r="P46" s="61">
        <f t="shared" si="51"/>
        <v>4.968138812616707E-3</v>
      </c>
      <c r="Q46" s="59">
        <f t="shared" si="51"/>
        <v>3.9159687171057347E-2</v>
      </c>
      <c r="R46" s="57">
        <f t="shared" si="53"/>
        <v>1.3035660292892508E-2</v>
      </c>
      <c r="S46" s="61">
        <f t="shared" si="51"/>
        <v>4.968138812616707E-3</v>
      </c>
      <c r="U46" s="18">
        <f t="shared" si="17"/>
        <v>36</v>
      </c>
      <c r="V46" s="11">
        <f t="shared" si="18"/>
        <v>5.0516903336255206E-2</v>
      </c>
      <c r="W46" s="11">
        <f t="shared" si="19"/>
        <v>4.7805143462282505E-2</v>
      </c>
      <c r="X46" s="11">
        <f t="shared" si="20"/>
        <v>0.11811695575543192</v>
      </c>
      <c r="Y46" s="11">
        <f t="shared" si="21"/>
        <v>0.11811695575543192</v>
      </c>
      <c r="Z46" s="11">
        <f t="shared" si="22"/>
        <v>9.9346054273855317E-2</v>
      </c>
      <c r="AA46" s="11">
        <f t="shared" si="23"/>
        <v>7.0918059680132053E-2</v>
      </c>
      <c r="AB46" s="11">
        <f t="shared" si="24"/>
        <v>5.7163486276566561E-2</v>
      </c>
      <c r="AE46" s="59">
        <f t="shared" si="25"/>
        <v>2.4269010710662123E-2</v>
      </c>
      <c r="AF46" s="61">
        <f t="shared" si="26"/>
        <v>5.1991829021534146E-3</v>
      </c>
      <c r="AG46" s="109">
        <f t="shared" si="46"/>
        <v>0</v>
      </c>
      <c r="AH46" s="59">
        <f t="shared" si="27"/>
        <v>2.2843150849783455E-2</v>
      </c>
      <c r="AI46" s="61">
        <f t="shared" si="28"/>
        <v>5.0431828365480082E-3</v>
      </c>
      <c r="AJ46" s="109">
        <f t="shared" si="28"/>
        <v>0</v>
      </c>
      <c r="AK46" s="59">
        <f t="shared" si="29"/>
        <v>1.3880051326725037E-2</v>
      </c>
      <c r="AL46" s="57">
        <f t="shared" si="30"/>
        <v>1.8522531094211297E-2</v>
      </c>
      <c r="AM46" s="99">
        <f t="shared" si="31"/>
        <v>3.6498975103065621E-2</v>
      </c>
      <c r="AN46" s="99">
        <f t="shared" si="32"/>
        <v>3.6498975103065621E-2</v>
      </c>
      <c r="AO46" s="99">
        <f t="shared" si="54"/>
        <v>2.5549282572145934E-2</v>
      </c>
      <c r="AP46" s="59">
        <f t="shared" si="34"/>
        <v>1.9948256078505991E-2</v>
      </c>
      <c r="AQ46" s="57">
        <f t="shared" si="55"/>
        <v>1.8522531094211297E-2</v>
      </c>
      <c r="AR46" s="61">
        <f t="shared" si="56"/>
        <v>2.8980809740264124E-3</v>
      </c>
      <c r="AS46" s="59">
        <f t="shared" si="57"/>
        <v>2.2843150849783455E-2</v>
      </c>
      <c r="AT46" s="57">
        <f t="shared" si="38"/>
        <v>7.6041351708539626E-3</v>
      </c>
      <c r="AU46" s="61">
        <f t="shared" si="39"/>
        <v>2.8980809740264124E-3</v>
      </c>
      <c r="AW46">
        <f t="shared" si="47"/>
        <v>36</v>
      </c>
      <c r="AX46" s="11">
        <f t="shared" si="48"/>
        <v>2.9468193612815538E-2</v>
      </c>
      <c r="AY46" s="11">
        <f t="shared" si="49"/>
        <v>2.7886333686331463E-2</v>
      </c>
      <c r="AZ46" s="11">
        <f t="shared" si="58"/>
        <v>6.8901557524001955E-2</v>
      </c>
      <c r="BA46" s="11">
        <f t="shared" si="59"/>
        <v>6.8901557524001955E-2</v>
      </c>
      <c r="BB46" s="11">
        <f t="shared" si="60"/>
        <v>5.7951864993082268E-2</v>
      </c>
      <c r="BC46" s="11">
        <f t="shared" si="43"/>
        <v>4.1368868146743704E-2</v>
      </c>
      <c r="BD46" s="11">
        <f t="shared" si="44"/>
        <v>3.3345366994663832E-2</v>
      </c>
    </row>
    <row r="47" spans="1:56" x14ac:dyDescent="0.25">
      <c r="A47">
        <v>37</v>
      </c>
      <c r="B47">
        <f>MAX(A47-Settings!$Y$3*voltijdfranchise/1000, 0)</f>
        <v>22</v>
      </c>
      <c r="C47" s="59">
        <f t="shared" si="51"/>
        <v>4.1604018361135066E-2</v>
      </c>
      <c r="D47" s="61">
        <f t="shared" si="51"/>
        <v>8.9128849751201385E-3</v>
      </c>
      <c r="E47" s="109">
        <f t="shared" si="51"/>
        <v>0</v>
      </c>
      <c r="F47" s="59">
        <f t="shared" si="51"/>
        <v>3.9159687171057347E-2</v>
      </c>
      <c r="G47" s="61">
        <f t="shared" si="51"/>
        <v>8.6454562912251579E-3</v>
      </c>
      <c r="H47" s="109">
        <f t="shared" si="51"/>
        <v>0</v>
      </c>
      <c r="I47" s="59">
        <f t="shared" si="51"/>
        <v>2.3794373702957207E-2</v>
      </c>
      <c r="J47" s="57">
        <f t="shared" si="50"/>
        <v>3.1151529567537181E-2</v>
      </c>
      <c r="K47" s="99">
        <f t="shared" si="50"/>
        <v>6.1384639946064912E-2</v>
      </c>
      <c r="L47" s="99">
        <f t="shared" si="50"/>
        <v>6.1384639946064912E-2</v>
      </c>
      <c r="M47" s="99">
        <f t="shared" si="50"/>
        <v>4.2969247962245431E-2</v>
      </c>
      <c r="N47" s="59">
        <f t="shared" si="51"/>
        <v>3.4197010420295985E-2</v>
      </c>
      <c r="O47" s="57">
        <f t="shared" si="52"/>
        <v>3.1151529567537181E-2</v>
      </c>
      <c r="P47" s="61">
        <f t="shared" si="51"/>
        <v>4.968138812616707E-3</v>
      </c>
      <c r="Q47" s="59">
        <f t="shared" si="51"/>
        <v>3.9159687171057347E-2</v>
      </c>
      <c r="R47" s="57">
        <f t="shared" si="53"/>
        <v>1.2788772787345302E-2</v>
      </c>
      <c r="S47" s="61">
        <f t="shared" si="51"/>
        <v>4.968138812616707E-3</v>
      </c>
      <c r="U47" s="18">
        <f t="shared" si="17"/>
        <v>37</v>
      </c>
      <c r="V47" s="11">
        <f t="shared" si="18"/>
        <v>5.0516903336255206E-2</v>
      </c>
      <c r="W47" s="11">
        <f t="shared" si="19"/>
        <v>4.7805143462282505E-2</v>
      </c>
      <c r="X47" s="11">
        <f t="shared" si="20"/>
        <v>0.11633054321655931</v>
      </c>
      <c r="Y47" s="11">
        <f t="shared" si="21"/>
        <v>0.11633054321655931</v>
      </c>
      <c r="Z47" s="11">
        <f t="shared" si="22"/>
        <v>9.7915151232739819E-2</v>
      </c>
      <c r="AA47" s="11">
        <f t="shared" si="23"/>
        <v>7.0316678800449867E-2</v>
      </c>
      <c r="AB47" s="11">
        <f t="shared" si="24"/>
        <v>5.6916598771019358E-2</v>
      </c>
      <c r="AE47" s="59">
        <f t="shared" si="25"/>
        <v>2.4737524430945176E-2</v>
      </c>
      <c r="AF47" s="61">
        <f t="shared" si="26"/>
        <v>5.2995532284498123E-3</v>
      </c>
      <c r="AG47" s="109">
        <f t="shared" si="46"/>
        <v>0</v>
      </c>
      <c r="AH47" s="59">
        <f t="shared" si="27"/>
        <v>2.328413831792599E-2</v>
      </c>
      <c r="AI47" s="61">
        <f t="shared" si="28"/>
        <v>5.1405415785663105E-3</v>
      </c>
      <c r="AJ47" s="109">
        <f t="shared" si="28"/>
        <v>0</v>
      </c>
      <c r="AK47" s="59">
        <f t="shared" si="29"/>
        <v>1.4148005985542124E-2</v>
      </c>
      <c r="AL47" s="57">
        <f t="shared" si="30"/>
        <v>1.8522531094211297E-2</v>
      </c>
      <c r="AM47" s="99">
        <f t="shared" si="31"/>
        <v>3.6498975103065621E-2</v>
      </c>
      <c r="AN47" s="99">
        <f t="shared" si="32"/>
        <v>3.6498975103065621E-2</v>
      </c>
      <c r="AO47" s="99">
        <f t="shared" si="54"/>
        <v>2.5549282572145934E-2</v>
      </c>
      <c r="AP47" s="59">
        <f t="shared" si="34"/>
        <v>2.0333357547203019E-2</v>
      </c>
      <c r="AQ47" s="57">
        <f t="shared" si="55"/>
        <v>1.8522531094211297E-2</v>
      </c>
      <c r="AR47" s="61">
        <f t="shared" si="56"/>
        <v>2.9540284831775015E-3</v>
      </c>
      <c r="AS47" s="59">
        <f t="shared" si="57"/>
        <v>2.328413831792599E-2</v>
      </c>
      <c r="AT47" s="57">
        <f t="shared" si="38"/>
        <v>7.6041351708539626E-3</v>
      </c>
      <c r="AU47" s="61">
        <f t="shared" si="39"/>
        <v>2.9540284831775015E-3</v>
      </c>
      <c r="AW47">
        <f t="shared" si="47"/>
        <v>37</v>
      </c>
      <c r="AX47" s="11">
        <f t="shared" si="48"/>
        <v>3.0037077659394989E-2</v>
      </c>
      <c r="AY47" s="11">
        <f t="shared" si="49"/>
        <v>2.8424679896492302E-2</v>
      </c>
      <c r="AZ47" s="11">
        <f t="shared" si="58"/>
        <v>6.916951218281904E-2</v>
      </c>
      <c r="BA47" s="11">
        <f t="shared" si="59"/>
        <v>6.916951218281904E-2</v>
      </c>
      <c r="BB47" s="11">
        <f t="shared" si="60"/>
        <v>5.8219819651899353E-2</v>
      </c>
      <c r="BC47" s="11">
        <f t="shared" si="43"/>
        <v>4.1809917124591818E-2</v>
      </c>
      <c r="BD47" s="11">
        <f t="shared" si="44"/>
        <v>3.3842301971957457E-2</v>
      </c>
    </row>
    <row r="48" spans="1:56" x14ac:dyDescent="0.25">
      <c r="A48">
        <v>38</v>
      </c>
      <c r="B48">
        <f>MAX(A48-Settings!$Y$3*voltijdfranchise/1000, 0)</f>
        <v>23</v>
      </c>
      <c r="C48" s="59">
        <f t="shared" si="51"/>
        <v>4.1604018361135066E-2</v>
      </c>
      <c r="D48" s="61">
        <f t="shared" si="51"/>
        <v>8.9128849751201385E-3</v>
      </c>
      <c r="E48" s="109">
        <f t="shared" si="51"/>
        <v>0</v>
      </c>
      <c r="F48" s="59">
        <f t="shared" si="51"/>
        <v>3.9159687171057347E-2</v>
      </c>
      <c r="G48" s="61">
        <f t="shared" si="51"/>
        <v>8.6454562912251579E-3</v>
      </c>
      <c r="H48" s="109">
        <f t="shared" si="51"/>
        <v>0</v>
      </c>
      <c r="I48" s="59">
        <f t="shared" si="51"/>
        <v>2.3794373702957207E-2</v>
      </c>
      <c r="J48" s="57">
        <f t="shared" si="50"/>
        <v>3.0602442677392577E-2</v>
      </c>
      <c r="K48" s="99">
        <f t="shared" si="50"/>
        <v>6.0302654518108414E-2</v>
      </c>
      <c r="L48" s="99">
        <f t="shared" si="50"/>
        <v>6.0302654518108414E-2</v>
      </c>
      <c r="M48" s="99">
        <f t="shared" si="50"/>
        <v>4.2211858162675898E-2</v>
      </c>
      <c r="N48" s="59">
        <f t="shared" si="51"/>
        <v>3.4197010420295985E-2</v>
      </c>
      <c r="O48" s="57">
        <f t="shared" si="52"/>
        <v>3.0602442677392577E-2</v>
      </c>
      <c r="P48" s="61">
        <f t="shared" si="51"/>
        <v>4.968138812616707E-3</v>
      </c>
      <c r="Q48" s="59">
        <f t="shared" si="51"/>
        <v>3.9159687171057347E-2</v>
      </c>
      <c r="R48" s="57">
        <f t="shared" si="53"/>
        <v>1.2563353760541329E-2</v>
      </c>
      <c r="S48" s="61">
        <f t="shared" si="51"/>
        <v>4.968138812616707E-3</v>
      </c>
      <c r="U48" s="18">
        <f t="shared" si="17"/>
        <v>38</v>
      </c>
      <c r="V48" s="11">
        <f t="shared" si="18"/>
        <v>5.0516903336255206E-2</v>
      </c>
      <c r="W48" s="11">
        <f t="shared" si="19"/>
        <v>4.7805143462282505E-2</v>
      </c>
      <c r="X48" s="11">
        <f t="shared" si="20"/>
        <v>0.11469947089845819</v>
      </c>
      <c r="Y48" s="11">
        <f t="shared" si="21"/>
        <v>0.11469947089845819</v>
      </c>
      <c r="Z48" s="11">
        <f t="shared" si="22"/>
        <v>9.6608674543025685E-2</v>
      </c>
      <c r="AA48" s="11">
        <f t="shared" si="23"/>
        <v>6.9767591910305266E-2</v>
      </c>
      <c r="AB48" s="11">
        <f t="shared" si="24"/>
        <v>5.6691179744215385E-2</v>
      </c>
      <c r="AE48" s="59">
        <f t="shared" si="25"/>
        <v>2.5181379534371225E-2</v>
      </c>
      <c r="AF48" s="61">
        <f t="shared" si="26"/>
        <v>5.3946409059937679E-3</v>
      </c>
      <c r="AG48" s="109">
        <f t="shared" si="46"/>
        <v>0</v>
      </c>
      <c r="AH48" s="59">
        <f t="shared" si="27"/>
        <v>2.3701915919324183E-2</v>
      </c>
      <c r="AI48" s="61">
        <f t="shared" si="28"/>
        <v>5.2327761762678586E-3</v>
      </c>
      <c r="AJ48" s="109">
        <f t="shared" si="28"/>
        <v>0</v>
      </c>
      <c r="AK48" s="59">
        <f t="shared" si="29"/>
        <v>1.4401857767579363E-2</v>
      </c>
      <c r="AL48" s="57">
        <f t="shared" si="30"/>
        <v>1.8522531094211297E-2</v>
      </c>
      <c r="AM48" s="99">
        <f t="shared" si="31"/>
        <v>3.6498975103065621E-2</v>
      </c>
      <c r="AN48" s="99">
        <f t="shared" si="32"/>
        <v>3.6498975103065621E-2</v>
      </c>
      <c r="AO48" s="99">
        <f t="shared" si="54"/>
        <v>2.5549282572145934E-2</v>
      </c>
      <c r="AP48" s="59">
        <f t="shared" si="34"/>
        <v>2.0698190517547572E-2</v>
      </c>
      <c r="AQ48" s="57">
        <f t="shared" si="55"/>
        <v>1.8522531094211297E-2</v>
      </c>
      <c r="AR48" s="61">
        <f t="shared" si="56"/>
        <v>3.0070313865837965E-3</v>
      </c>
      <c r="AS48" s="59">
        <f t="shared" si="57"/>
        <v>2.3701915919324183E-2</v>
      </c>
      <c r="AT48" s="57">
        <f t="shared" si="38"/>
        <v>7.6041351708539626E-3</v>
      </c>
      <c r="AU48" s="61">
        <f t="shared" si="39"/>
        <v>3.0070313865837965E-3</v>
      </c>
      <c r="AW48">
        <f t="shared" si="47"/>
        <v>38</v>
      </c>
      <c r="AX48" s="11">
        <f t="shared" si="48"/>
        <v>3.0576020440364993E-2</v>
      </c>
      <c r="AY48" s="11">
        <f t="shared" si="49"/>
        <v>2.8934692095592043E-2</v>
      </c>
      <c r="AZ48" s="11">
        <f t="shared" si="58"/>
        <v>6.942336396485628E-2</v>
      </c>
      <c r="BA48" s="11">
        <f t="shared" si="59"/>
        <v>6.942336396485628E-2</v>
      </c>
      <c r="BB48" s="11">
        <f t="shared" si="60"/>
        <v>5.8473671433936593E-2</v>
      </c>
      <c r="BC48" s="11">
        <f t="shared" si="43"/>
        <v>4.2227752998342666E-2</v>
      </c>
      <c r="BD48" s="11">
        <f t="shared" si="44"/>
        <v>3.4313082476761944E-2</v>
      </c>
    </row>
    <row r="49" spans="1:56" x14ac:dyDescent="0.25">
      <c r="A49">
        <v>39</v>
      </c>
      <c r="B49">
        <f>MAX(A49-Settings!$Y$3*voltijdfranchise/1000, 0)</f>
        <v>24</v>
      </c>
      <c r="C49" s="59">
        <f t="shared" si="51"/>
        <v>4.1604018361135066E-2</v>
      </c>
      <c r="D49" s="61">
        <f t="shared" si="51"/>
        <v>8.9128849751201385E-3</v>
      </c>
      <c r="E49" s="109">
        <f t="shared" si="51"/>
        <v>0</v>
      </c>
      <c r="F49" s="59">
        <f t="shared" si="51"/>
        <v>3.9159687171057347E-2</v>
      </c>
      <c r="G49" s="61">
        <f t="shared" si="51"/>
        <v>8.6454562912251579E-3</v>
      </c>
      <c r="H49" s="109">
        <f t="shared" si="51"/>
        <v>0</v>
      </c>
      <c r="I49" s="59">
        <f t="shared" si="51"/>
        <v>2.3794373702957207E-2</v>
      </c>
      <c r="J49" s="57">
        <f t="shared" si="50"/>
        <v>3.0099113028093358E-2</v>
      </c>
      <c r="K49" s="99">
        <f t="shared" si="50"/>
        <v>5.9310834542481629E-2</v>
      </c>
      <c r="L49" s="99">
        <f t="shared" si="50"/>
        <v>5.9310834542481629E-2</v>
      </c>
      <c r="M49" s="99">
        <f t="shared" si="50"/>
        <v>4.1517584179737145E-2</v>
      </c>
      <c r="N49" s="59">
        <f t="shared" si="51"/>
        <v>3.4197010420295985E-2</v>
      </c>
      <c r="O49" s="57">
        <f t="shared" si="52"/>
        <v>3.0099113028093358E-2</v>
      </c>
      <c r="P49" s="61">
        <f t="shared" si="51"/>
        <v>4.968138812616707E-3</v>
      </c>
      <c r="Q49" s="59">
        <f t="shared" si="51"/>
        <v>3.9159687171057347E-2</v>
      </c>
      <c r="R49" s="57">
        <f t="shared" si="53"/>
        <v>1.2356719652637689E-2</v>
      </c>
      <c r="S49" s="61">
        <f t="shared" si="51"/>
        <v>4.968138812616707E-3</v>
      </c>
      <c r="U49" s="18">
        <f t="shared" si="17"/>
        <v>39</v>
      </c>
      <c r="V49" s="11">
        <f t="shared" si="18"/>
        <v>5.0516903336255206E-2</v>
      </c>
      <c r="W49" s="11">
        <f t="shared" si="19"/>
        <v>4.7805143462282505E-2</v>
      </c>
      <c r="X49" s="11">
        <f t="shared" si="20"/>
        <v>0.11320432127353219</v>
      </c>
      <c r="Y49" s="11">
        <f t="shared" si="21"/>
        <v>0.11320432127353219</v>
      </c>
      <c r="Z49" s="11">
        <f t="shared" si="22"/>
        <v>9.541107091078771E-2</v>
      </c>
      <c r="AA49" s="11">
        <f t="shared" si="23"/>
        <v>6.9264262261006043E-2</v>
      </c>
      <c r="AB49" s="11">
        <f t="shared" si="24"/>
        <v>5.6484545636311743E-2</v>
      </c>
      <c r="AE49" s="59">
        <f t="shared" si="25"/>
        <v>2.5602472837621581E-2</v>
      </c>
      <c r="AF49" s="61">
        <f t="shared" si="26"/>
        <v>5.4848522923816234E-3</v>
      </c>
      <c r="AG49" s="109">
        <f t="shared" si="46"/>
        <v>0</v>
      </c>
      <c r="AH49" s="59">
        <f t="shared" si="27"/>
        <v>2.4098269028342983E-2</v>
      </c>
      <c r="AI49" s="61">
        <f t="shared" si="28"/>
        <v>5.3202807946000968E-3</v>
      </c>
      <c r="AJ49" s="109">
        <f t="shared" si="28"/>
        <v>0</v>
      </c>
      <c r="AK49" s="59">
        <f t="shared" si="29"/>
        <v>1.4642691509512128E-2</v>
      </c>
      <c r="AL49" s="57">
        <f t="shared" si="30"/>
        <v>1.8522531094211297E-2</v>
      </c>
      <c r="AM49" s="99">
        <f t="shared" si="31"/>
        <v>3.6498975103065621E-2</v>
      </c>
      <c r="AN49" s="99">
        <f t="shared" si="32"/>
        <v>3.6498975103065621E-2</v>
      </c>
      <c r="AO49" s="99">
        <f t="shared" si="54"/>
        <v>2.5549282572145934E-2</v>
      </c>
      <c r="AP49" s="59">
        <f t="shared" si="34"/>
        <v>2.104431410479753E-2</v>
      </c>
      <c r="AQ49" s="57">
        <f t="shared" si="55"/>
        <v>1.8522531094211297E-2</v>
      </c>
      <c r="AR49" s="61">
        <f t="shared" si="56"/>
        <v>3.0573161923795121E-3</v>
      </c>
      <c r="AS49" s="59">
        <f t="shared" si="57"/>
        <v>2.4098269028342983E-2</v>
      </c>
      <c r="AT49" s="57">
        <f t="shared" si="38"/>
        <v>7.6041351708539626E-3</v>
      </c>
      <c r="AU49" s="61">
        <f t="shared" si="39"/>
        <v>3.0573161923795121E-3</v>
      </c>
      <c r="AW49">
        <f t="shared" si="47"/>
        <v>39</v>
      </c>
      <c r="AX49" s="11">
        <f t="shared" si="48"/>
        <v>3.1087325130003205E-2</v>
      </c>
      <c r="AY49" s="11">
        <f t="shared" si="49"/>
        <v>2.941854982294308E-2</v>
      </c>
      <c r="AZ49" s="11">
        <f t="shared" si="58"/>
        <v>6.9664197706789055E-2</v>
      </c>
      <c r="BA49" s="11">
        <f t="shared" si="59"/>
        <v>6.9664197706789055E-2</v>
      </c>
      <c r="BB49" s="11">
        <f t="shared" si="60"/>
        <v>5.8714505175869361E-2</v>
      </c>
      <c r="BC49" s="11">
        <f t="shared" si="43"/>
        <v>4.2624161391388339E-2</v>
      </c>
      <c r="BD49" s="11">
        <f t="shared" si="44"/>
        <v>3.475972039157646E-2</v>
      </c>
    </row>
    <row r="50" spans="1:56" x14ac:dyDescent="0.25">
      <c r="A50">
        <v>40</v>
      </c>
      <c r="B50">
        <f>MAX(A50-Settings!$Y$3*voltijdfranchise/1000, 0)</f>
        <v>25</v>
      </c>
      <c r="C50" s="59">
        <f t="shared" si="51"/>
        <v>4.1604018361135066E-2</v>
      </c>
      <c r="D50" s="61">
        <f t="shared" si="51"/>
        <v>8.9128849751201385E-3</v>
      </c>
      <c r="E50" s="109">
        <f t="shared" si="51"/>
        <v>0</v>
      </c>
      <c r="F50" s="59">
        <f t="shared" si="51"/>
        <v>3.9159687171057347E-2</v>
      </c>
      <c r="G50" s="61">
        <f t="shared" si="51"/>
        <v>8.6454562912251579E-3</v>
      </c>
      <c r="H50" s="109">
        <f t="shared" si="51"/>
        <v>0</v>
      </c>
      <c r="I50" s="59">
        <f t="shared" si="51"/>
        <v>2.3794373702957207E-2</v>
      </c>
      <c r="J50" s="57">
        <f t="shared" ref="J50:M69" si="61">IFERROR(J$6*$K$3*($A50/$K$2)/$B50, NA())</f>
        <v>2.9636049750738077E-2</v>
      </c>
      <c r="K50" s="99">
        <f t="shared" si="61"/>
        <v>5.8398360164904996E-2</v>
      </c>
      <c r="L50" s="99">
        <f t="shared" si="61"/>
        <v>5.8398360164904996E-2</v>
      </c>
      <c r="M50" s="99">
        <f t="shared" si="61"/>
        <v>4.0878852115433496E-2</v>
      </c>
      <c r="N50" s="59">
        <f t="shared" si="51"/>
        <v>3.4197010420295985E-2</v>
      </c>
      <c r="O50" s="57">
        <f t="shared" si="52"/>
        <v>2.9636049750738077E-2</v>
      </c>
      <c r="P50" s="61">
        <f t="shared" si="51"/>
        <v>4.968138812616707E-3</v>
      </c>
      <c r="Q50" s="59">
        <f t="shared" si="51"/>
        <v>3.9159687171057347E-2</v>
      </c>
      <c r="R50" s="57">
        <f t="shared" si="53"/>
        <v>1.2166616273366342E-2</v>
      </c>
      <c r="S50" s="61">
        <f t="shared" si="51"/>
        <v>4.968138812616707E-3</v>
      </c>
      <c r="U50" s="18">
        <f t="shared" si="17"/>
        <v>40</v>
      </c>
      <c r="V50" s="11">
        <f t="shared" si="18"/>
        <v>5.0516903336255206E-2</v>
      </c>
      <c r="W50" s="11">
        <f t="shared" si="19"/>
        <v>4.7805143462282505E-2</v>
      </c>
      <c r="X50" s="11">
        <f t="shared" si="20"/>
        <v>0.11182878361860027</v>
      </c>
      <c r="Y50" s="11">
        <f t="shared" si="21"/>
        <v>0.11182878361860027</v>
      </c>
      <c r="Z50" s="11">
        <f t="shared" si="22"/>
        <v>9.430927556912877E-2</v>
      </c>
      <c r="AA50" s="11">
        <f t="shared" si="23"/>
        <v>6.8801198983650766E-2</v>
      </c>
      <c r="AB50" s="11">
        <f t="shared" si="24"/>
        <v>5.6294442257040396E-2</v>
      </c>
      <c r="AE50" s="59">
        <f t="shared" si="25"/>
        <v>2.6002511475709415E-2</v>
      </c>
      <c r="AF50" s="61">
        <f t="shared" si="26"/>
        <v>5.5705531094500868E-3</v>
      </c>
      <c r="AG50" s="109">
        <f t="shared" si="46"/>
        <v>0</v>
      </c>
      <c r="AH50" s="59">
        <f t="shared" si="27"/>
        <v>2.447480448191084E-2</v>
      </c>
      <c r="AI50" s="61">
        <f t="shared" si="28"/>
        <v>5.4034101820157237E-3</v>
      </c>
      <c r="AJ50" s="109">
        <f t="shared" si="28"/>
        <v>0</v>
      </c>
      <c r="AK50" s="59">
        <f t="shared" si="29"/>
        <v>1.4871483564348253E-2</v>
      </c>
      <c r="AL50" s="57">
        <f t="shared" si="30"/>
        <v>1.8522531094211297E-2</v>
      </c>
      <c r="AM50" s="99">
        <f t="shared" si="31"/>
        <v>3.6498975103065621E-2</v>
      </c>
      <c r="AN50" s="99">
        <f t="shared" si="32"/>
        <v>3.6498975103065621E-2</v>
      </c>
      <c r="AO50" s="99">
        <f t="shared" si="54"/>
        <v>2.5549282572145934E-2</v>
      </c>
      <c r="AP50" s="59">
        <f t="shared" si="34"/>
        <v>2.1373131512684988E-2</v>
      </c>
      <c r="AQ50" s="57">
        <f t="shared" si="55"/>
        <v>1.8522531094211297E-2</v>
      </c>
      <c r="AR50" s="61">
        <f t="shared" si="56"/>
        <v>3.1050867578854419E-3</v>
      </c>
      <c r="AS50" s="59">
        <f t="shared" si="57"/>
        <v>2.447480448191084E-2</v>
      </c>
      <c r="AT50" s="57">
        <f t="shared" si="38"/>
        <v>7.6041351708539626E-3</v>
      </c>
      <c r="AU50" s="61">
        <f t="shared" si="39"/>
        <v>3.1050867578854419E-3</v>
      </c>
      <c r="AW50">
        <f t="shared" si="47"/>
        <v>40</v>
      </c>
      <c r="AX50" s="11">
        <f t="shared" si="48"/>
        <v>3.1573064585159502E-2</v>
      </c>
      <c r="AY50" s="11">
        <f t="shared" si="49"/>
        <v>2.9878214663926563E-2</v>
      </c>
      <c r="AZ50" s="11">
        <f t="shared" si="58"/>
        <v>6.9892989761625168E-2</v>
      </c>
      <c r="BA50" s="11">
        <f t="shared" si="59"/>
        <v>6.9892989761625168E-2</v>
      </c>
      <c r="BB50" s="11">
        <f t="shared" si="60"/>
        <v>5.8943297230705488E-2</v>
      </c>
      <c r="BC50" s="11">
        <f t="shared" si="43"/>
        <v>4.3000749364781723E-2</v>
      </c>
      <c r="BD50" s="11">
        <f t="shared" si="44"/>
        <v>3.5184026410650243E-2</v>
      </c>
    </row>
    <row r="51" spans="1:56" x14ac:dyDescent="0.25">
      <c r="A51">
        <v>41</v>
      </c>
      <c r="B51">
        <f>MAX(A51-Settings!$Y$3*voltijdfranchise/1000, 0)</f>
        <v>26</v>
      </c>
      <c r="C51" s="59">
        <f t="shared" si="51"/>
        <v>4.1604018361135066E-2</v>
      </c>
      <c r="D51" s="61">
        <f t="shared" si="51"/>
        <v>8.9128849751201385E-3</v>
      </c>
      <c r="E51" s="109">
        <f t="shared" si="51"/>
        <v>0</v>
      </c>
      <c r="F51" s="59">
        <f t="shared" si="51"/>
        <v>3.9159687171057347E-2</v>
      </c>
      <c r="G51" s="61">
        <f t="shared" si="51"/>
        <v>8.6454562912251579E-3</v>
      </c>
      <c r="H51" s="109">
        <f t="shared" si="51"/>
        <v>0</v>
      </c>
      <c r="I51" s="59">
        <f t="shared" si="51"/>
        <v>2.3794373702957207E-2</v>
      </c>
      <c r="J51" s="57">
        <f t="shared" si="61"/>
        <v>2.9208606725487044E-2</v>
      </c>
      <c r="K51" s="99">
        <f t="shared" si="61"/>
        <v>5.755607612406502E-2</v>
      </c>
      <c r="L51" s="99">
        <f t="shared" si="61"/>
        <v>5.755607612406502E-2</v>
      </c>
      <c r="M51" s="99">
        <f t="shared" si="61"/>
        <v>4.028925328684551E-2</v>
      </c>
      <c r="N51" s="59">
        <f t="shared" si="51"/>
        <v>3.4197010420295985E-2</v>
      </c>
      <c r="O51" s="57">
        <f t="shared" si="52"/>
        <v>2.9208606725487044E-2</v>
      </c>
      <c r="P51" s="61">
        <f t="shared" si="51"/>
        <v>4.968138812616707E-3</v>
      </c>
      <c r="Q51" s="59">
        <f t="shared" si="51"/>
        <v>3.9159687171057347E-2</v>
      </c>
      <c r="R51" s="57">
        <f t="shared" si="53"/>
        <v>1.1991136230962016E-2</v>
      </c>
      <c r="S51" s="61">
        <f t="shared" si="51"/>
        <v>4.968138812616707E-3</v>
      </c>
      <c r="U51" s="18">
        <f t="shared" si="17"/>
        <v>41</v>
      </c>
      <c r="V51" s="11">
        <f t="shared" si="18"/>
        <v>5.0516903336255206E-2</v>
      </c>
      <c r="W51" s="11">
        <f t="shared" si="19"/>
        <v>4.7805143462282505E-2</v>
      </c>
      <c r="X51" s="11">
        <f t="shared" si="20"/>
        <v>0.11055905655250928</v>
      </c>
      <c r="Y51" s="11">
        <f t="shared" si="21"/>
        <v>0.11055905655250928</v>
      </c>
      <c r="Z51" s="11">
        <f t="shared" si="22"/>
        <v>9.329223371528976E-2</v>
      </c>
      <c r="AA51" s="11">
        <f t="shared" si="23"/>
        <v>6.8373755958399729E-2</v>
      </c>
      <c r="AB51" s="11">
        <f t="shared" si="24"/>
        <v>5.6118962214636067E-2</v>
      </c>
      <c r="AE51" s="59">
        <f t="shared" si="25"/>
        <v>2.6383036033890528E-2</v>
      </c>
      <c r="AF51" s="61">
        <f t="shared" si="26"/>
        <v>5.652073398856673E-3</v>
      </c>
      <c r="AG51" s="109">
        <f t="shared" si="46"/>
        <v>0</v>
      </c>
      <c r="AH51" s="59">
        <f t="shared" si="27"/>
        <v>2.4832972352377834E-2</v>
      </c>
      <c r="AI51" s="61">
        <f t="shared" si="28"/>
        <v>5.4824844773622948E-3</v>
      </c>
      <c r="AJ51" s="109">
        <f t="shared" si="28"/>
        <v>0</v>
      </c>
      <c r="AK51" s="59">
        <f t="shared" si="29"/>
        <v>1.5089115031143595E-2</v>
      </c>
      <c r="AL51" s="57">
        <f t="shared" si="30"/>
        <v>1.8522531094211297E-2</v>
      </c>
      <c r="AM51" s="99">
        <f t="shared" si="31"/>
        <v>3.6498975103065621E-2</v>
      </c>
      <c r="AN51" s="99">
        <f t="shared" si="32"/>
        <v>3.6498975103065621E-2</v>
      </c>
      <c r="AO51" s="99">
        <f t="shared" si="54"/>
        <v>2.5549282572145934E-2</v>
      </c>
      <c r="AP51" s="59">
        <f t="shared" si="34"/>
        <v>2.1685909047016966E-2</v>
      </c>
      <c r="AQ51" s="57">
        <f t="shared" si="55"/>
        <v>1.8522531094211297E-2</v>
      </c>
      <c r="AR51" s="61">
        <f t="shared" si="56"/>
        <v>3.1505270519032774E-3</v>
      </c>
      <c r="AS51" s="59">
        <f t="shared" si="57"/>
        <v>2.4832972352377834E-2</v>
      </c>
      <c r="AT51" s="57">
        <f t="shared" si="38"/>
        <v>7.6041351708539626E-3</v>
      </c>
      <c r="AU51" s="61">
        <f t="shared" si="39"/>
        <v>3.1505270519032774E-3</v>
      </c>
      <c r="AW51">
        <f t="shared" si="47"/>
        <v>41</v>
      </c>
      <c r="AX51" s="11">
        <f t="shared" si="48"/>
        <v>3.2035109432747198E-2</v>
      </c>
      <c r="AY51" s="11">
        <f t="shared" si="49"/>
        <v>3.0315456829740128E-2</v>
      </c>
      <c r="AZ51" s="11">
        <f t="shared" si="58"/>
        <v>7.0110621228420517E-2</v>
      </c>
      <c r="BA51" s="11">
        <f t="shared" si="59"/>
        <v>7.0110621228420517E-2</v>
      </c>
      <c r="BB51" s="11">
        <f t="shared" si="60"/>
        <v>5.9160928697500823E-2</v>
      </c>
      <c r="BC51" s="11">
        <f t="shared" si="43"/>
        <v>4.3358967193131544E-2</v>
      </c>
      <c r="BD51" s="11">
        <f t="shared" si="44"/>
        <v>3.5587634575135078E-2</v>
      </c>
    </row>
    <row r="52" spans="1:56" x14ac:dyDescent="0.25">
      <c r="A52">
        <v>42</v>
      </c>
      <c r="B52">
        <f>MAX(A52-Settings!$Y$3*voltijdfranchise/1000, 0)</f>
        <v>27</v>
      </c>
      <c r="C52" s="59">
        <f t="shared" si="51"/>
        <v>4.1604018361135066E-2</v>
      </c>
      <c r="D52" s="61">
        <f t="shared" si="51"/>
        <v>8.9128849751201385E-3</v>
      </c>
      <c r="E52" s="109">
        <f t="shared" si="51"/>
        <v>0</v>
      </c>
      <c r="F52" s="59">
        <f t="shared" si="51"/>
        <v>3.9159687171057347E-2</v>
      </c>
      <c r="G52" s="61">
        <f t="shared" si="51"/>
        <v>8.6454562912251579E-3</v>
      </c>
      <c r="H52" s="109">
        <f t="shared" si="51"/>
        <v>0</v>
      </c>
      <c r="I52" s="59">
        <f t="shared" si="51"/>
        <v>2.3794373702957207E-2</v>
      </c>
      <c r="J52" s="57">
        <f t="shared" si="61"/>
        <v>2.8812826146550903E-2</v>
      </c>
      <c r="K52" s="99">
        <f t="shared" si="61"/>
        <v>5.677618349365763E-2</v>
      </c>
      <c r="L52" s="99">
        <f t="shared" si="61"/>
        <v>5.677618349365763E-2</v>
      </c>
      <c r="M52" s="99">
        <f t="shared" si="61"/>
        <v>3.974332844556034E-2</v>
      </c>
      <c r="N52" s="59">
        <f t="shared" si="51"/>
        <v>3.4197010420295985E-2</v>
      </c>
      <c r="O52" s="57">
        <f t="shared" si="52"/>
        <v>2.8812826146550903E-2</v>
      </c>
      <c r="P52" s="61">
        <f t="shared" si="51"/>
        <v>4.968138812616707E-3</v>
      </c>
      <c r="Q52" s="59">
        <f t="shared" si="51"/>
        <v>3.9159687171057347E-2</v>
      </c>
      <c r="R52" s="57">
        <f t="shared" si="53"/>
        <v>1.1828654710217277E-2</v>
      </c>
      <c r="S52" s="61">
        <f t="shared" si="51"/>
        <v>4.968138812616707E-3</v>
      </c>
      <c r="U52" s="18">
        <f t="shared" si="17"/>
        <v>42</v>
      </c>
      <c r="V52" s="11">
        <f t="shared" si="18"/>
        <v>5.0516903336255206E-2</v>
      </c>
      <c r="W52" s="11">
        <f t="shared" si="19"/>
        <v>4.7805143462282505E-2</v>
      </c>
      <c r="X52" s="11">
        <f t="shared" si="20"/>
        <v>0.10938338334316575</v>
      </c>
      <c r="Y52" s="11">
        <f t="shared" si="21"/>
        <v>0.10938338334316575</v>
      </c>
      <c r="Z52" s="11">
        <f t="shared" si="22"/>
        <v>9.2350528295068457E-2</v>
      </c>
      <c r="AA52" s="11">
        <f t="shared" si="23"/>
        <v>6.7977975379463595E-2</v>
      </c>
      <c r="AB52" s="11">
        <f t="shared" si="24"/>
        <v>5.5956480693891329E-2</v>
      </c>
      <c r="AE52" s="59">
        <f t="shared" si="25"/>
        <v>2.6745440375015399E-2</v>
      </c>
      <c r="AF52" s="61">
        <f t="shared" si="26"/>
        <v>5.7297117697200891E-3</v>
      </c>
      <c r="AG52" s="109">
        <f t="shared" si="46"/>
        <v>0</v>
      </c>
      <c r="AH52" s="59">
        <f t="shared" si="27"/>
        <v>2.5174084609965439E-2</v>
      </c>
      <c r="AI52" s="61">
        <f t="shared" si="28"/>
        <v>5.557793330073316E-3</v>
      </c>
      <c r="AJ52" s="109">
        <f t="shared" si="28"/>
        <v>0</v>
      </c>
      <c r="AK52" s="59">
        <f t="shared" si="29"/>
        <v>1.5296383094758205E-2</v>
      </c>
      <c r="AL52" s="57">
        <f t="shared" si="30"/>
        <v>1.8522531094211297E-2</v>
      </c>
      <c r="AM52" s="99">
        <f t="shared" si="31"/>
        <v>3.6498975103065621E-2</v>
      </c>
      <c r="AN52" s="99">
        <f t="shared" si="32"/>
        <v>3.6498975103065621E-2</v>
      </c>
      <c r="AO52" s="99">
        <f t="shared" si="54"/>
        <v>2.5549282572145934E-2</v>
      </c>
      <c r="AP52" s="59">
        <f t="shared" si="34"/>
        <v>2.1983792413047418E-2</v>
      </c>
      <c r="AQ52" s="57">
        <f t="shared" si="55"/>
        <v>1.8522531094211297E-2</v>
      </c>
      <c r="AR52" s="61">
        <f t="shared" si="56"/>
        <v>3.1938035223964545E-3</v>
      </c>
      <c r="AS52" s="59">
        <f t="shared" si="57"/>
        <v>2.5174084609965439E-2</v>
      </c>
      <c r="AT52" s="57">
        <f t="shared" si="38"/>
        <v>7.6041351708539626E-3</v>
      </c>
      <c r="AU52" s="61">
        <f t="shared" si="39"/>
        <v>3.1938035223964545E-3</v>
      </c>
      <c r="AW52">
        <f t="shared" si="47"/>
        <v>42</v>
      </c>
      <c r="AX52" s="11">
        <f t="shared" si="48"/>
        <v>3.2475152144735488E-2</v>
      </c>
      <c r="AY52" s="11">
        <f t="shared" si="49"/>
        <v>3.0731877940038753E-2</v>
      </c>
      <c r="AZ52" s="11">
        <f t="shared" si="58"/>
        <v>7.0317889292035113E-2</v>
      </c>
      <c r="BA52" s="11">
        <f t="shared" si="59"/>
        <v>7.0317889292035113E-2</v>
      </c>
      <c r="BB52" s="11">
        <f t="shared" si="60"/>
        <v>5.9368196761115433E-2</v>
      </c>
      <c r="BC52" s="11">
        <f t="shared" si="43"/>
        <v>4.3700127029655172E-2</v>
      </c>
      <c r="BD52" s="11">
        <f t="shared" si="44"/>
        <v>3.5972023303215854E-2</v>
      </c>
    </row>
    <row r="53" spans="1:56" x14ac:dyDescent="0.25">
      <c r="A53">
        <v>43</v>
      </c>
      <c r="B53">
        <f>MAX(A53-Settings!$Y$3*voltijdfranchise/1000, 0)</f>
        <v>28</v>
      </c>
      <c r="C53" s="59">
        <f t="shared" si="51"/>
        <v>4.1604018361135066E-2</v>
      </c>
      <c r="D53" s="61">
        <f t="shared" si="51"/>
        <v>8.9128849751201385E-3</v>
      </c>
      <c r="E53" s="109">
        <f t="shared" si="51"/>
        <v>0</v>
      </c>
      <c r="F53" s="59">
        <f t="shared" si="51"/>
        <v>3.9159687171057347E-2</v>
      </c>
      <c r="G53" s="61">
        <f t="shared" si="51"/>
        <v>8.6454562912251579E-3</v>
      </c>
      <c r="H53" s="109">
        <f t="shared" si="51"/>
        <v>0</v>
      </c>
      <c r="I53" s="59">
        <f t="shared" si="51"/>
        <v>2.3794373702957207E-2</v>
      </c>
      <c r="J53" s="57">
        <f t="shared" si="61"/>
        <v>2.8445315608967348E-2</v>
      </c>
      <c r="K53" s="99">
        <f t="shared" si="61"/>
        <v>5.6051997479707918E-2</v>
      </c>
      <c r="L53" s="99">
        <f t="shared" si="61"/>
        <v>5.6051997479707918E-2</v>
      </c>
      <c r="M53" s="99">
        <f t="shared" si="61"/>
        <v>3.9236398235795542E-2</v>
      </c>
      <c r="N53" s="59">
        <f t="shared" si="51"/>
        <v>3.4197010420295985E-2</v>
      </c>
      <c r="O53" s="57">
        <f t="shared" si="52"/>
        <v>2.8445315608967348E-2</v>
      </c>
      <c r="P53" s="61">
        <f t="shared" si="51"/>
        <v>4.968138812616707E-3</v>
      </c>
      <c r="Q53" s="59">
        <f t="shared" si="51"/>
        <v>3.9159687171057347E-2</v>
      </c>
      <c r="R53" s="57">
        <f t="shared" si="53"/>
        <v>1.1677779012382872E-2</v>
      </c>
      <c r="S53" s="61">
        <f t="shared" si="51"/>
        <v>4.968138812616707E-3</v>
      </c>
      <c r="U53" s="18">
        <f t="shared" ref="U53:U72" si="62">A53</f>
        <v>43</v>
      </c>
      <c r="V53" s="11">
        <f t="shared" ref="V53:V72" si="63">SUM(C53:D53)</f>
        <v>5.0516903336255206E-2</v>
      </c>
      <c r="W53" s="11">
        <f t="shared" ref="W53:W72" si="64">SUM(F53:G53)</f>
        <v>4.7805143462282505E-2</v>
      </c>
      <c r="X53" s="11">
        <f t="shared" si="20"/>
        <v>0.10829168679163248</v>
      </c>
      <c r="Y53" s="11">
        <f t="shared" si="21"/>
        <v>0.10829168679163248</v>
      </c>
      <c r="Z53" s="11">
        <f t="shared" si="22"/>
        <v>9.1476087547720103E-2</v>
      </c>
      <c r="AA53" s="11">
        <f t="shared" ref="AA53:AA72" si="65">SUM(N53:P53)</f>
        <v>6.7610464841880047E-2</v>
      </c>
      <c r="AB53" s="11">
        <f t="shared" ref="AB53:AB72" si="66">SUM(Q53:S53)</f>
        <v>5.5805604996056926E-2</v>
      </c>
      <c r="AE53" s="59">
        <f t="shared" si="25"/>
        <v>2.7090988700273995E-2</v>
      </c>
      <c r="AF53" s="61">
        <f t="shared" si="26"/>
        <v>5.8037390535666013E-3</v>
      </c>
      <c r="AG53" s="109">
        <f t="shared" si="46"/>
        <v>0</v>
      </c>
      <c r="AH53" s="59">
        <f t="shared" si="27"/>
        <v>2.5499331181153623E-2</v>
      </c>
      <c r="AI53" s="61">
        <f t="shared" si="28"/>
        <v>5.6295994454489398E-3</v>
      </c>
      <c r="AJ53" s="109">
        <f t="shared" si="28"/>
        <v>0</v>
      </c>
      <c r="AK53" s="59">
        <f t="shared" si="29"/>
        <v>1.5494010783320973E-2</v>
      </c>
      <c r="AL53" s="57">
        <f t="shared" si="30"/>
        <v>1.8522531094211297E-2</v>
      </c>
      <c r="AM53" s="99">
        <f t="shared" si="31"/>
        <v>3.6498975103065621E-2</v>
      </c>
      <c r="AN53" s="99">
        <f t="shared" si="32"/>
        <v>3.6498975103065621E-2</v>
      </c>
      <c r="AO53" s="99">
        <f t="shared" si="54"/>
        <v>2.5549282572145934E-2</v>
      </c>
      <c r="AP53" s="59">
        <f t="shared" si="34"/>
        <v>2.2267820738797385E-2</v>
      </c>
      <c r="AQ53" s="57">
        <f t="shared" si="55"/>
        <v>1.8522531094211297E-2</v>
      </c>
      <c r="AR53" s="61">
        <f t="shared" si="56"/>
        <v>3.2350671337969257E-3</v>
      </c>
      <c r="AS53" s="59">
        <f t="shared" si="57"/>
        <v>2.5499331181153623E-2</v>
      </c>
      <c r="AT53" s="57">
        <f t="shared" si="38"/>
        <v>7.6041351708539626E-3</v>
      </c>
      <c r="AU53" s="61">
        <f t="shared" si="39"/>
        <v>3.2350671337969257E-3</v>
      </c>
      <c r="AW53">
        <f t="shared" si="47"/>
        <v>43</v>
      </c>
      <c r="AX53" s="11">
        <f t="shared" si="48"/>
        <v>3.28947277538406E-2</v>
      </c>
      <c r="AY53" s="11">
        <f t="shared" si="49"/>
        <v>3.1128930626602564E-2</v>
      </c>
      <c r="AZ53" s="11">
        <f t="shared" si="58"/>
        <v>7.0515516980597881E-2</v>
      </c>
      <c r="BA53" s="11">
        <f t="shared" si="59"/>
        <v>7.0515516980597881E-2</v>
      </c>
      <c r="BB53" s="11">
        <f t="shared" si="60"/>
        <v>5.9565824449678201E-2</v>
      </c>
      <c r="BC53" s="11">
        <f t="shared" si="43"/>
        <v>4.4025418966805605E-2</v>
      </c>
      <c r="BD53" s="11">
        <f t="shared" si="44"/>
        <v>3.6338533485804514E-2</v>
      </c>
    </row>
    <row r="54" spans="1:56" x14ac:dyDescent="0.25">
      <c r="A54">
        <v>44</v>
      </c>
      <c r="B54">
        <f>MAX(A54-Settings!$Y$3*voltijdfranchise/1000, 0)</f>
        <v>29</v>
      </c>
      <c r="C54" s="59">
        <f t="shared" si="51"/>
        <v>4.1604018361135066E-2</v>
      </c>
      <c r="D54" s="61">
        <f t="shared" si="51"/>
        <v>8.9128849751201385E-3</v>
      </c>
      <c r="E54" s="109">
        <f t="shared" si="51"/>
        <v>0</v>
      </c>
      <c r="F54" s="59">
        <f t="shared" si="51"/>
        <v>3.9159687171057347E-2</v>
      </c>
      <c r="G54" s="61">
        <f t="shared" si="51"/>
        <v>8.6454562912251579E-3</v>
      </c>
      <c r="H54" s="109">
        <f t="shared" si="51"/>
        <v>0</v>
      </c>
      <c r="I54" s="59">
        <f t="shared" si="51"/>
        <v>2.3794373702957207E-2</v>
      </c>
      <c r="J54" s="57">
        <f t="shared" si="61"/>
        <v>2.8103150625699898E-2</v>
      </c>
      <c r="K54" s="99">
        <f t="shared" si="61"/>
        <v>5.5377755328789219E-2</v>
      </c>
      <c r="L54" s="99">
        <f t="shared" si="61"/>
        <v>5.5377755328789219E-2</v>
      </c>
      <c r="M54" s="99">
        <f t="shared" si="61"/>
        <v>3.8764428730152449E-2</v>
      </c>
      <c r="N54" s="59">
        <f t="shared" si="51"/>
        <v>3.4197010420295985E-2</v>
      </c>
      <c r="O54" s="57">
        <f t="shared" si="52"/>
        <v>2.8103150625699898E-2</v>
      </c>
      <c r="P54" s="61">
        <f t="shared" si="51"/>
        <v>4.968138812616707E-3</v>
      </c>
      <c r="Q54" s="59">
        <f t="shared" si="51"/>
        <v>3.9159687171057347E-2</v>
      </c>
      <c r="R54" s="57">
        <f t="shared" si="53"/>
        <v>1.1537308535088771E-2</v>
      </c>
      <c r="S54" s="61">
        <f t="shared" si="51"/>
        <v>4.968138812616707E-3</v>
      </c>
      <c r="U54" s="18">
        <f t="shared" si="62"/>
        <v>44</v>
      </c>
      <c r="V54" s="11">
        <f t="shared" si="63"/>
        <v>5.0516903336255206E-2</v>
      </c>
      <c r="W54" s="11">
        <f t="shared" si="64"/>
        <v>4.7805143462282505E-2</v>
      </c>
      <c r="X54" s="11">
        <f t="shared" si="20"/>
        <v>0.10727527965744632</v>
      </c>
      <c r="Y54" s="11">
        <f t="shared" si="21"/>
        <v>0.10727527965744632</v>
      </c>
      <c r="Z54" s="11">
        <f t="shared" si="22"/>
        <v>9.0661953058809558E-2</v>
      </c>
      <c r="AA54" s="11">
        <f t="shared" si="65"/>
        <v>6.7268299858612587E-2</v>
      </c>
      <c r="AB54" s="11">
        <f t="shared" si="66"/>
        <v>5.5665134518762829E-2</v>
      </c>
      <c r="AE54" s="59">
        <f t="shared" si="25"/>
        <v>2.7420830283475386E-2</v>
      </c>
      <c r="AF54" s="61">
        <f t="shared" si="26"/>
        <v>5.8744014608746366E-3</v>
      </c>
      <c r="AG54" s="109">
        <f t="shared" si="46"/>
        <v>0</v>
      </c>
      <c r="AH54" s="59">
        <f t="shared" si="27"/>
        <v>2.5809793817287797E-2</v>
      </c>
      <c r="AI54" s="61">
        <f t="shared" si="28"/>
        <v>5.6981416464893095E-3</v>
      </c>
      <c r="AJ54" s="109">
        <f t="shared" si="28"/>
        <v>0</v>
      </c>
      <c r="AK54" s="59">
        <f t="shared" si="29"/>
        <v>1.5682655395130887E-2</v>
      </c>
      <c r="AL54" s="57">
        <f t="shared" si="30"/>
        <v>1.8522531094211297E-2</v>
      </c>
      <c r="AM54" s="99">
        <f t="shared" si="31"/>
        <v>3.6498975103065621E-2</v>
      </c>
      <c r="AN54" s="99">
        <f t="shared" si="32"/>
        <v>3.6498975103065621E-2</v>
      </c>
      <c r="AO54" s="99">
        <f t="shared" si="54"/>
        <v>2.5549282572145934E-2</v>
      </c>
      <c r="AP54" s="59">
        <f t="shared" si="34"/>
        <v>2.2538938686104171E-2</v>
      </c>
      <c r="AQ54" s="57">
        <f t="shared" si="55"/>
        <v>1.8522531094211297E-2</v>
      </c>
      <c r="AR54" s="61">
        <f t="shared" si="56"/>
        <v>3.274455126497375E-3</v>
      </c>
      <c r="AS54" s="59">
        <f t="shared" si="57"/>
        <v>2.5809793817287797E-2</v>
      </c>
      <c r="AT54" s="57">
        <f t="shared" si="38"/>
        <v>7.6041351708539626E-3</v>
      </c>
      <c r="AU54" s="61">
        <f t="shared" si="39"/>
        <v>3.274455126497375E-3</v>
      </c>
      <c r="AW54">
        <f t="shared" si="47"/>
        <v>44</v>
      </c>
      <c r="AX54" s="11">
        <f t="shared" si="48"/>
        <v>3.3295231744350021E-2</v>
      </c>
      <c r="AY54" s="11">
        <f t="shared" si="49"/>
        <v>3.1507935463777108E-2</v>
      </c>
      <c r="AZ54" s="11">
        <f t="shared" si="58"/>
        <v>7.0704161592407805E-2</v>
      </c>
      <c r="BA54" s="11">
        <f t="shared" si="59"/>
        <v>7.0704161592407805E-2</v>
      </c>
      <c r="BB54" s="11">
        <f t="shared" si="60"/>
        <v>5.9754469061488118E-2</v>
      </c>
      <c r="BC54" s="11">
        <f t="shared" si="43"/>
        <v>4.4335924906812846E-2</v>
      </c>
      <c r="BD54" s="11">
        <f t="shared" si="44"/>
        <v>3.6688384114639136E-2</v>
      </c>
    </row>
    <row r="55" spans="1:56" x14ac:dyDescent="0.25">
      <c r="A55">
        <v>45</v>
      </c>
      <c r="B55">
        <f>MAX(A55-Settings!$Y$3*voltijdfranchise/1000, 0)</f>
        <v>30</v>
      </c>
      <c r="C55" s="59">
        <f t="shared" si="51"/>
        <v>4.1604018361135066E-2</v>
      </c>
      <c r="D55" s="61">
        <f t="shared" si="51"/>
        <v>8.9128849751201385E-3</v>
      </c>
      <c r="E55" s="109">
        <f t="shared" si="51"/>
        <v>0</v>
      </c>
      <c r="F55" s="59">
        <f t="shared" si="51"/>
        <v>3.9159687171057347E-2</v>
      </c>
      <c r="G55" s="61">
        <f t="shared" si="51"/>
        <v>8.6454562912251579E-3</v>
      </c>
      <c r="H55" s="109">
        <f t="shared" si="51"/>
        <v>0</v>
      </c>
      <c r="I55" s="59">
        <f t="shared" si="51"/>
        <v>2.3794373702957207E-2</v>
      </c>
      <c r="J55" s="57">
        <f t="shared" si="61"/>
        <v>2.7783796641316947E-2</v>
      </c>
      <c r="K55" s="99">
        <f t="shared" si="61"/>
        <v>5.4748462654598429E-2</v>
      </c>
      <c r="L55" s="99">
        <f t="shared" si="61"/>
        <v>5.4748462654598429E-2</v>
      </c>
      <c r="M55" s="99">
        <f t="shared" si="61"/>
        <v>3.8323923858218902E-2</v>
      </c>
      <c r="N55" s="59">
        <f t="shared" si="51"/>
        <v>3.4197010420295985E-2</v>
      </c>
      <c r="O55" s="57">
        <f t="shared" si="52"/>
        <v>2.7783796641316947E-2</v>
      </c>
      <c r="P55" s="61">
        <f t="shared" si="51"/>
        <v>4.968138812616707E-3</v>
      </c>
      <c r="Q55" s="59">
        <f t="shared" si="51"/>
        <v>3.9159687171057347E-2</v>
      </c>
      <c r="R55" s="57">
        <f t="shared" si="53"/>
        <v>1.1406202756280943E-2</v>
      </c>
      <c r="S55" s="61">
        <f t="shared" si="51"/>
        <v>4.968138812616707E-3</v>
      </c>
      <c r="U55" s="18">
        <f t="shared" si="62"/>
        <v>45</v>
      </c>
      <c r="V55" s="11">
        <f t="shared" si="63"/>
        <v>5.0516903336255206E-2</v>
      </c>
      <c r="W55" s="11">
        <f t="shared" si="64"/>
        <v>4.7805143462282505E-2</v>
      </c>
      <c r="X55" s="11">
        <f t="shared" si="20"/>
        <v>0.10632663299887259</v>
      </c>
      <c r="Y55" s="11">
        <f t="shared" si="21"/>
        <v>0.10632663299887259</v>
      </c>
      <c r="Z55" s="11">
        <f t="shared" si="22"/>
        <v>8.9902094202493066E-2</v>
      </c>
      <c r="AA55" s="11">
        <f t="shared" si="65"/>
        <v>6.6948945874229643E-2</v>
      </c>
      <c r="AB55" s="11">
        <f t="shared" si="66"/>
        <v>5.5534028739954999E-2</v>
      </c>
      <c r="AE55" s="59">
        <f t="shared" si="25"/>
        <v>2.7736012240756711E-2</v>
      </c>
      <c r="AF55" s="61">
        <f t="shared" si="26"/>
        <v>5.941923316746759E-3</v>
      </c>
      <c r="AG55" s="109">
        <f t="shared" si="46"/>
        <v>0</v>
      </c>
      <c r="AH55" s="59">
        <f t="shared" si="27"/>
        <v>2.6106458114038233E-2</v>
      </c>
      <c r="AI55" s="61">
        <f t="shared" si="28"/>
        <v>5.7636375274834391E-3</v>
      </c>
      <c r="AJ55" s="109">
        <f t="shared" si="28"/>
        <v>0</v>
      </c>
      <c r="AK55" s="59">
        <f t="shared" si="29"/>
        <v>1.586291580197147E-2</v>
      </c>
      <c r="AL55" s="57">
        <f t="shared" si="30"/>
        <v>1.8522531094211297E-2</v>
      </c>
      <c r="AM55" s="99">
        <f t="shared" si="31"/>
        <v>3.6498975103065621E-2</v>
      </c>
      <c r="AN55" s="99">
        <f t="shared" si="32"/>
        <v>3.6498975103065621E-2</v>
      </c>
      <c r="AO55" s="99">
        <f t="shared" si="54"/>
        <v>2.5549282572145934E-2</v>
      </c>
      <c r="AP55" s="59">
        <f t="shared" si="34"/>
        <v>2.2798006946863989E-2</v>
      </c>
      <c r="AQ55" s="57">
        <f t="shared" si="55"/>
        <v>1.8522531094211297E-2</v>
      </c>
      <c r="AR55" s="61">
        <f t="shared" si="56"/>
        <v>3.3120925417444713E-3</v>
      </c>
      <c r="AS55" s="59">
        <f t="shared" si="57"/>
        <v>2.6106458114038233E-2</v>
      </c>
      <c r="AT55" s="57">
        <f t="shared" si="38"/>
        <v>7.6041351708539626E-3</v>
      </c>
      <c r="AU55" s="61">
        <f t="shared" si="39"/>
        <v>3.3120925417444713E-3</v>
      </c>
      <c r="AW55">
        <f t="shared" si="47"/>
        <v>45</v>
      </c>
      <c r="AX55" s="11">
        <f t="shared" si="48"/>
        <v>3.3677935557503466E-2</v>
      </c>
      <c r="AY55" s="11">
        <f t="shared" si="49"/>
        <v>3.187009564152167E-2</v>
      </c>
      <c r="AZ55" s="11">
        <f t="shared" si="58"/>
        <v>7.0884421999248381E-2</v>
      </c>
      <c r="BA55" s="11">
        <f t="shared" si="59"/>
        <v>7.0884421999248381E-2</v>
      </c>
      <c r="BB55" s="11">
        <f t="shared" si="60"/>
        <v>5.9934729468328701E-2</v>
      </c>
      <c r="BC55" s="11">
        <f t="shared" si="43"/>
        <v>4.4632630582819757E-2</v>
      </c>
      <c r="BD55" s="11">
        <f t="shared" si="44"/>
        <v>3.7022685826636668E-2</v>
      </c>
    </row>
    <row r="56" spans="1:56" x14ac:dyDescent="0.25">
      <c r="A56">
        <v>46</v>
      </c>
      <c r="B56">
        <f>MAX(A56-Settings!$Y$3*voltijdfranchise/1000, 0)</f>
        <v>31</v>
      </c>
      <c r="C56" s="59">
        <f t="shared" si="51"/>
        <v>4.1604018361135066E-2</v>
      </c>
      <c r="D56" s="61">
        <f t="shared" si="51"/>
        <v>8.9128849751201385E-3</v>
      </c>
      <c r="E56" s="109">
        <f t="shared" si="51"/>
        <v>0</v>
      </c>
      <c r="F56" s="59">
        <f t="shared" si="51"/>
        <v>3.9159687171057347E-2</v>
      </c>
      <c r="G56" s="61">
        <f t="shared" si="51"/>
        <v>8.6454562912251579E-3</v>
      </c>
      <c r="H56" s="109">
        <f t="shared" si="51"/>
        <v>0</v>
      </c>
      <c r="I56" s="59">
        <f t="shared" si="51"/>
        <v>2.3794373702957207E-2</v>
      </c>
      <c r="J56" s="57">
        <f t="shared" si="61"/>
        <v>2.7485046139797409E-2</v>
      </c>
      <c r="K56" s="99">
        <f t="shared" si="61"/>
        <v>5.4159769507774798E-2</v>
      </c>
      <c r="L56" s="99">
        <f t="shared" si="61"/>
        <v>5.4159769507774798E-2</v>
      </c>
      <c r="M56" s="99">
        <f t="shared" si="61"/>
        <v>3.7911838655442356E-2</v>
      </c>
      <c r="N56" s="59">
        <f t="shared" si="51"/>
        <v>3.4197010420295985E-2</v>
      </c>
      <c r="O56" s="57">
        <f t="shared" si="52"/>
        <v>2.7485046139797409E-2</v>
      </c>
      <c r="P56" s="61">
        <f t="shared" si="51"/>
        <v>4.968138812616707E-3</v>
      </c>
      <c r="Q56" s="59">
        <f t="shared" si="51"/>
        <v>3.9159687171057347E-2</v>
      </c>
      <c r="R56" s="57">
        <f t="shared" si="53"/>
        <v>1.1283555414815559E-2</v>
      </c>
      <c r="S56" s="61">
        <f t="shared" si="51"/>
        <v>4.968138812616707E-3</v>
      </c>
      <c r="U56" s="18">
        <f t="shared" si="62"/>
        <v>46</v>
      </c>
      <c r="V56" s="11">
        <f t="shared" si="63"/>
        <v>5.0516903336255206E-2</v>
      </c>
      <c r="W56" s="11">
        <f t="shared" si="64"/>
        <v>4.7805143462282505E-2</v>
      </c>
      <c r="X56" s="11">
        <f t="shared" si="20"/>
        <v>0.10543918935052941</v>
      </c>
      <c r="Y56" s="11">
        <f t="shared" si="21"/>
        <v>0.10543918935052941</v>
      </c>
      <c r="Z56" s="11">
        <f t="shared" si="22"/>
        <v>8.9191258498196979E-2</v>
      </c>
      <c r="AA56" s="11">
        <f t="shared" si="65"/>
        <v>6.6650195372710108E-2</v>
      </c>
      <c r="AB56" s="11">
        <f t="shared" si="66"/>
        <v>5.5411381398489612E-2</v>
      </c>
      <c r="AE56" s="59">
        <f t="shared" si="25"/>
        <v>2.8037490634677979E-2</v>
      </c>
      <c r="AF56" s="61">
        <f t="shared" si="26"/>
        <v>6.0065094397548759E-3</v>
      </c>
      <c r="AG56" s="109">
        <f t="shared" si="46"/>
        <v>0</v>
      </c>
      <c r="AH56" s="59">
        <f t="shared" si="27"/>
        <v>2.6390223963103865E-2</v>
      </c>
      <c r="AI56" s="61">
        <f t="shared" si="28"/>
        <v>5.826285761477824E-3</v>
      </c>
      <c r="AJ56" s="109">
        <f t="shared" si="28"/>
        <v>0</v>
      </c>
      <c r="AK56" s="59">
        <f t="shared" si="29"/>
        <v>1.6035338799818988E-2</v>
      </c>
      <c r="AL56" s="57">
        <f t="shared" si="30"/>
        <v>1.8522531094211297E-2</v>
      </c>
      <c r="AM56" s="99">
        <f t="shared" si="31"/>
        <v>3.6498975103065621E-2</v>
      </c>
      <c r="AN56" s="99">
        <f t="shared" si="32"/>
        <v>3.6498975103065621E-2</v>
      </c>
      <c r="AO56" s="99">
        <f t="shared" si="54"/>
        <v>2.5549282572145934E-2</v>
      </c>
      <c r="AP56" s="59">
        <f t="shared" si="34"/>
        <v>2.3045811370199468E-2</v>
      </c>
      <c r="AQ56" s="57">
        <f t="shared" si="55"/>
        <v>1.8522531094211297E-2</v>
      </c>
      <c r="AR56" s="61">
        <f t="shared" si="56"/>
        <v>3.3480935476329983E-3</v>
      </c>
      <c r="AS56" s="59">
        <f t="shared" si="57"/>
        <v>2.6390223963103865E-2</v>
      </c>
      <c r="AT56" s="57">
        <f t="shared" si="38"/>
        <v>7.6041351708539626E-3</v>
      </c>
      <c r="AU56" s="61">
        <f t="shared" si="39"/>
        <v>3.3480935476329983E-3</v>
      </c>
      <c r="AW56">
        <f t="shared" si="47"/>
        <v>46</v>
      </c>
      <c r="AX56" s="11">
        <f t="shared" si="48"/>
        <v>3.4044000074432854E-2</v>
      </c>
      <c r="AY56" s="11">
        <f t="shared" si="49"/>
        <v>3.2216509724581691E-2</v>
      </c>
      <c r="AZ56" s="11">
        <f t="shared" si="58"/>
        <v>7.1056844997095914E-2</v>
      </c>
      <c r="BA56" s="11">
        <f t="shared" si="59"/>
        <v>7.1056844997095914E-2</v>
      </c>
      <c r="BB56" s="11">
        <f t="shared" si="60"/>
        <v>6.010715246617622E-2</v>
      </c>
      <c r="BC56" s="11">
        <f t="shared" si="43"/>
        <v>4.4916436012043766E-2</v>
      </c>
      <c r="BD56" s="11">
        <f t="shared" si="44"/>
        <v>3.7342452681590824E-2</v>
      </c>
    </row>
    <row r="57" spans="1:56" x14ac:dyDescent="0.25">
      <c r="A57">
        <v>47</v>
      </c>
      <c r="B57">
        <f>MAX(A57-Settings!$Y$3*voltijdfranchise/1000, 0)</f>
        <v>32</v>
      </c>
      <c r="C57" s="59">
        <f t="shared" si="51"/>
        <v>4.1604018361135066E-2</v>
      </c>
      <c r="D57" s="61">
        <f t="shared" si="51"/>
        <v>8.9128849751201385E-3</v>
      </c>
      <c r="E57" s="109">
        <f t="shared" si="51"/>
        <v>0</v>
      </c>
      <c r="F57" s="59">
        <f t="shared" si="51"/>
        <v>3.9159687171057347E-2</v>
      </c>
      <c r="G57" s="61">
        <f t="shared" si="51"/>
        <v>8.6454562912251579E-3</v>
      </c>
      <c r="H57" s="109">
        <f t="shared" si="51"/>
        <v>0</v>
      </c>
      <c r="I57" s="59">
        <f t="shared" si="51"/>
        <v>2.3794373702957207E-2</v>
      </c>
      <c r="J57" s="57">
        <f t="shared" si="61"/>
        <v>2.720496754462284E-2</v>
      </c>
      <c r="K57" s="99">
        <f t="shared" si="61"/>
        <v>5.360786968262763E-2</v>
      </c>
      <c r="L57" s="99">
        <f t="shared" si="61"/>
        <v>5.360786968262763E-2</v>
      </c>
      <c r="M57" s="99">
        <f t="shared" si="61"/>
        <v>3.7525508777839341E-2</v>
      </c>
      <c r="N57" s="59">
        <f t="shared" si="51"/>
        <v>3.4197010420295985E-2</v>
      </c>
      <c r="O57" s="57">
        <f t="shared" si="52"/>
        <v>2.720496754462284E-2</v>
      </c>
      <c r="P57" s="61">
        <f t="shared" si="51"/>
        <v>4.968138812616707E-3</v>
      </c>
      <c r="Q57" s="59">
        <f t="shared" si="51"/>
        <v>3.9159687171057347E-2</v>
      </c>
      <c r="R57" s="57">
        <f t="shared" si="53"/>
        <v>1.1168573532191757E-2</v>
      </c>
      <c r="S57" s="61">
        <f t="shared" si="51"/>
        <v>4.968138812616707E-3</v>
      </c>
      <c r="U57" s="18">
        <f t="shared" si="62"/>
        <v>47</v>
      </c>
      <c r="V57" s="11">
        <f t="shared" si="63"/>
        <v>5.0516903336255206E-2</v>
      </c>
      <c r="W57" s="11">
        <f t="shared" si="64"/>
        <v>4.7805143462282505E-2</v>
      </c>
      <c r="X57" s="11">
        <f t="shared" si="20"/>
        <v>0.10460721093020767</v>
      </c>
      <c r="Y57" s="11">
        <f t="shared" si="21"/>
        <v>0.10460721093020767</v>
      </c>
      <c r="Z57" s="11">
        <f t="shared" si="22"/>
        <v>8.8524850025419377E-2</v>
      </c>
      <c r="AA57" s="11">
        <f t="shared" si="65"/>
        <v>6.6370116777535529E-2</v>
      </c>
      <c r="AB57" s="11">
        <f t="shared" si="66"/>
        <v>5.5296399515865811E-2</v>
      </c>
      <c r="AE57" s="59">
        <f t="shared" si="25"/>
        <v>2.8326140160772811E-2</v>
      </c>
      <c r="AF57" s="61">
        <f t="shared" si="26"/>
        <v>6.0683472171030733E-3</v>
      </c>
      <c r="AG57" s="109">
        <f t="shared" si="46"/>
        <v>0</v>
      </c>
      <c r="AH57" s="59">
        <f t="shared" si="27"/>
        <v>2.6661914669656065E-2</v>
      </c>
      <c r="AI57" s="61">
        <f t="shared" si="28"/>
        <v>5.8862681131745757E-3</v>
      </c>
      <c r="AJ57" s="109">
        <f t="shared" si="28"/>
        <v>0</v>
      </c>
      <c r="AK57" s="59">
        <f t="shared" si="29"/>
        <v>1.6200424648821928E-2</v>
      </c>
      <c r="AL57" s="57">
        <f t="shared" si="30"/>
        <v>1.8522531094211297E-2</v>
      </c>
      <c r="AM57" s="99">
        <f t="shared" si="31"/>
        <v>3.6498975103065621E-2</v>
      </c>
      <c r="AN57" s="99">
        <f t="shared" si="32"/>
        <v>3.6498975103065621E-2</v>
      </c>
      <c r="AO57" s="99">
        <f t="shared" si="54"/>
        <v>2.5549282572145934E-2</v>
      </c>
      <c r="AP57" s="59">
        <f t="shared" si="34"/>
        <v>2.328307092445684E-2</v>
      </c>
      <c r="AQ57" s="57">
        <f t="shared" si="55"/>
        <v>1.8522531094211297E-2</v>
      </c>
      <c r="AR57" s="61">
        <f t="shared" si="56"/>
        <v>3.3825625958241409E-3</v>
      </c>
      <c r="AS57" s="59">
        <f t="shared" si="57"/>
        <v>2.6661914669656065E-2</v>
      </c>
      <c r="AT57" s="57">
        <f t="shared" si="38"/>
        <v>7.6041351708539626E-3</v>
      </c>
      <c r="AU57" s="61">
        <f t="shared" si="39"/>
        <v>3.3825625958241409E-3</v>
      </c>
      <c r="AW57">
        <f t="shared" si="47"/>
        <v>47</v>
      </c>
      <c r="AX57" s="11">
        <f t="shared" si="48"/>
        <v>3.4394487377875885E-2</v>
      </c>
      <c r="AY57" s="11">
        <f t="shared" si="49"/>
        <v>3.2548182782830642E-2</v>
      </c>
      <c r="AZ57" s="11">
        <f t="shared" si="58"/>
        <v>7.1221930846098847E-2</v>
      </c>
      <c r="BA57" s="11">
        <f t="shared" si="59"/>
        <v>7.1221930846098847E-2</v>
      </c>
      <c r="BB57" s="11">
        <f t="shared" si="60"/>
        <v>6.0272238315179159E-2</v>
      </c>
      <c r="BC57" s="11">
        <f t="shared" si="43"/>
        <v>4.5188164614492272E-2</v>
      </c>
      <c r="BD57" s="11">
        <f t="shared" si="44"/>
        <v>3.7648612436334168E-2</v>
      </c>
    </row>
    <row r="58" spans="1:56" x14ac:dyDescent="0.25">
      <c r="A58">
        <v>48</v>
      </c>
      <c r="B58">
        <f>MAX(A58-Settings!$Y$3*voltijdfranchise/1000, 0)</f>
        <v>33</v>
      </c>
      <c r="C58" s="59">
        <f t="shared" si="51"/>
        <v>4.1604018361135066E-2</v>
      </c>
      <c r="D58" s="61">
        <f t="shared" si="51"/>
        <v>8.9128849751201385E-3</v>
      </c>
      <c r="E58" s="109">
        <f t="shared" si="51"/>
        <v>0</v>
      </c>
      <c r="F58" s="59">
        <f t="shared" si="51"/>
        <v>3.9159687171057347E-2</v>
      </c>
      <c r="G58" s="61">
        <f t="shared" si="51"/>
        <v>8.6454562912251579E-3</v>
      </c>
      <c r="H58" s="109">
        <f t="shared" si="51"/>
        <v>0</v>
      </c>
      <c r="I58" s="59">
        <f t="shared" si="51"/>
        <v>2.3794373702957207E-2</v>
      </c>
      <c r="J58" s="57">
        <f t="shared" si="61"/>
        <v>2.6941863409761884E-2</v>
      </c>
      <c r="K58" s="99">
        <f t="shared" si="61"/>
        <v>5.3089418331731808E-2</v>
      </c>
      <c r="L58" s="99">
        <f t="shared" si="61"/>
        <v>5.3089418331731808E-2</v>
      </c>
      <c r="M58" s="99">
        <f t="shared" si="61"/>
        <v>3.7162592832212266E-2</v>
      </c>
      <c r="N58" s="59">
        <f t="shared" si="51"/>
        <v>3.4197010420295985E-2</v>
      </c>
      <c r="O58" s="57">
        <f t="shared" si="52"/>
        <v>2.6941863409761884E-2</v>
      </c>
      <c r="P58" s="61">
        <f t="shared" si="51"/>
        <v>4.968138812616707E-3</v>
      </c>
      <c r="Q58" s="59">
        <f t="shared" si="51"/>
        <v>3.9159687171057347E-2</v>
      </c>
      <c r="R58" s="57">
        <f t="shared" si="53"/>
        <v>1.1060560248514853E-2</v>
      </c>
      <c r="S58" s="61">
        <f t="shared" si="51"/>
        <v>4.968138812616707E-3</v>
      </c>
      <c r="U58" s="18">
        <f t="shared" si="62"/>
        <v>48</v>
      </c>
      <c r="V58" s="11">
        <f t="shared" si="63"/>
        <v>5.0516903336255206E-2</v>
      </c>
      <c r="W58" s="11">
        <f t="shared" si="64"/>
        <v>4.7805143462282505E-2</v>
      </c>
      <c r="X58" s="11">
        <f t="shared" si="20"/>
        <v>0.1038256554444509</v>
      </c>
      <c r="Y58" s="11">
        <f t="shared" si="21"/>
        <v>0.1038256554444509</v>
      </c>
      <c r="Z58" s="11">
        <f t="shared" si="22"/>
        <v>8.7898829944931353E-2</v>
      </c>
      <c r="AA58" s="11">
        <f t="shared" si="65"/>
        <v>6.6107012642674573E-2</v>
      </c>
      <c r="AB58" s="11">
        <f t="shared" si="66"/>
        <v>5.5188386232188906E-2</v>
      </c>
      <c r="AE58" s="59">
        <f t="shared" si="25"/>
        <v>2.8602762623280358E-2</v>
      </c>
      <c r="AF58" s="61">
        <f t="shared" si="26"/>
        <v>6.127608420395096E-3</v>
      </c>
      <c r="AG58" s="109">
        <f t="shared" si="46"/>
        <v>0</v>
      </c>
      <c r="AH58" s="59">
        <f t="shared" si="27"/>
        <v>2.6922284930101927E-2</v>
      </c>
      <c r="AI58" s="61">
        <f t="shared" si="28"/>
        <v>5.9437512002172956E-3</v>
      </c>
      <c r="AJ58" s="109">
        <f t="shared" si="28"/>
        <v>0</v>
      </c>
      <c r="AK58" s="59">
        <f t="shared" si="29"/>
        <v>1.635863192078308E-2</v>
      </c>
      <c r="AL58" s="57">
        <f t="shared" si="30"/>
        <v>1.8522531094211297E-2</v>
      </c>
      <c r="AM58" s="99">
        <f t="shared" si="31"/>
        <v>3.6498975103065621E-2</v>
      </c>
      <c r="AN58" s="99">
        <f t="shared" si="32"/>
        <v>3.6498975103065621E-2</v>
      </c>
      <c r="AO58" s="99">
        <f t="shared" si="54"/>
        <v>2.5549282572145934E-2</v>
      </c>
      <c r="AP58" s="59">
        <f t="shared" si="34"/>
        <v>2.3510444663953491E-2</v>
      </c>
      <c r="AQ58" s="57">
        <f t="shared" si="55"/>
        <v>1.8522531094211297E-2</v>
      </c>
      <c r="AR58" s="61">
        <f t="shared" si="56"/>
        <v>3.415595433673986E-3</v>
      </c>
      <c r="AS58" s="59">
        <f t="shared" si="57"/>
        <v>2.6922284930101927E-2</v>
      </c>
      <c r="AT58" s="57">
        <f t="shared" si="38"/>
        <v>7.6041351708539626E-3</v>
      </c>
      <c r="AU58" s="61">
        <f t="shared" si="39"/>
        <v>3.415595433673986E-3</v>
      </c>
      <c r="AW58">
        <f t="shared" si="47"/>
        <v>48</v>
      </c>
      <c r="AX58" s="11">
        <f t="shared" si="48"/>
        <v>3.4730371043675455E-2</v>
      </c>
      <c r="AY58" s="11">
        <f t="shared" si="49"/>
        <v>3.2866036130319222E-2</v>
      </c>
      <c r="AZ58" s="11">
        <f t="shared" si="58"/>
        <v>7.1380138118059988E-2</v>
      </c>
      <c r="BA58" s="11">
        <f t="shared" si="59"/>
        <v>7.1380138118059988E-2</v>
      </c>
      <c r="BB58" s="11">
        <f t="shared" si="60"/>
        <v>6.0430445587140308E-2</v>
      </c>
      <c r="BC58" s="11">
        <f t="shared" si="43"/>
        <v>4.5448571191838774E-2</v>
      </c>
      <c r="BD58" s="11">
        <f t="shared" si="44"/>
        <v>3.7942015534629878E-2</v>
      </c>
    </row>
    <row r="59" spans="1:56" x14ac:dyDescent="0.25">
      <c r="A59">
        <v>49</v>
      </c>
      <c r="B59">
        <f>MAX(A59-Settings!$Y$3*voltijdfranchise/1000, 0)</f>
        <v>34</v>
      </c>
      <c r="C59" s="59">
        <f t="shared" ref="C59:I68" si="67">C$6</f>
        <v>4.1604018361135066E-2</v>
      </c>
      <c r="D59" s="61">
        <f t="shared" si="67"/>
        <v>8.9128849751201385E-3</v>
      </c>
      <c r="E59" s="109">
        <f t="shared" si="67"/>
        <v>0</v>
      </c>
      <c r="F59" s="59">
        <f t="shared" si="67"/>
        <v>3.9159687171057347E-2</v>
      </c>
      <c r="G59" s="61">
        <f t="shared" si="67"/>
        <v>8.6454562912251579E-3</v>
      </c>
      <c r="H59" s="109">
        <f t="shared" si="67"/>
        <v>0</v>
      </c>
      <c r="I59" s="59">
        <f t="shared" si="67"/>
        <v>2.3794373702957207E-2</v>
      </c>
      <c r="J59" s="57">
        <f t="shared" si="61"/>
        <v>2.6694235988716279E-2</v>
      </c>
      <c r="K59" s="99">
        <f t="shared" si="61"/>
        <v>5.2601464119123982E-2</v>
      </c>
      <c r="L59" s="99">
        <f t="shared" si="61"/>
        <v>5.2601464119123982E-2</v>
      </c>
      <c r="M59" s="99">
        <f t="shared" si="61"/>
        <v>3.6821024883386788E-2</v>
      </c>
      <c r="N59" s="59">
        <f t="shared" ref="N59:N85" si="68">N$6</f>
        <v>3.4197010420295985E-2</v>
      </c>
      <c r="O59" s="57">
        <f t="shared" si="52"/>
        <v>2.6694235988716279E-2</v>
      </c>
      <c r="P59" s="61">
        <f t="shared" ref="P59:Q85" si="69">P$6</f>
        <v>4.968138812616707E-3</v>
      </c>
      <c r="Q59" s="59">
        <f t="shared" si="69"/>
        <v>3.9159687171057347E-2</v>
      </c>
      <c r="R59" s="57">
        <f t="shared" si="53"/>
        <v>1.0958900687407182E-2</v>
      </c>
      <c r="S59" s="61">
        <f t="shared" ref="S59:S85" si="70">S$6</f>
        <v>4.968138812616707E-3</v>
      </c>
      <c r="U59" s="18">
        <f t="shared" si="62"/>
        <v>49</v>
      </c>
      <c r="V59" s="11">
        <f t="shared" si="63"/>
        <v>5.0516903336255206E-2</v>
      </c>
      <c r="W59" s="11">
        <f t="shared" si="64"/>
        <v>4.7805143462282505E-2</v>
      </c>
      <c r="X59" s="11">
        <f t="shared" si="20"/>
        <v>0.10309007381079746</v>
      </c>
      <c r="Y59" s="11">
        <f t="shared" si="21"/>
        <v>0.10309007381079746</v>
      </c>
      <c r="Z59" s="11">
        <f t="shared" si="22"/>
        <v>8.7309634575060274E-2</v>
      </c>
      <c r="AA59" s="11">
        <f t="shared" si="65"/>
        <v>6.5859385221628972E-2</v>
      </c>
      <c r="AB59" s="11">
        <f t="shared" si="66"/>
        <v>5.5086726671081235E-2</v>
      </c>
      <c r="AE59" s="59">
        <f t="shared" si="25"/>
        <v>2.8868094373032494E-2</v>
      </c>
      <c r="AF59" s="61">
        <f t="shared" si="26"/>
        <v>6.1844507990629531E-3</v>
      </c>
      <c r="AG59" s="109">
        <f t="shared" si="46"/>
        <v>0</v>
      </c>
      <c r="AH59" s="59">
        <f t="shared" si="27"/>
        <v>2.7172027832978566E-2</v>
      </c>
      <c r="AI59" s="61">
        <f t="shared" si="28"/>
        <v>5.9988880388092925E-3</v>
      </c>
      <c r="AJ59" s="109">
        <f t="shared" si="28"/>
        <v>0</v>
      </c>
      <c r="AK59" s="59">
        <f t="shared" si="29"/>
        <v>1.6510381753072349E-2</v>
      </c>
      <c r="AL59" s="57">
        <f t="shared" si="30"/>
        <v>1.8522531094211297E-2</v>
      </c>
      <c r="AM59" s="99">
        <f t="shared" si="31"/>
        <v>3.6498975103065621E-2</v>
      </c>
      <c r="AN59" s="99">
        <f t="shared" si="32"/>
        <v>3.6498975103065621E-2</v>
      </c>
      <c r="AO59" s="99">
        <f t="shared" si="54"/>
        <v>2.5549282572145934E-2</v>
      </c>
      <c r="AP59" s="59">
        <f t="shared" si="34"/>
        <v>2.3728537842654357E-2</v>
      </c>
      <c r="AQ59" s="57">
        <f t="shared" si="55"/>
        <v>1.8522531094211297E-2</v>
      </c>
      <c r="AR59" s="61">
        <f t="shared" si="56"/>
        <v>3.4472799924279191E-3</v>
      </c>
      <c r="AS59" s="59">
        <f t="shared" si="57"/>
        <v>2.7172027832978566E-2</v>
      </c>
      <c r="AT59" s="57">
        <f t="shared" si="38"/>
        <v>7.6041351708539626E-3</v>
      </c>
      <c r="AU59" s="61">
        <f t="shared" si="39"/>
        <v>3.4472799924279191E-3</v>
      </c>
      <c r="AW59">
        <f t="shared" si="47"/>
        <v>49</v>
      </c>
      <c r="AX59" s="11">
        <f t="shared" si="48"/>
        <v>3.5052545172095446E-2</v>
      </c>
      <c r="AY59" s="11">
        <f t="shared" si="49"/>
        <v>3.3170915871787859E-2</v>
      </c>
      <c r="AZ59" s="11">
        <f t="shared" si="58"/>
        <v>7.153188795034926E-2</v>
      </c>
      <c r="BA59" s="11">
        <f t="shared" si="59"/>
        <v>7.153188795034926E-2</v>
      </c>
      <c r="BB59" s="11">
        <f t="shared" si="60"/>
        <v>6.058219541942958E-2</v>
      </c>
      <c r="BC59" s="11">
        <f t="shared" si="43"/>
        <v>4.5698348929293579E-2</v>
      </c>
      <c r="BD59" s="11">
        <f t="shared" si="44"/>
        <v>3.8223442996260452E-2</v>
      </c>
    </row>
    <row r="60" spans="1:56" x14ac:dyDescent="0.25">
      <c r="A60">
        <v>50</v>
      </c>
      <c r="B60">
        <f>MAX(A60-Settings!$Y$3*voltijdfranchise/1000, 0)</f>
        <v>35</v>
      </c>
      <c r="C60" s="59">
        <f t="shared" si="67"/>
        <v>4.1604018361135066E-2</v>
      </c>
      <c r="D60" s="61">
        <f t="shared" si="67"/>
        <v>8.9128849751201385E-3</v>
      </c>
      <c r="E60" s="109">
        <f t="shared" si="67"/>
        <v>0</v>
      </c>
      <c r="F60" s="59">
        <f t="shared" si="67"/>
        <v>3.9159687171057347E-2</v>
      </c>
      <c r="G60" s="61">
        <f t="shared" si="67"/>
        <v>8.6454562912251579E-3</v>
      </c>
      <c r="H60" s="109">
        <f t="shared" si="67"/>
        <v>0</v>
      </c>
      <c r="I60" s="59">
        <f t="shared" si="67"/>
        <v>2.3794373702957207E-2</v>
      </c>
      <c r="J60" s="57">
        <f t="shared" si="61"/>
        <v>2.6460758706016139E-2</v>
      </c>
      <c r="K60" s="99">
        <f t="shared" si="61"/>
        <v>5.2141393004379456E-2</v>
      </c>
      <c r="L60" s="99">
        <f t="shared" si="61"/>
        <v>5.2141393004379456E-2</v>
      </c>
      <c r="M60" s="99">
        <f t="shared" si="61"/>
        <v>3.6498975103065621E-2</v>
      </c>
      <c r="N60" s="59">
        <f t="shared" si="68"/>
        <v>3.4197010420295985E-2</v>
      </c>
      <c r="O60" s="57">
        <f t="shared" si="52"/>
        <v>2.6460758706016139E-2</v>
      </c>
      <c r="P60" s="61">
        <f t="shared" si="69"/>
        <v>4.968138812616707E-3</v>
      </c>
      <c r="Q60" s="59">
        <f t="shared" si="69"/>
        <v>3.9159687171057347E-2</v>
      </c>
      <c r="R60" s="57">
        <f t="shared" si="53"/>
        <v>1.0863050244077089E-2</v>
      </c>
      <c r="S60" s="61">
        <f t="shared" si="70"/>
        <v>4.968138812616707E-3</v>
      </c>
      <c r="U60" s="18">
        <f t="shared" si="62"/>
        <v>50</v>
      </c>
      <c r="V60" s="11">
        <f t="shared" si="63"/>
        <v>5.0516903336255206E-2</v>
      </c>
      <c r="W60" s="11">
        <f t="shared" si="64"/>
        <v>4.7805143462282505E-2</v>
      </c>
      <c r="X60" s="11">
        <f t="shared" si="20"/>
        <v>0.10239652541335281</v>
      </c>
      <c r="Y60" s="11">
        <f t="shared" si="21"/>
        <v>0.10239652541335281</v>
      </c>
      <c r="Z60" s="11">
        <f t="shared" si="22"/>
        <v>8.6754107512038964E-2</v>
      </c>
      <c r="AA60" s="11">
        <f t="shared" si="65"/>
        <v>6.5625907938928835E-2</v>
      </c>
      <c r="AB60" s="11">
        <f t="shared" si="66"/>
        <v>5.4990876227751145E-2</v>
      </c>
      <c r="AE60" s="59">
        <f t="shared" si="25"/>
        <v>2.9122812852794545E-2</v>
      </c>
      <c r="AF60" s="61">
        <f t="shared" si="26"/>
        <v>6.239019482584097E-3</v>
      </c>
      <c r="AG60" s="109">
        <f t="shared" si="46"/>
        <v>0</v>
      </c>
      <c r="AH60" s="59">
        <f t="shared" si="27"/>
        <v>2.7411781019740143E-2</v>
      </c>
      <c r="AI60" s="61">
        <f t="shared" si="28"/>
        <v>6.0518194038576105E-3</v>
      </c>
      <c r="AJ60" s="109">
        <f t="shared" si="28"/>
        <v>0</v>
      </c>
      <c r="AK60" s="59">
        <f t="shared" si="29"/>
        <v>1.6656061592070046E-2</v>
      </c>
      <c r="AL60" s="57">
        <f t="shared" si="30"/>
        <v>1.8522531094211297E-2</v>
      </c>
      <c r="AM60" s="99">
        <f t="shared" si="31"/>
        <v>3.6498975103065621E-2</v>
      </c>
      <c r="AN60" s="99">
        <f t="shared" si="32"/>
        <v>3.6498975103065621E-2</v>
      </c>
      <c r="AO60" s="99">
        <f t="shared" si="54"/>
        <v>2.5549282572145934E-2</v>
      </c>
      <c r="AP60" s="59">
        <f t="shared" si="34"/>
        <v>2.3937907294207191E-2</v>
      </c>
      <c r="AQ60" s="57">
        <f t="shared" si="55"/>
        <v>1.8522531094211297E-2</v>
      </c>
      <c r="AR60" s="61">
        <f t="shared" si="56"/>
        <v>3.4776971688316948E-3</v>
      </c>
      <c r="AS60" s="59">
        <f t="shared" si="57"/>
        <v>2.7411781019740143E-2</v>
      </c>
      <c r="AT60" s="57">
        <f t="shared" si="38"/>
        <v>7.6041351708539626E-3</v>
      </c>
      <c r="AU60" s="61">
        <f t="shared" si="39"/>
        <v>3.4776971688316948E-3</v>
      </c>
      <c r="AW60">
        <f t="shared" si="47"/>
        <v>50</v>
      </c>
      <c r="AX60" s="11">
        <f t="shared" si="48"/>
        <v>3.5361832335378644E-2</v>
      </c>
      <c r="AY60" s="11">
        <f t="shared" si="49"/>
        <v>3.346360042359775E-2</v>
      </c>
      <c r="AZ60" s="11">
        <f t="shared" si="58"/>
        <v>7.1677567789346974E-2</v>
      </c>
      <c r="BA60" s="11">
        <f t="shared" si="59"/>
        <v>7.1677567789346974E-2</v>
      </c>
      <c r="BB60" s="11">
        <f t="shared" si="60"/>
        <v>6.072787525842728E-2</v>
      </c>
      <c r="BC60" s="11">
        <f t="shared" si="43"/>
        <v>4.5938135557250181E-2</v>
      </c>
      <c r="BD60" s="11">
        <f t="shared" si="44"/>
        <v>3.8493613359425798E-2</v>
      </c>
    </row>
    <row r="61" spans="1:56" x14ac:dyDescent="0.25">
      <c r="A61">
        <v>51</v>
      </c>
      <c r="B61">
        <f>MAX(A61-Settings!$Y$3*voltijdfranchise/1000, 0)</f>
        <v>36</v>
      </c>
      <c r="C61" s="59">
        <f t="shared" si="67"/>
        <v>4.1604018361135066E-2</v>
      </c>
      <c r="D61" s="61">
        <f t="shared" si="67"/>
        <v>8.9128849751201385E-3</v>
      </c>
      <c r="E61" s="109">
        <f t="shared" si="67"/>
        <v>0</v>
      </c>
      <c r="F61" s="59">
        <f t="shared" si="67"/>
        <v>3.9159687171057347E-2</v>
      </c>
      <c r="G61" s="61">
        <f t="shared" si="67"/>
        <v>8.6454562912251579E-3</v>
      </c>
      <c r="H61" s="109">
        <f t="shared" si="67"/>
        <v>0</v>
      </c>
      <c r="I61" s="59">
        <f t="shared" si="67"/>
        <v>2.3794373702957207E-2</v>
      </c>
      <c r="J61" s="57">
        <f t="shared" si="61"/>
        <v>2.6240252383466004E-2</v>
      </c>
      <c r="K61" s="99">
        <f t="shared" si="61"/>
        <v>5.1706881396009624E-2</v>
      </c>
      <c r="L61" s="99">
        <f t="shared" si="61"/>
        <v>5.1706881396009624E-2</v>
      </c>
      <c r="M61" s="99">
        <f t="shared" si="61"/>
        <v>3.6194816977206744E-2</v>
      </c>
      <c r="N61" s="59">
        <f t="shared" si="68"/>
        <v>3.4197010420295985E-2</v>
      </c>
      <c r="O61" s="57">
        <f t="shared" si="52"/>
        <v>2.6240252383466004E-2</v>
      </c>
      <c r="P61" s="61">
        <f t="shared" si="69"/>
        <v>4.968138812616707E-3</v>
      </c>
      <c r="Q61" s="59">
        <f t="shared" si="69"/>
        <v>3.9159687171057347E-2</v>
      </c>
      <c r="R61" s="57">
        <f t="shared" si="53"/>
        <v>1.0772524825376446E-2</v>
      </c>
      <c r="S61" s="61">
        <f t="shared" si="70"/>
        <v>4.968138812616707E-3</v>
      </c>
      <c r="U61" s="18">
        <f t="shared" si="62"/>
        <v>51</v>
      </c>
      <c r="V61" s="11">
        <f t="shared" si="63"/>
        <v>5.0516903336255206E-2</v>
      </c>
      <c r="W61" s="11">
        <f t="shared" si="64"/>
        <v>4.7805143462282505E-2</v>
      </c>
      <c r="X61" s="11">
        <f t="shared" si="20"/>
        <v>0.10174150748243284</v>
      </c>
      <c r="Y61" s="11">
        <f t="shared" si="21"/>
        <v>0.10174150748243284</v>
      </c>
      <c r="Z61" s="11">
        <f t="shared" si="22"/>
        <v>8.6229443063629951E-2</v>
      </c>
      <c r="AA61" s="11">
        <f t="shared" si="65"/>
        <v>6.54054016163787E-2</v>
      </c>
      <c r="AB61" s="11">
        <f t="shared" si="66"/>
        <v>5.4900350809050501E-2</v>
      </c>
      <c r="AE61" s="59">
        <f t="shared" si="25"/>
        <v>2.9367542372565929E-2</v>
      </c>
      <c r="AF61" s="61">
        <f t="shared" si="26"/>
        <v>6.2914482177318619E-3</v>
      </c>
      <c r="AG61" s="109">
        <f t="shared" si="46"/>
        <v>0</v>
      </c>
      <c r="AH61" s="59">
        <f t="shared" si="27"/>
        <v>2.7642132120746361E-2</v>
      </c>
      <c r="AI61" s="61">
        <f t="shared" si="28"/>
        <v>6.1026750291001105E-3</v>
      </c>
      <c r="AJ61" s="109">
        <f t="shared" si="28"/>
        <v>0</v>
      </c>
      <c r="AK61" s="59">
        <f t="shared" si="29"/>
        <v>1.6796028496205085E-2</v>
      </c>
      <c r="AL61" s="57">
        <f t="shared" si="30"/>
        <v>1.8522531094211297E-2</v>
      </c>
      <c r="AM61" s="99">
        <f t="shared" si="31"/>
        <v>3.6498975103065621E-2</v>
      </c>
      <c r="AN61" s="99">
        <f t="shared" si="32"/>
        <v>3.6498975103065621E-2</v>
      </c>
      <c r="AO61" s="99">
        <f t="shared" si="54"/>
        <v>2.5549282572145934E-2</v>
      </c>
      <c r="AP61" s="59">
        <f t="shared" si="34"/>
        <v>2.413906617903246E-2</v>
      </c>
      <c r="AQ61" s="57">
        <f t="shared" si="55"/>
        <v>1.8522531094211297E-2</v>
      </c>
      <c r="AR61" s="61">
        <f t="shared" si="56"/>
        <v>3.5069215147882637E-3</v>
      </c>
      <c r="AS61" s="59">
        <f t="shared" si="57"/>
        <v>2.7642132120746361E-2</v>
      </c>
      <c r="AT61" s="57">
        <f t="shared" si="38"/>
        <v>7.6041351708539626E-3</v>
      </c>
      <c r="AU61" s="61">
        <f t="shared" si="39"/>
        <v>3.5069215147882637E-3</v>
      </c>
      <c r="AW61">
        <f t="shared" si="47"/>
        <v>51</v>
      </c>
      <c r="AX61" s="11">
        <f t="shared" si="48"/>
        <v>3.5658990590297791E-2</v>
      </c>
      <c r="AY61" s="11">
        <f t="shared" si="49"/>
        <v>3.374480714984647E-2</v>
      </c>
      <c r="AZ61" s="11">
        <f t="shared" si="58"/>
        <v>7.181753469348201E-2</v>
      </c>
      <c r="BA61" s="11">
        <f t="shared" si="59"/>
        <v>7.181753469348201E-2</v>
      </c>
      <c r="BB61" s="11">
        <f t="shared" si="60"/>
        <v>6.0867842162562316E-2</v>
      </c>
      <c r="BC61" s="11">
        <f t="shared" si="43"/>
        <v>4.616851878803202E-2</v>
      </c>
      <c r="BD61" s="11">
        <f t="shared" si="44"/>
        <v>3.8753188806388589E-2</v>
      </c>
    </row>
    <row r="62" spans="1:56" x14ac:dyDescent="0.25">
      <c r="A62">
        <v>52</v>
      </c>
      <c r="B62">
        <f>MAX(A62-Settings!$Y$3*voltijdfranchise/1000, 0)</f>
        <v>37</v>
      </c>
      <c r="C62" s="59">
        <f t="shared" si="67"/>
        <v>4.1604018361135066E-2</v>
      </c>
      <c r="D62" s="61">
        <f t="shared" si="67"/>
        <v>8.9128849751201385E-3</v>
      </c>
      <c r="E62" s="109">
        <f t="shared" si="67"/>
        <v>0</v>
      </c>
      <c r="F62" s="59">
        <f t="shared" si="67"/>
        <v>3.9159687171057347E-2</v>
      </c>
      <c r="G62" s="61">
        <f t="shared" si="67"/>
        <v>8.6454562912251579E-3</v>
      </c>
      <c r="H62" s="109">
        <f t="shared" si="67"/>
        <v>0</v>
      </c>
      <c r="I62" s="59">
        <f t="shared" si="67"/>
        <v>2.3794373702957207E-2</v>
      </c>
      <c r="J62" s="57">
        <f t="shared" si="61"/>
        <v>2.6031665321594254E-2</v>
      </c>
      <c r="K62" s="99">
        <f t="shared" si="61"/>
        <v>5.1295856901605742E-2</v>
      </c>
      <c r="L62" s="99">
        <f t="shared" si="61"/>
        <v>5.1295856901605742E-2</v>
      </c>
      <c r="M62" s="99">
        <f t="shared" si="61"/>
        <v>3.5907099831124015E-2</v>
      </c>
      <c r="N62" s="59">
        <f t="shared" si="68"/>
        <v>3.4197010420295985E-2</v>
      </c>
      <c r="O62" s="57">
        <f t="shared" si="52"/>
        <v>2.6031665321594254E-2</v>
      </c>
      <c r="P62" s="61">
        <f t="shared" si="69"/>
        <v>4.968138812616707E-3</v>
      </c>
      <c r="Q62" s="59">
        <f t="shared" si="69"/>
        <v>3.9159687171057347E-2</v>
      </c>
      <c r="R62" s="57">
        <f t="shared" si="53"/>
        <v>1.0686892672551516E-2</v>
      </c>
      <c r="S62" s="61">
        <f t="shared" si="70"/>
        <v>4.968138812616707E-3</v>
      </c>
      <c r="U62" s="18">
        <f t="shared" si="62"/>
        <v>52</v>
      </c>
      <c r="V62" s="11">
        <f t="shared" si="63"/>
        <v>5.0516903336255206E-2</v>
      </c>
      <c r="W62" s="11">
        <f t="shared" si="64"/>
        <v>4.7805143462282505E-2</v>
      </c>
      <c r="X62" s="11">
        <f t="shared" si="20"/>
        <v>0.1011218959261572</v>
      </c>
      <c r="Y62" s="11">
        <f t="shared" si="21"/>
        <v>0.1011218959261572</v>
      </c>
      <c r="Z62" s="11">
        <f t="shared" si="22"/>
        <v>8.5733138855675475E-2</v>
      </c>
      <c r="AA62" s="11">
        <f t="shared" si="65"/>
        <v>6.5196814554506946E-2</v>
      </c>
      <c r="AB62" s="11">
        <f t="shared" si="66"/>
        <v>5.4814718656225572E-2</v>
      </c>
      <c r="AE62" s="59">
        <f t="shared" si="25"/>
        <v>2.9602859218499953E-2</v>
      </c>
      <c r="AF62" s="61">
        <f t="shared" si="26"/>
        <v>6.3418604630662524E-3</v>
      </c>
      <c r="AG62" s="109">
        <f t="shared" si="46"/>
        <v>0</v>
      </c>
      <c r="AH62" s="59">
        <f t="shared" si="27"/>
        <v>2.7863623564021573E-2</v>
      </c>
      <c r="AI62" s="61">
        <f t="shared" si="28"/>
        <v>6.1515746687563627E-3</v>
      </c>
      <c r="AJ62" s="109">
        <f t="shared" si="28"/>
        <v>0</v>
      </c>
      <c r="AK62" s="59">
        <f t="shared" si="29"/>
        <v>1.6930612057873398E-2</v>
      </c>
      <c r="AL62" s="57">
        <f t="shared" si="30"/>
        <v>1.8522531094211297E-2</v>
      </c>
      <c r="AM62" s="99">
        <f t="shared" si="31"/>
        <v>3.6498975103065621E-2</v>
      </c>
      <c r="AN62" s="99">
        <f t="shared" si="32"/>
        <v>3.6498975103065621E-2</v>
      </c>
      <c r="AO62" s="99">
        <f t="shared" si="54"/>
        <v>2.5549282572145934E-2</v>
      </c>
      <c r="AP62" s="59">
        <f t="shared" si="34"/>
        <v>2.4332488183672143E-2</v>
      </c>
      <c r="AQ62" s="57">
        <f t="shared" si="55"/>
        <v>1.8522531094211297E-2</v>
      </c>
      <c r="AR62" s="61">
        <f t="shared" si="56"/>
        <v>3.5350218474388107E-3</v>
      </c>
      <c r="AS62" s="59">
        <f t="shared" si="57"/>
        <v>2.7863623564021573E-2</v>
      </c>
      <c r="AT62" s="57">
        <f t="shared" si="38"/>
        <v>7.6041351708539626E-3</v>
      </c>
      <c r="AU62" s="61">
        <f t="shared" si="39"/>
        <v>3.5350218474388107E-3</v>
      </c>
      <c r="AW62">
        <f t="shared" si="47"/>
        <v>52</v>
      </c>
      <c r="AX62" s="11">
        <f t="shared" si="48"/>
        <v>3.5944719681566206E-2</v>
      </c>
      <c r="AY62" s="11">
        <f t="shared" si="49"/>
        <v>3.4015198232777932E-2</v>
      </c>
      <c r="AZ62" s="11">
        <f t="shared" si="58"/>
        <v>7.1952118255150327E-2</v>
      </c>
      <c r="BA62" s="11">
        <f t="shared" si="59"/>
        <v>7.1952118255150327E-2</v>
      </c>
      <c r="BB62" s="11">
        <f t="shared" si="60"/>
        <v>6.1002425724230633E-2</v>
      </c>
      <c r="BC62" s="11">
        <f t="shared" si="43"/>
        <v>4.6390041125322252E-2</v>
      </c>
      <c r="BD62" s="11">
        <f t="shared" si="44"/>
        <v>3.900278058231435E-2</v>
      </c>
    </row>
    <row r="63" spans="1:56" x14ac:dyDescent="0.25">
      <c r="A63">
        <v>53</v>
      </c>
      <c r="B63">
        <f>MAX(A63-Settings!$Y$3*voltijdfranchise/1000, 0)</f>
        <v>38</v>
      </c>
      <c r="C63" s="59">
        <f t="shared" si="67"/>
        <v>4.1604018361135066E-2</v>
      </c>
      <c r="D63" s="61">
        <f t="shared" si="67"/>
        <v>8.9128849751201385E-3</v>
      </c>
      <c r="E63" s="109">
        <f t="shared" si="67"/>
        <v>0</v>
      </c>
      <c r="F63" s="59">
        <f t="shared" si="67"/>
        <v>3.9159687171057347E-2</v>
      </c>
      <c r="G63" s="61">
        <f t="shared" si="67"/>
        <v>8.6454562912251579E-3</v>
      </c>
      <c r="H63" s="109">
        <f t="shared" si="67"/>
        <v>0</v>
      </c>
      <c r="I63" s="59">
        <f t="shared" si="67"/>
        <v>2.3794373702957207E-2</v>
      </c>
      <c r="J63" s="57">
        <f t="shared" si="61"/>
        <v>2.5834056526136809E-2</v>
      </c>
      <c r="K63" s="99">
        <f t="shared" si="61"/>
        <v>5.0906465275328362E-2</v>
      </c>
      <c r="L63" s="99">
        <f t="shared" si="61"/>
        <v>5.0906465275328362E-2</v>
      </c>
      <c r="M63" s="99">
        <f t="shared" si="61"/>
        <v>3.563452569272986E-2</v>
      </c>
      <c r="N63" s="59">
        <f t="shared" si="68"/>
        <v>3.4197010420295985E-2</v>
      </c>
      <c r="O63" s="57">
        <f t="shared" si="52"/>
        <v>2.5834056526136809E-2</v>
      </c>
      <c r="P63" s="61">
        <f t="shared" si="69"/>
        <v>4.968138812616707E-3</v>
      </c>
      <c r="Q63" s="59">
        <f t="shared" si="69"/>
        <v>3.9159687171057347E-2</v>
      </c>
      <c r="R63" s="57">
        <f t="shared" si="53"/>
        <v>1.0605767475138422E-2</v>
      </c>
      <c r="S63" s="61">
        <f t="shared" si="70"/>
        <v>4.968138812616707E-3</v>
      </c>
      <c r="U63" s="18">
        <f t="shared" si="62"/>
        <v>53</v>
      </c>
      <c r="V63" s="11">
        <f t="shared" si="63"/>
        <v>5.0516903336255206E-2</v>
      </c>
      <c r="W63" s="11">
        <f t="shared" si="64"/>
        <v>4.7805143462282505E-2</v>
      </c>
      <c r="X63" s="11">
        <f t="shared" si="20"/>
        <v>0.10053489550442238</v>
      </c>
      <c r="Y63" s="11">
        <f t="shared" si="21"/>
        <v>0.10053489550442238</v>
      </c>
      <c r="Z63" s="11">
        <f t="shared" si="22"/>
        <v>8.5262955921823869E-2</v>
      </c>
      <c r="AA63" s="11">
        <f t="shared" si="65"/>
        <v>6.4999205759049494E-2</v>
      </c>
      <c r="AB63" s="11">
        <f t="shared" si="66"/>
        <v>5.4733593458812478E-2</v>
      </c>
      <c r="AE63" s="59">
        <f t="shared" si="25"/>
        <v>2.9829296183455329E-2</v>
      </c>
      <c r="AF63" s="61">
        <f t="shared" si="26"/>
        <v>6.3903703595200997E-3</v>
      </c>
      <c r="AG63" s="109">
        <f t="shared" si="46"/>
        <v>0</v>
      </c>
      <c r="AH63" s="59">
        <f t="shared" si="27"/>
        <v>2.8076756839626023E-2</v>
      </c>
      <c r="AI63" s="61">
        <f t="shared" si="28"/>
        <v>6.1986290389916231E-3</v>
      </c>
      <c r="AJ63" s="109">
        <f t="shared" si="28"/>
        <v>0</v>
      </c>
      <c r="AK63" s="59">
        <f t="shared" si="29"/>
        <v>1.7060116994573091E-2</v>
      </c>
      <c r="AL63" s="57">
        <f t="shared" si="30"/>
        <v>1.8522531094211297E-2</v>
      </c>
      <c r="AM63" s="99">
        <f t="shared" si="31"/>
        <v>3.6498975103065621E-2</v>
      </c>
      <c r="AN63" s="99">
        <f t="shared" si="32"/>
        <v>3.6498975103065621E-2</v>
      </c>
      <c r="AO63" s="99">
        <f t="shared" si="54"/>
        <v>2.5549282572145934E-2</v>
      </c>
      <c r="AP63" s="59">
        <f t="shared" si="34"/>
        <v>2.4518611244740519E-2</v>
      </c>
      <c r="AQ63" s="57">
        <f t="shared" si="55"/>
        <v>1.8522531094211297E-2</v>
      </c>
      <c r="AR63" s="61">
        <f t="shared" si="56"/>
        <v>3.5620617901780164E-3</v>
      </c>
      <c r="AS63" s="59">
        <f t="shared" si="57"/>
        <v>2.8076756839626023E-2</v>
      </c>
      <c r="AT63" s="57">
        <f t="shared" si="38"/>
        <v>7.6041351708539626E-3</v>
      </c>
      <c r="AU63" s="61">
        <f t="shared" si="39"/>
        <v>3.5620617901780164E-3</v>
      </c>
      <c r="AW63">
        <f t="shared" si="47"/>
        <v>53</v>
      </c>
      <c r="AX63" s="11">
        <f t="shared" si="48"/>
        <v>3.6219666542975426E-2</v>
      </c>
      <c r="AY63" s="11">
        <f t="shared" si="49"/>
        <v>3.4275385878617642E-2</v>
      </c>
      <c r="AZ63" s="11">
        <f t="shared" si="58"/>
        <v>7.2081623191850019E-2</v>
      </c>
      <c r="BA63" s="11">
        <f t="shared" si="59"/>
        <v>7.2081623191850019E-2</v>
      </c>
      <c r="BB63" s="11">
        <f t="shared" si="60"/>
        <v>6.1131930660930325E-2</v>
      </c>
      <c r="BC63" s="11">
        <f t="shared" si="43"/>
        <v>4.6603204129129834E-2</v>
      </c>
      <c r="BD63" s="11">
        <f t="shared" si="44"/>
        <v>3.9242953800658002E-2</v>
      </c>
    </row>
    <row r="64" spans="1:56" x14ac:dyDescent="0.25">
      <c r="A64">
        <v>54</v>
      </c>
      <c r="B64">
        <f>MAX(A64-Settings!$Y$3*voltijdfranchise/1000, 0)</f>
        <v>39</v>
      </c>
      <c r="C64" s="59">
        <f t="shared" si="67"/>
        <v>4.1604018361135066E-2</v>
      </c>
      <c r="D64" s="61">
        <f t="shared" si="67"/>
        <v>8.9128849751201385E-3</v>
      </c>
      <c r="E64" s="109">
        <f t="shared" si="67"/>
        <v>0</v>
      </c>
      <c r="F64" s="59">
        <f t="shared" si="67"/>
        <v>3.9159687171057347E-2</v>
      </c>
      <c r="G64" s="61">
        <f t="shared" si="67"/>
        <v>8.6454562912251579E-3</v>
      </c>
      <c r="H64" s="109">
        <f t="shared" si="67"/>
        <v>0</v>
      </c>
      <c r="I64" s="59">
        <f t="shared" si="67"/>
        <v>2.3794373702957207E-2</v>
      </c>
      <c r="J64" s="57">
        <f t="shared" si="61"/>
        <v>2.5646581515061797E-2</v>
      </c>
      <c r="K64" s="99">
        <f t="shared" si="61"/>
        <v>5.0537042450398556E-2</v>
      </c>
      <c r="L64" s="99">
        <f t="shared" si="61"/>
        <v>5.0537042450398556E-2</v>
      </c>
      <c r="M64" s="99">
        <f t="shared" si="61"/>
        <v>3.5375929715278989E-2</v>
      </c>
      <c r="N64" s="59">
        <f t="shared" si="68"/>
        <v>3.4197010420295985E-2</v>
      </c>
      <c r="O64" s="57">
        <f t="shared" si="52"/>
        <v>2.5646581515061797E-2</v>
      </c>
      <c r="P64" s="61">
        <f t="shared" si="69"/>
        <v>4.968138812616707E-3</v>
      </c>
      <c r="Q64" s="59">
        <f t="shared" si="69"/>
        <v>3.9159687171057347E-2</v>
      </c>
      <c r="R64" s="57">
        <f t="shared" si="53"/>
        <v>1.0528802544259334E-2</v>
      </c>
      <c r="S64" s="61">
        <f t="shared" si="70"/>
        <v>4.968138812616707E-3</v>
      </c>
      <c r="U64" s="18">
        <f t="shared" si="62"/>
        <v>54</v>
      </c>
      <c r="V64" s="11">
        <f t="shared" si="63"/>
        <v>5.0516903336255206E-2</v>
      </c>
      <c r="W64" s="11">
        <f t="shared" si="64"/>
        <v>4.7805143462282505E-2</v>
      </c>
      <c r="X64" s="11">
        <f t="shared" si="20"/>
        <v>9.9977997668417556E-2</v>
      </c>
      <c r="Y64" s="11">
        <f t="shared" si="21"/>
        <v>9.9977997668417556E-2</v>
      </c>
      <c r="Z64" s="11">
        <f t="shared" si="22"/>
        <v>8.481688493329799E-2</v>
      </c>
      <c r="AA64" s="11">
        <f t="shared" si="65"/>
        <v>6.4811730747974486E-2</v>
      </c>
      <c r="AB64" s="11">
        <f t="shared" si="66"/>
        <v>5.465662852793339E-2</v>
      </c>
      <c r="AE64" s="59">
        <f t="shared" si="25"/>
        <v>3.0047346594153104E-2</v>
      </c>
      <c r="AF64" s="61">
        <f t="shared" si="26"/>
        <v>6.4370835931423223E-3</v>
      </c>
      <c r="AG64" s="109">
        <f t="shared" si="46"/>
        <v>0</v>
      </c>
      <c r="AH64" s="59">
        <f t="shared" si="27"/>
        <v>2.8281996290208083E-2</v>
      </c>
      <c r="AI64" s="61">
        <f t="shared" si="28"/>
        <v>6.2439406547737256E-3</v>
      </c>
      <c r="AJ64" s="109">
        <f t="shared" si="28"/>
        <v>0</v>
      </c>
      <c r="AK64" s="59">
        <f t="shared" si="29"/>
        <v>1.718482545213576E-2</v>
      </c>
      <c r="AL64" s="57">
        <f t="shared" si="30"/>
        <v>1.8522531094211297E-2</v>
      </c>
      <c r="AM64" s="99">
        <f t="shared" si="31"/>
        <v>3.6498975103065621E-2</v>
      </c>
      <c r="AN64" s="99">
        <f t="shared" si="32"/>
        <v>3.6498975103065621E-2</v>
      </c>
      <c r="AO64" s="99">
        <f t="shared" si="54"/>
        <v>2.5549282572145934E-2</v>
      </c>
      <c r="AP64" s="59">
        <f t="shared" si="34"/>
        <v>2.4697840859102656E-2</v>
      </c>
      <c r="AQ64" s="57">
        <f t="shared" si="55"/>
        <v>1.8522531094211297E-2</v>
      </c>
      <c r="AR64" s="61">
        <f t="shared" si="56"/>
        <v>3.5881002535565107E-3</v>
      </c>
      <c r="AS64" s="59">
        <f t="shared" si="57"/>
        <v>2.8281996290208083E-2</v>
      </c>
      <c r="AT64" s="57">
        <f t="shared" si="38"/>
        <v>7.6041351708539626E-3</v>
      </c>
      <c r="AU64" s="61">
        <f t="shared" si="39"/>
        <v>3.5881002535565107E-3</v>
      </c>
      <c r="AW64">
        <f t="shared" si="47"/>
        <v>54</v>
      </c>
      <c r="AX64" s="11">
        <f t="shared" si="48"/>
        <v>3.6484430187295427E-2</v>
      </c>
      <c r="AY64" s="11">
        <f t="shared" si="49"/>
        <v>3.4525936944981808E-2</v>
      </c>
      <c r="AZ64" s="11">
        <f t="shared" si="58"/>
        <v>7.2206331649412675E-2</v>
      </c>
      <c r="BA64" s="11">
        <f t="shared" si="59"/>
        <v>7.2206331649412675E-2</v>
      </c>
      <c r="BB64" s="11">
        <f t="shared" si="60"/>
        <v>6.1256639118492995E-2</v>
      </c>
      <c r="BC64" s="11">
        <f t="shared" si="43"/>
        <v>4.6808472206870462E-2</v>
      </c>
      <c r="BD64" s="11">
        <f t="shared" si="44"/>
        <v>3.9474231714618557E-2</v>
      </c>
    </row>
    <row r="65" spans="1:56" x14ac:dyDescent="0.25">
      <c r="A65">
        <v>55</v>
      </c>
      <c r="B65">
        <f>MAX(A65-Settings!$Y$3*voltijdfranchise/1000, 0)</f>
        <v>40</v>
      </c>
      <c r="C65" s="59">
        <f t="shared" si="67"/>
        <v>4.1604018361135066E-2</v>
      </c>
      <c r="D65" s="61">
        <f t="shared" si="67"/>
        <v>8.9128849751201385E-3</v>
      </c>
      <c r="E65" s="109">
        <f t="shared" si="67"/>
        <v>0</v>
      </c>
      <c r="F65" s="59">
        <f t="shared" si="67"/>
        <v>3.9159687171057347E-2</v>
      </c>
      <c r="G65" s="61">
        <f t="shared" si="67"/>
        <v>8.6454562912251579E-3</v>
      </c>
      <c r="H65" s="109">
        <f t="shared" si="67"/>
        <v>0</v>
      </c>
      <c r="I65" s="59">
        <f t="shared" si="67"/>
        <v>2.3794373702957207E-2</v>
      </c>
      <c r="J65" s="57">
        <f t="shared" si="61"/>
        <v>2.5468480254540533E-2</v>
      </c>
      <c r="K65" s="99">
        <f t="shared" si="61"/>
        <v>5.0186090766715229E-2</v>
      </c>
      <c r="L65" s="99">
        <f t="shared" si="61"/>
        <v>5.0186090766715229E-2</v>
      </c>
      <c r="M65" s="99">
        <f t="shared" si="61"/>
        <v>3.5130263536700665E-2</v>
      </c>
      <c r="N65" s="59">
        <f t="shared" si="68"/>
        <v>3.4197010420295985E-2</v>
      </c>
      <c r="O65" s="57">
        <f t="shared" si="52"/>
        <v>2.5468480254540533E-2</v>
      </c>
      <c r="P65" s="61">
        <f t="shared" si="69"/>
        <v>4.968138812616707E-3</v>
      </c>
      <c r="Q65" s="59">
        <f t="shared" si="69"/>
        <v>3.9159687171057347E-2</v>
      </c>
      <c r="R65" s="57">
        <f t="shared" si="53"/>
        <v>1.0455685859924199E-2</v>
      </c>
      <c r="S65" s="61">
        <f t="shared" si="70"/>
        <v>4.968138812616707E-3</v>
      </c>
      <c r="U65" s="18">
        <f t="shared" si="62"/>
        <v>55</v>
      </c>
      <c r="V65" s="11">
        <f t="shared" si="63"/>
        <v>5.0516903336255206E-2</v>
      </c>
      <c r="W65" s="11">
        <f t="shared" si="64"/>
        <v>4.7805143462282505E-2</v>
      </c>
      <c r="X65" s="11">
        <f t="shared" si="20"/>
        <v>9.9448944724212979E-2</v>
      </c>
      <c r="Y65" s="11">
        <f t="shared" si="21"/>
        <v>9.9448944724212979E-2</v>
      </c>
      <c r="Z65" s="11">
        <f t="shared" si="22"/>
        <v>8.4393117494198408E-2</v>
      </c>
      <c r="AA65" s="11">
        <f t="shared" si="65"/>
        <v>6.4633629487453229E-2</v>
      </c>
      <c r="AB65" s="11">
        <f t="shared" si="66"/>
        <v>5.4583511843598255E-2</v>
      </c>
      <c r="AE65" s="59">
        <f t="shared" si="25"/>
        <v>3.025746789900732E-2</v>
      </c>
      <c r="AF65" s="61">
        <f t="shared" si="26"/>
        <v>6.4820981637237372E-3</v>
      </c>
      <c r="AG65" s="109">
        <f t="shared" si="46"/>
        <v>0</v>
      </c>
      <c r="AH65" s="59">
        <f t="shared" si="27"/>
        <v>2.8479772488041705E-2</v>
      </c>
      <c r="AI65" s="61">
        <f t="shared" si="28"/>
        <v>6.2876045754364784E-3</v>
      </c>
      <c r="AJ65" s="109">
        <f t="shared" si="28"/>
        <v>0</v>
      </c>
      <c r="AK65" s="59">
        <f t="shared" si="29"/>
        <v>1.7304999056696149E-2</v>
      </c>
      <c r="AL65" s="57">
        <f t="shared" si="30"/>
        <v>1.8522531094211297E-2</v>
      </c>
      <c r="AM65" s="99">
        <f t="shared" si="31"/>
        <v>3.6498975103065621E-2</v>
      </c>
      <c r="AN65" s="99">
        <f t="shared" si="32"/>
        <v>3.6498975103065621E-2</v>
      </c>
      <c r="AO65" s="99">
        <f t="shared" si="54"/>
        <v>2.5549282572145934E-2</v>
      </c>
      <c r="AP65" s="59">
        <f t="shared" si="34"/>
        <v>2.4870553032942534E-2</v>
      </c>
      <c r="AQ65" s="57">
        <f t="shared" si="55"/>
        <v>1.8522531094211297E-2</v>
      </c>
      <c r="AR65" s="61">
        <f t="shared" si="56"/>
        <v>3.6131918637212416E-3</v>
      </c>
      <c r="AS65" s="59">
        <f t="shared" si="57"/>
        <v>2.8479772488041705E-2</v>
      </c>
      <c r="AT65" s="57">
        <f t="shared" si="38"/>
        <v>7.6041351708539626E-3</v>
      </c>
      <c r="AU65" s="61">
        <f t="shared" si="39"/>
        <v>3.6131918637212416E-3</v>
      </c>
      <c r="AW65">
        <f t="shared" si="47"/>
        <v>55</v>
      </c>
      <c r="AX65" s="11">
        <f t="shared" si="48"/>
        <v>3.6739566062731058E-2</v>
      </c>
      <c r="AY65" s="11">
        <f t="shared" si="49"/>
        <v>3.4767377063478183E-2</v>
      </c>
      <c r="AZ65" s="11">
        <f t="shared" si="58"/>
        <v>7.2326505253973078E-2</v>
      </c>
      <c r="BA65" s="11">
        <f t="shared" si="59"/>
        <v>7.2326505253973078E-2</v>
      </c>
      <c r="BB65" s="11">
        <f t="shared" si="60"/>
        <v>6.1376812723053384E-2</v>
      </c>
      <c r="BC65" s="11">
        <f t="shared" si="43"/>
        <v>4.700627599087507E-2</v>
      </c>
      <c r="BD65" s="11">
        <f t="shared" si="44"/>
        <v>3.9697099522616908E-2</v>
      </c>
    </row>
    <row r="66" spans="1:56" x14ac:dyDescent="0.25">
      <c r="A66">
        <v>56</v>
      </c>
      <c r="B66">
        <f>MAX(A66-Settings!$Y$3*voltijdfranchise/1000, 0)</f>
        <v>41</v>
      </c>
      <c r="C66" s="59">
        <f t="shared" si="67"/>
        <v>4.1604018361135066E-2</v>
      </c>
      <c r="D66" s="61">
        <f t="shared" si="67"/>
        <v>8.9128849751201385E-3</v>
      </c>
      <c r="E66" s="109">
        <f t="shared" si="67"/>
        <v>0</v>
      </c>
      <c r="F66" s="59">
        <f t="shared" si="67"/>
        <v>3.9159687171057347E-2</v>
      </c>
      <c r="G66" s="61">
        <f t="shared" si="67"/>
        <v>8.6454562912251579E-3</v>
      </c>
      <c r="H66" s="109">
        <f t="shared" si="67"/>
        <v>0</v>
      </c>
      <c r="I66" s="59">
        <f t="shared" si="67"/>
        <v>2.3794373702957207E-2</v>
      </c>
      <c r="J66" s="57">
        <f t="shared" si="61"/>
        <v>2.5299066860386164E-2</v>
      </c>
      <c r="K66" s="99">
        <f t="shared" si="61"/>
        <v>4.9852258677357923E-2</v>
      </c>
      <c r="L66" s="99">
        <f t="shared" si="61"/>
        <v>4.9852258677357923E-2</v>
      </c>
      <c r="M66" s="99">
        <f t="shared" si="61"/>
        <v>3.489658107415055E-2</v>
      </c>
      <c r="N66" s="59">
        <f t="shared" si="68"/>
        <v>3.4197010420295985E-2</v>
      </c>
      <c r="O66" s="57">
        <f t="shared" si="52"/>
        <v>2.5299066860386164E-2</v>
      </c>
      <c r="P66" s="61">
        <f t="shared" si="69"/>
        <v>4.968138812616707E-3</v>
      </c>
      <c r="Q66" s="59">
        <f t="shared" si="69"/>
        <v>3.9159687171057347E-2</v>
      </c>
      <c r="R66" s="57">
        <f t="shared" si="53"/>
        <v>1.038613584311761E-2</v>
      </c>
      <c r="S66" s="61">
        <f t="shared" si="70"/>
        <v>4.968138812616707E-3</v>
      </c>
      <c r="U66" s="18">
        <f t="shared" si="62"/>
        <v>56</v>
      </c>
      <c r="V66" s="11">
        <f t="shared" si="63"/>
        <v>5.0516903336255206E-2</v>
      </c>
      <c r="W66" s="11">
        <f t="shared" si="64"/>
        <v>4.7805143462282505E-2</v>
      </c>
      <c r="X66" s="11">
        <f t="shared" si="20"/>
        <v>9.894569924070129E-2</v>
      </c>
      <c r="Y66" s="11">
        <f t="shared" si="21"/>
        <v>9.894569924070129E-2</v>
      </c>
      <c r="Z66" s="11">
        <f t="shared" si="22"/>
        <v>8.3990021637493917E-2</v>
      </c>
      <c r="AA66" s="11">
        <f t="shared" si="65"/>
        <v>6.4464216093298859E-2</v>
      </c>
      <c r="AB66" s="11">
        <f t="shared" si="66"/>
        <v>5.4513961826791663E-2</v>
      </c>
      <c r="AE66" s="59">
        <f t="shared" si="25"/>
        <v>3.0460084871545313E-2</v>
      </c>
      <c r="AF66" s="61">
        <f t="shared" si="26"/>
        <v>6.5255050710701012E-3</v>
      </c>
      <c r="AG66" s="109">
        <f t="shared" si="46"/>
        <v>0</v>
      </c>
      <c r="AH66" s="59">
        <f t="shared" si="27"/>
        <v>2.8670485250238416E-2</v>
      </c>
      <c r="AI66" s="61">
        <f t="shared" si="28"/>
        <v>6.329709070361276E-3</v>
      </c>
      <c r="AJ66" s="109">
        <f t="shared" si="28"/>
        <v>0</v>
      </c>
      <c r="AK66" s="59">
        <f t="shared" si="29"/>
        <v>1.7420880746807955E-2</v>
      </c>
      <c r="AL66" s="57">
        <f t="shared" si="30"/>
        <v>1.8522531094211297E-2</v>
      </c>
      <c r="AM66" s="99">
        <f t="shared" si="31"/>
        <v>3.6498975103065621E-2</v>
      </c>
      <c r="AN66" s="99">
        <f t="shared" si="32"/>
        <v>3.6498975103065621E-2</v>
      </c>
      <c r="AO66" s="99">
        <f t="shared" si="54"/>
        <v>2.5549282572145934E-2</v>
      </c>
      <c r="AP66" s="59">
        <f t="shared" si="34"/>
        <v>2.5037096914859561E-2</v>
      </c>
      <c r="AQ66" s="57">
        <f t="shared" si="55"/>
        <v>1.8522531094211297E-2</v>
      </c>
      <c r="AR66" s="61">
        <f t="shared" si="56"/>
        <v>3.6373873449515176E-3</v>
      </c>
      <c r="AS66" s="59">
        <f t="shared" si="57"/>
        <v>2.8670485250238416E-2</v>
      </c>
      <c r="AT66" s="57">
        <f t="shared" si="38"/>
        <v>7.6041351708539626E-3</v>
      </c>
      <c r="AU66" s="61">
        <f t="shared" si="39"/>
        <v>3.6373873449515176E-3</v>
      </c>
      <c r="AW66">
        <f t="shared" si="47"/>
        <v>56</v>
      </c>
      <c r="AX66" s="11">
        <f t="shared" si="48"/>
        <v>3.6985589942615416E-2</v>
      </c>
      <c r="AY66" s="11">
        <f t="shared" si="49"/>
        <v>3.5000194320599691E-2</v>
      </c>
      <c r="AZ66" s="11">
        <f t="shared" si="58"/>
        <v>7.2442386944084863E-2</v>
      </c>
      <c r="BA66" s="11">
        <f t="shared" si="59"/>
        <v>7.2442386944084863E-2</v>
      </c>
      <c r="BB66" s="11">
        <f t="shared" si="60"/>
        <v>6.1492694413165183E-2</v>
      </c>
      <c r="BC66" s="11">
        <f t="shared" si="43"/>
        <v>4.7197015354022376E-2</v>
      </c>
      <c r="BD66" s="11">
        <f t="shared" si="44"/>
        <v>3.9912007766043894E-2</v>
      </c>
    </row>
    <row r="67" spans="1:56" x14ac:dyDescent="0.25">
      <c r="A67">
        <v>57</v>
      </c>
      <c r="B67">
        <f>MAX(A67-Settings!$Y$3*voltijdfranchise/1000, 0)</f>
        <v>42</v>
      </c>
      <c r="C67" s="59">
        <f t="shared" si="67"/>
        <v>4.1604018361135066E-2</v>
      </c>
      <c r="D67" s="61">
        <f t="shared" si="67"/>
        <v>8.9128849751201385E-3</v>
      </c>
      <c r="E67" s="109">
        <f t="shared" si="67"/>
        <v>0</v>
      </c>
      <c r="F67" s="59">
        <f t="shared" si="67"/>
        <v>3.9159687171057347E-2</v>
      </c>
      <c r="G67" s="61">
        <f t="shared" si="67"/>
        <v>8.6454562912251579E-3</v>
      </c>
      <c r="H67" s="109">
        <f t="shared" si="67"/>
        <v>0</v>
      </c>
      <c r="I67" s="59">
        <f t="shared" si="67"/>
        <v>2.3794373702957207E-2</v>
      </c>
      <c r="J67" s="57">
        <f t="shared" si="61"/>
        <v>2.5137720770715331E-2</v>
      </c>
      <c r="K67" s="99">
        <f t="shared" si="61"/>
        <v>4.9534323354160484E-2</v>
      </c>
      <c r="L67" s="99">
        <f t="shared" si="61"/>
        <v>4.9534323354160484E-2</v>
      </c>
      <c r="M67" s="99">
        <f t="shared" si="61"/>
        <v>3.4674026347912335E-2</v>
      </c>
      <c r="N67" s="59">
        <f t="shared" si="68"/>
        <v>3.4197010420295985E-2</v>
      </c>
      <c r="O67" s="57">
        <f t="shared" si="52"/>
        <v>2.5137720770715331E-2</v>
      </c>
      <c r="P67" s="61">
        <f t="shared" si="69"/>
        <v>4.968138812616707E-3</v>
      </c>
      <c r="Q67" s="59">
        <f t="shared" si="69"/>
        <v>3.9159687171057347E-2</v>
      </c>
      <c r="R67" s="57">
        <f t="shared" si="53"/>
        <v>1.0319897731873234E-2</v>
      </c>
      <c r="S67" s="61">
        <f t="shared" si="70"/>
        <v>4.968138812616707E-3</v>
      </c>
      <c r="U67" s="18">
        <f t="shared" si="62"/>
        <v>57</v>
      </c>
      <c r="V67" s="11">
        <f t="shared" si="63"/>
        <v>5.0516903336255206E-2</v>
      </c>
      <c r="W67" s="11">
        <f t="shared" si="64"/>
        <v>4.7805143462282505E-2</v>
      </c>
      <c r="X67" s="11">
        <f t="shared" si="20"/>
        <v>9.8466417827833025E-2</v>
      </c>
      <c r="Y67" s="11">
        <f t="shared" si="21"/>
        <v>9.8466417827833025E-2</v>
      </c>
      <c r="Z67" s="11">
        <f t="shared" si="22"/>
        <v>8.3606120821584876E-2</v>
      </c>
      <c r="AA67" s="11">
        <f t="shared" si="65"/>
        <v>6.4302870003628027E-2</v>
      </c>
      <c r="AB67" s="11">
        <f t="shared" si="66"/>
        <v>5.4447723715547292E-2</v>
      </c>
      <c r="AE67" s="59">
        <f t="shared" si="25"/>
        <v>3.0655592476625838E-2</v>
      </c>
      <c r="AF67" s="61">
        <f t="shared" si="26"/>
        <v>6.567388929035892E-3</v>
      </c>
      <c r="AG67" s="109">
        <f t="shared" si="46"/>
        <v>0</v>
      </c>
      <c r="AH67" s="59">
        <f t="shared" si="27"/>
        <v>2.8854506336568574E-2</v>
      </c>
      <c r="AI67" s="61">
        <f t="shared" si="28"/>
        <v>6.3703362145869583E-3</v>
      </c>
      <c r="AJ67" s="109">
        <f t="shared" si="28"/>
        <v>0</v>
      </c>
      <c r="AK67" s="59">
        <f t="shared" si="29"/>
        <v>1.7532696412705311E-2</v>
      </c>
      <c r="AL67" s="57">
        <f t="shared" si="30"/>
        <v>1.8522531094211297E-2</v>
      </c>
      <c r="AM67" s="99">
        <f t="shared" si="31"/>
        <v>3.6498975103065621E-2</v>
      </c>
      <c r="AN67" s="99">
        <f t="shared" si="32"/>
        <v>3.6498975103065621E-2</v>
      </c>
      <c r="AO67" s="99">
        <f t="shared" si="54"/>
        <v>2.5549282572145934E-2</v>
      </c>
      <c r="AP67" s="59">
        <f t="shared" si="34"/>
        <v>2.5197797151797045E-2</v>
      </c>
      <c r="AQ67" s="57">
        <f t="shared" si="55"/>
        <v>1.8522531094211297E-2</v>
      </c>
      <c r="AR67" s="61">
        <f t="shared" si="56"/>
        <v>3.6607338619280999E-3</v>
      </c>
      <c r="AS67" s="59">
        <f t="shared" si="57"/>
        <v>2.8854506336568574E-2</v>
      </c>
      <c r="AT67" s="57">
        <f t="shared" si="38"/>
        <v>7.6041351708539626E-3</v>
      </c>
      <c r="AU67" s="61">
        <f t="shared" si="39"/>
        <v>3.6607338619280999E-3</v>
      </c>
      <c r="AW67">
        <f t="shared" si="47"/>
        <v>57</v>
      </c>
      <c r="AX67" s="11">
        <f t="shared" si="48"/>
        <v>3.7222981405661729E-2</v>
      </c>
      <c r="AY67" s="11">
        <f t="shared" si="49"/>
        <v>3.522484255115553E-2</v>
      </c>
      <c r="AZ67" s="11">
        <f t="shared" si="58"/>
        <v>7.255420260998223E-2</v>
      </c>
      <c r="BA67" s="11">
        <f t="shared" si="59"/>
        <v>7.255420260998223E-2</v>
      </c>
      <c r="BB67" s="11">
        <f t="shared" si="60"/>
        <v>6.1604510079062542E-2</v>
      </c>
      <c r="BC67" s="11">
        <f t="shared" si="43"/>
        <v>4.7381062107936439E-2</v>
      </c>
      <c r="BD67" s="11">
        <f t="shared" si="44"/>
        <v>4.0119375369350632E-2</v>
      </c>
    </row>
    <row r="68" spans="1:56" x14ac:dyDescent="0.25">
      <c r="A68">
        <v>58</v>
      </c>
      <c r="B68">
        <f>MAX(A68-Settings!$Y$3*voltijdfranchise/1000, 0)</f>
        <v>43</v>
      </c>
      <c r="C68" s="59">
        <f t="shared" si="67"/>
        <v>4.1604018361135066E-2</v>
      </c>
      <c r="D68" s="61">
        <f t="shared" si="67"/>
        <v>8.9128849751201385E-3</v>
      </c>
      <c r="E68" s="109">
        <f t="shared" si="67"/>
        <v>0</v>
      </c>
      <c r="F68" s="59">
        <f t="shared" si="67"/>
        <v>3.9159687171057347E-2</v>
      </c>
      <c r="G68" s="61">
        <f t="shared" si="67"/>
        <v>8.6454562912251579E-3</v>
      </c>
      <c r="H68" s="109">
        <f t="shared" si="67"/>
        <v>0</v>
      </c>
      <c r="I68" s="59">
        <f t="shared" si="67"/>
        <v>2.3794373702957207E-2</v>
      </c>
      <c r="J68" s="57">
        <f t="shared" si="61"/>
        <v>2.4983879150331515E-2</v>
      </c>
      <c r="K68" s="99">
        <f t="shared" si="61"/>
        <v>4.9231175720414092E-2</v>
      </c>
      <c r="L68" s="99">
        <f t="shared" si="61"/>
        <v>4.9231175720414092E-2</v>
      </c>
      <c r="M68" s="99">
        <f t="shared" si="61"/>
        <v>3.4461823004289863E-2</v>
      </c>
      <c r="N68" s="59">
        <f t="shared" si="68"/>
        <v>3.4197010420295985E-2</v>
      </c>
      <c r="O68" s="57">
        <f t="shared" si="52"/>
        <v>2.4983879150331515E-2</v>
      </c>
      <c r="P68" s="61">
        <f t="shared" si="69"/>
        <v>4.968138812616707E-3</v>
      </c>
      <c r="Q68" s="59">
        <f t="shared" si="69"/>
        <v>3.9159687171057347E-2</v>
      </c>
      <c r="R68" s="57">
        <f t="shared" si="53"/>
        <v>1.0256740463012321E-2</v>
      </c>
      <c r="S68" s="61">
        <f t="shared" si="70"/>
        <v>4.968138812616707E-3</v>
      </c>
      <c r="U68" s="18">
        <f t="shared" si="62"/>
        <v>58</v>
      </c>
      <c r="V68" s="11">
        <f t="shared" si="63"/>
        <v>5.0516903336255206E-2</v>
      </c>
      <c r="W68" s="11">
        <f t="shared" si="64"/>
        <v>4.7805143462282505E-2</v>
      </c>
      <c r="X68" s="11">
        <f t="shared" si="20"/>
        <v>9.8009428573702817E-2</v>
      </c>
      <c r="Y68" s="11">
        <f t="shared" si="21"/>
        <v>9.8009428573702817E-2</v>
      </c>
      <c r="Z68" s="11">
        <f t="shared" si="22"/>
        <v>8.3240075857578588E-2</v>
      </c>
      <c r="AA68" s="11">
        <f t="shared" si="65"/>
        <v>6.4149028383244211E-2</v>
      </c>
      <c r="AB68" s="11">
        <f t="shared" si="66"/>
        <v>5.4384566446686378E-2</v>
      </c>
      <c r="AE68" s="59">
        <f t="shared" si="25"/>
        <v>3.0844358440151862E-2</v>
      </c>
      <c r="AF68" s="61">
        <f t="shared" si="26"/>
        <v>6.6078285160373444E-3</v>
      </c>
      <c r="AG68" s="109">
        <f t="shared" si="46"/>
        <v>0</v>
      </c>
      <c r="AH68" s="59">
        <f t="shared" si="27"/>
        <v>2.9032181868197691E-2</v>
      </c>
      <c r="AI68" s="61">
        <f t="shared" si="28"/>
        <v>6.4095624228048577E-3</v>
      </c>
      <c r="AJ68" s="109">
        <f t="shared" si="28"/>
        <v>0</v>
      </c>
      <c r="AK68" s="59">
        <f t="shared" si="29"/>
        <v>1.7640656365985514E-2</v>
      </c>
      <c r="AL68" s="57">
        <f t="shared" si="30"/>
        <v>1.8522531094211297E-2</v>
      </c>
      <c r="AM68" s="99">
        <f t="shared" si="31"/>
        <v>3.6498975103065621E-2</v>
      </c>
      <c r="AN68" s="99">
        <f t="shared" si="32"/>
        <v>3.6498975103065621E-2</v>
      </c>
      <c r="AO68" s="99">
        <f t="shared" si="54"/>
        <v>2.5549282572145934E-2</v>
      </c>
      <c r="AP68" s="59">
        <f t="shared" si="34"/>
        <v>2.535295600125392E-2</v>
      </c>
      <c r="AQ68" s="57">
        <f t="shared" si="55"/>
        <v>1.8522531094211297E-2</v>
      </c>
      <c r="AR68" s="61">
        <f t="shared" si="56"/>
        <v>3.6832753265951448E-3</v>
      </c>
      <c r="AS68" s="59">
        <f t="shared" si="57"/>
        <v>2.9032181868197691E-2</v>
      </c>
      <c r="AT68" s="57">
        <f t="shared" si="38"/>
        <v>7.6041351708539626E-3</v>
      </c>
      <c r="AU68" s="61">
        <f t="shared" si="39"/>
        <v>3.6832753265951448E-3</v>
      </c>
      <c r="AW68">
        <f t="shared" si="47"/>
        <v>58</v>
      </c>
      <c r="AX68" s="11">
        <f t="shared" si="48"/>
        <v>3.745218695618921E-2</v>
      </c>
      <c r="AY68" s="11">
        <f t="shared" si="49"/>
        <v>3.5441744291002553E-2</v>
      </c>
      <c r="AZ68" s="11">
        <f t="shared" si="58"/>
        <v>7.2662162563262439E-2</v>
      </c>
      <c r="BA68" s="11">
        <f t="shared" si="59"/>
        <v>7.2662162563262439E-2</v>
      </c>
      <c r="BB68" s="11">
        <f t="shared" si="60"/>
        <v>6.1712470032342745E-2</v>
      </c>
      <c r="BC68" s="11">
        <f t="shared" si="43"/>
        <v>4.7558762422060363E-2</v>
      </c>
      <c r="BD68" s="11">
        <f t="shared" si="44"/>
        <v>4.0319592365646799E-2</v>
      </c>
    </row>
    <row r="69" spans="1:56" x14ac:dyDescent="0.25">
      <c r="A69">
        <v>59</v>
      </c>
      <c r="B69">
        <f>MAX(A69-Settings!$Y$3*voltijdfranchise/1000, 0)</f>
        <v>44</v>
      </c>
      <c r="C69" s="59">
        <f t="shared" ref="C69:I78" si="71">C$6</f>
        <v>4.1604018361135066E-2</v>
      </c>
      <c r="D69" s="61">
        <f t="shared" si="71"/>
        <v>8.9128849751201385E-3</v>
      </c>
      <c r="E69" s="109">
        <f t="shared" si="71"/>
        <v>0</v>
      </c>
      <c r="F69" s="59">
        <f t="shared" si="71"/>
        <v>3.9159687171057347E-2</v>
      </c>
      <c r="G69" s="61">
        <f t="shared" si="71"/>
        <v>8.6454562912251579E-3</v>
      </c>
      <c r="H69" s="109">
        <f t="shared" si="71"/>
        <v>0</v>
      </c>
      <c r="I69" s="59">
        <f t="shared" si="71"/>
        <v>2.3794373702957207E-2</v>
      </c>
      <c r="J69" s="57">
        <f t="shared" si="61"/>
        <v>2.4837030330874241E-2</v>
      </c>
      <c r="K69" s="99">
        <f t="shared" si="61"/>
        <v>4.8941807524565256E-2</v>
      </c>
      <c r="L69" s="99">
        <f t="shared" si="61"/>
        <v>4.8941807524565256E-2</v>
      </c>
      <c r="M69" s="99">
        <f t="shared" si="61"/>
        <v>3.4259265267195686E-2</v>
      </c>
      <c r="N69" s="59">
        <f t="shared" si="68"/>
        <v>3.4197010420295985E-2</v>
      </c>
      <c r="O69" s="57">
        <f t="shared" si="52"/>
        <v>2.4837030330874241E-2</v>
      </c>
      <c r="P69" s="61">
        <f t="shared" si="69"/>
        <v>4.968138812616707E-3</v>
      </c>
      <c r="Q69" s="59">
        <f t="shared" si="69"/>
        <v>3.9159687171057347E-2</v>
      </c>
      <c r="R69" s="57">
        <f t="shared" si="53"/>
        <v>1.0196453979099631E-2</v>
      </c>
      <c r="S69" s="61">
        <f t="shared" si="70"/>
        <v>4.968138812616707E-3</v>
      </c>
      <c r="U69" s="18">
        <f t="shared" si="62"/>
        <v>59</v>
      </c>
      <c r="V69" s="11">
        <f t="shared" si="63"/>
        <v>5.0516903336255206E-2</v>
      </c>
      <c r="W69" s="11">
        <f t="shared" si="64"/>
        <v>4.7805143462282505E-2</v>
      </c>
      <c r="X69" s="11">
        <f t="shared" si="20"/>
        <v>9.7573211558396711E-2</v>
      </c>
      <c r="Y69" s="11">
        <f t="shared" si="21"/>
        <v>9.7573211558396711E-2</v>
      </c>
      <c r="Z69" s="11">
        <f t="shared" si="22"/>
        <v>8.2890669301027134E-2</v>
      </c>
      <c r="AA69" s="11">
        <f t="shared" si="65"/>
        <v>6.4002179563786926E-2</v>
      </c>
      <c r="AB69" s="11">
        <f t="shared" si="66"/>
        <v>5.4324279962773683E-2</v>
      </c>
      <c r="AE69" s="59">
        <f t="shared" si="25"/>
        <v>3.1026725557456659E-2</v>
      </c>
      <c r="AF69" s="61">
        <f t="shared" si="26"/>
        <v>6.6468972695811201E-3</v>
      </c>
      <c r="AG69" s="109">
        <f t="shared" si="46"/>
        <v>0</v>
      </c>
      <c r="AH69" s="59">
        <f t="shared" si="27"/>
        <v>2.9203834500449548E-2</v>
      </c>
      <c r="AI69" s="61">
        <f t="shared" si="28"/>
        <v>6.4474589290492703E-3</v>
      </c>
      <c r="AJ69" s="109">
        <f t="shared" si="28"/>
        <v>0</v>
      </c>
      <c r="AK69" s="59">
        <f t="shared" si="29"/>
        <v>1.7744956659832493E-2</v>
      </c>
      <c r="AL69" s="57">
        <f t="shared" si="30"/>
        <v>1.8522531094211297E-2</v>
      </c>
      <c r="AM69" s="99">
        <f t="shared" si="31"/>
        <v>3.6498975103065621E-2</v>
      </c>
      <c r="AN69" s="99">
        <f t="shared" si="32"/>
        <v>3.6498975103065621E-2</v>
      </c>
      <c r="AO69" s="99">
        <f t="shared" si="54"/>
        <v>2.5549282572145934E-2</v>
      </c>
      <c r="AP69" s="59">
        <f t="shared" si="34"/>
        <v>2.5502855228695314E-2</v>
      </c>
      <c r="AQ69" s="57">
        <f t="shared" si="55"/>
        <v>1.8522531094211297E-2</v>
      </c>
      <c r="AR69" s="61">
        <f t="shared" si="56"/>
        <v>3.7050526738158494E-3</v>
      </c>
      <c r="AS69" s="59">
        <f t="shared" si="57"/>
        <v>2.9203834500449548E-2</v>
      </c>
      <c r="AT69" s="57">
        <f t="shared" si="38"/>
        <v>7.6041351708539626E-3</v>
      </c>
      <c r="AU69" s="61">
        <f t="shared" si="39"/>
        <v>3.7050526738158494E-3</v>
      </c>
      <c r="AW69">
        <f t="shared" si="47"/>
        <v>59</v>
      </c>
      <c r="AX69" s="11">
        <f t="shared" si="48"/>
        <v>3.7673622827037775E-2</v>
      </c>
      <c r="AY69" s="11">
        <f t="shared" si="49"/>
        <v>3.5651293429498819E-2</v>
      </c>
      <c r="AZ69" s="11">
        <f t="shared" si="58"/>
        <v>7.2766462857109415E-2</v>
      </c>
      <c r="BA69" s="11">
        <f t="shared" si="59"/>
        <v>7.2766462857109415E-2</v>
      </c>
      <c r="BB69" s="11">
        <f t="shared" si="60"/>
        <v>6.1816770326189721E-2</v>
      </c>
      <c r="BC69" s="11">
        <f t="shared" si="43"/>
        <v>4.7730438996722462E-2</v>
      </c>
      <c r="BD69" s="11">
        <f t="shared" si="44"/>
        <v>4.0513022345119359E-2</v>
      </c>
    </row>
    <row r="70" spans="1:56" x14ac:dyDescent="0.25">
      <c r="A70">
        <v>60</v>
      </c>
      <c r="B70">
        <f>MAX(A70-Settings!$Y$3*voltijdfranchise/1000, 0)</f>
        <v>45</v>
      </c>
      <c r="C70" s="59">
        <f t="shared" si="71"/>
        <v>4.1604018361135066E-2</v>
      </c>
      <c r="D70" s="61">
        <f t="shared" si="71"/>
        <v>8.9128849751201385E-3</v>
      </c>
      <c r="E70" s="109">
        <f t="shared" si="71"/>
        <v>0</v>
      </c>
      <c r="F70" s="59">
        <f t="shared" si="71"/>
        <v>3.9159687171057347E-2</v>
      </c>
      <c r="G70" s="61">
        <f t="shared" si="71"/>
        <v>8.6454562912251579E-3</v>
      </c>
      <c r="H70" s="109">
        <f t="shared" si="71"/>
        <v>0</v>
      </c>
      <c r="I70" s="59">
        <f t="shared" si="71"/>
        <v>2.3794373702957207E-2</v>
      </c>
      <c r="J70" s="57">
        <f t="shared" ref="J70:M89" si="72">IFERROR(J$6*$K$3*($A70/$K$2)/$B70, NA())</f>
        <v>2.4696708125615061E-2</v>
      </c>
      <c r="K70" s="99">
        <f t="shared" si="72"/>
        <v>4.8665300137420826E-2</v>
      </c>
      <c r="L70" s="99">
        <f t="shared" si="72"/>
        <v>4.8665300137420826E-2</v>
      </c>
      <c r="M70" s="99">
        <f t="shared" si="72"/>
        <v>3.4065710096194579E-2</v>
      </c>
      <c r="N70" s="59">
        <f t="shared" si="68"/>
        <v>3.4197010420295985E-2</v>
      </c>
      <c r="O70" s="57">
        <f t="shared" si="52"/>
        <v>2.4696708125615061E-2</v>
      </c>
      <c r="P70" s="61">
        <f t="shared" si="69"/>
        <v>4.968138812616707E-3</v>
      </c>
      <c r="Q70" s="59">
        <f t="shared" si="69"/>
        <v>3.9159687171057347E-2</v>
      </c>
      <c r="R70" s="57">
        <f t="shared" si="53"/>
        <v>1.013884689447195E-2</v>
      </c>
      <c r="S70" s="61">
        <f t="shared" si="70"/>
        <v>4.968138812616707E-3</v>
      </c>
      <c r="U70" s="18">
        <f t="shared" si="62"/>
        <v>60</v>
      </c>
      <c r="V70" s="11">
        <f t="shared" si="63"/>
        <v>5.0516903336255206E-2</v>
      </c>
      <c r="W70" s="11">
        <f t="shared" si="64"/>
        <v>4.7805143462282505E-2</v>
      </c>
      <c r="X70" s="11">
        <f t="shared" ref="X70:X110" si="73">$I70+$J70+K70</f>
        <v>9.7156381965993105E-2</v>
      </c>
      <c r="Y70" s="11">
        <f t="shared" ref="Y70:Y110" si="74">$I70+$J70+L70</f>
        <v>9.7156381965993105E-2</v>
      </c>
      <c r="Z70" s="11">
        <f t="shared" ref="Z70:Z110" si="75">$I70+$J70+M70</f>
        <v>8.2556791924766851E-2</v>
      </c>
      <c r="AA70" s="11">
        <f t="shared" si="65"/>
        <v>6.3861857358527757E-2</v>
      </c>
      <c r="AB70" s="11">
        <f t="shared" si="66"/>
        <v>5.4266672878146002E-2</v>
      </c>
      <c r="AE70" s="59">
        <f t="shared" si="25"/>
        <v>3.1203013770851298E-2</v>
      </c>
      <c r="AF70" s="61">
        <f t="shared" si="26"/>
        <v>6.6846637313401043E-3</v>
      </c>
      <c r="AG70" s="109">
        <f t="shared" si="46"/>
        <v>0</v>
      </c>
      <c r="AH70" s="59">
        <f t="shared" si="27"/>
        <v>2.9369765378293011E-2</v>
      </c>
      <c r="AI70" s="61">
        <f t="shared" si="28"/>
        <v>6.4840922184188684E-3</v>
      </c>
      <c r="AJ70" s="109">
        <f t="shared" si="28"/>
        <v>0</v>
      </c>
      <c r="AK70" s="59">
        <f t="shared" si="29"/>
        <v>1.7845780277217903E-2</v>
      </c>
      <c r="AL70" s="57">
        <f t="shared" si="30"/>
        <v>1.8522531094211297E-2</v>
      </c>
      <c r="AM70" s="99">
        <f t="shared" si="31"/>
        <v>3.6498975103065621E-2</v>
      </c>
      <c r="AN70" s="99">
        <f t="shared" si="32"/>
        <v>3.6498975103065621E-2</v>
      </c>
      <c r="AO70" s="99">
        <f t="shared" si="54"/>
        <v>2.5549282572145934E-2</v>
      </c>
      <c r="AP70" s="59">
        <f t="shared" si="34"/>
        <v>2.5647757815221991E-2</v>
      </c>
      <c r="AQ70" s="57">
        <f t="shared" si="55"/>
        <v>1.8522531094211297E-2</v>
      </c>
      <c r="AR70" s="61">
        <f t="shared" si="56"/>
        <v>3.7261041094625302E-3</v>
      </c>
      <c r="AS70" s="59">
        <f t="shared" si="57"/>
        <v>2.9369765378293011E-2</v>
      </c>
      <c r="AT70" s="57">
        <f t="shared" si="38"/>
        <v>7.6041351708539626E-3</v>
      </c>
      <c r="AU70" s="61">
        <f t="shared" si="39"/>
        <v>3.7261041094625302E-3</v>
      </c>
      <c r="AW70">
        <f t="shared" si="47"/>
        <v>60</v>
      </c>
      <c r="AX70" s="11">
        <f t="shared" si="48"/>
        <v>3.7887677502191401E-2</v>
      </c>
      <c r="AY70" s="11">
        <f t="shared" si="49"/>
        <v>3.5853857596711877E-2</v>
      </c>
      <c r="AZ70" s="11">
        <f t="shared" si="58"/>
        <v>7.2867286474494822E-2</v>
      </c>
      <c r="BA70" s="11">
        <f t="shared" si="59"/>
        <v>7.2867286474494822E-2</v>
      </c>
      <c r="BB70" s="11">
        <f t="shared" si="60"/>
        <v>6.1917593943575135E-2</v>
      </c>
      <c r="BC70" s="11">
        <f t="shared" si="43"/>
        <v>4.7896393018895818E-2</v>
      </c>
      <c r="BD70" s="11">
        <f t="shared" si="44"/>
        <v>4.0700004658609505E-2</v>
      </c>
    </row>
    <row r="71" spans="1:56" x14ac:dyDescent="0.25">
      <c r="A71">
        <v>61</v>
      </c>
      <c r="B71">
        <f>MAX(A71-Settings!$Y$3*voltijdfranchise/1000, 0)</f>
        <v>46</v>
      </c>
      <c r="C71" s="59">
        <f t="shared" si="71"/>
        <v>4.1604018361135066E-2</v>
      </c>
      <c r="D71" s="61">
        <f t="shared" si="71"/>
        <v>8.9128849751201385E-3</v>
      </c>
      <c r="E71" s="109">
        <f t="shared" si="71"/>
        <v>0</v>
      </c>
      <c r="F71" s="59">
        <f t="shared" si="71"/>
        <v>3.9159687171057347E-2</v>
      </c>
      <c r="G71" s="61">
        <f t="shared" si="71"/>
        <v>8.6454562912251579E-3</v>
      </c>
      <c r="H71" s="109">
        <f t="shared" si="71"/>
        <v>0</v>
      </c>
      <c r="I71" s="59">
        <f t="shared" si="71"/>
        <v>2.3794373702957207E-2</v>
      </c>
      <c r="J71" s="57">
        <f t="shared" si="72"/>
        <v>2.4562486885801937E-2</v>
      </c>
      <c r="K71" s="99">
        <f t="shared" si="72"/>
        <v>4.8400814810587021E-2</v>
      </c>
      <c r="L71" s="99">
        <f t="shared" si="72"/>
        <v>4.8400814810587021E-2</v>
      </c>
      <c r="M71" s="99">
        <f t="shared" si="72"/>
        <v>3.3880570367410913E-2</v>
      </c>
      <c r="N71" s="59">
        <f t="shared" si="68"/>
        <v>3.4197010420295985E-2</v>
      </c>
      <c r="O71" s="57">
        <f t="shared" si="52"/>
        <v>2.4562486885801937E-2</v>
      </c>
      <c r="P71" s="61">
        <f t="shared" si="69"/>
        <v>4.968138812616707E-3</v>
      </c>
      <c r="Q71" s="59">
        <f t="shared" si="69"/>
        <v>3.9159687171057347E-2</v>
      </c>
      <c r="R71" s="57">
        <f t="shared" si="53"/>
        <v>1.0083744465697647E-2</v>
      </c>
      <c r="S71" s="61">
        <f t="shared" si="70"/>
        <v>4.968138812616707E-3</v>
      </c>
      <c r="U71" s="18">
        <f t="shared" si="62"/>
        <v>61</v>
      </c>
      <c r="V71" s="11">
        <f t="shared" si="63"/>
        <v>5.0516903336255206E-2</v>
      </c>
      <c r="W71" s="11">
        <f t="shared" si="64"/>
        <v>4.7805143462282505E-2</v>
      </c>
      <c r="X71" s="11">
        <f t="shared" si="73"/>
        <v>9.6757675399346155E-2</v>
      </c>
      <c r="Y71" s="11">
        <f t="shared" si="74"/>
        <v>9.6757675399346155E-2</v>
      </c>
      <c r="Z71" s="11">
        <f t="shared" si="75"/>
        <v>8.223743095617006E-2</v>
      </c>
      <c r="AA71" s="11">
        <f t="shared" si="65"/>
        <v>6.3727636118714626E-2</v>
      </c>
      <c r="AB71" s="11">
        <f t="shared" si="66"/>
        <v>5.42115704493717E-2</v>
      </c>
      <c r="AE71" s="59">
        <f t="shared" si="25"/>
        <v>3.1373522042823163E-2</v>
      </c>
      <c r="AF71" s="61">
        <f t="shared" si="26"/>
        <v>6.7211919484512521E-3</v>
      </c>
      <c r="AG71" s="109">
        <f t="shared" si="46"/>
        <v>0</v>
      </c>
      <c r="AH71" s="59">
        <f t="shared" si="27"/>
        <v>2.953025589948587E-2</v>
      </c>
      <c r="AI71" s="61">
        <f t="shared" si="28"/>
        <v>6.5195244163337258E-3</v>
      </c>
      <c r="AJ71" s="109">
        <f t="shared" si="28"/>
        <v>0</v>
      </c>
      <c r="AK71" s="59">
        <f t="shared" si="29"/>
        <v>1.7943298202230028E-2</v>
      </c>
      <c r="AL71" s="57">
        <f t="shared" si="30"/>
        <v>1.8522531094211297E-2</v>
      </c>
      <c r="AM71" s="99">
        <f t="shared" si="31"/>
        <v>3.6498975103065621E-2</v>
      </c>
      <c r="AN71" s="99">
        <f t="shared" si="32"/>
        <v>3.6498975103065621E-2</v>
      </c>
      <c r="AO71" s="99">
        <f t="shared" si="54"/>
        <v>2.5549282572145934E-2</v>
      </c>
      <c r="AP71" s="59">
        <f t="shared" si="34"/>
        <v>2.5787909497272384E-2</v>
      </c>
      <c r="AQ71" s="57">
        <f t="shared" si="55"/>
        <v>1.8522531094211297E-2</v>
      </c>
      <c r="AR71" s="61">
        <f t="shared" si="56"/>
        <v>3.7464653341044022E-3</v>
      </c>
      <c r="AS71" s="59">
        <f t="shared" si="57"/>
        <v>2.953025589948587E-2</v>
      </c>
      <c r="AT71" s="57">
        <f t="shared" si="38"/>
        <v>7.6041351708539626E-3</v>
      </c>
      <c r="AU71" s="61">
        <f t="shared" si="39"/>
        <v>3.7464653341044022E-3</v>
      </c>
      <c r="AW71">
        <f t="shared" si="47"/>
        <v>61</v>
      </c>
      <c r="AX71" s="11">
        <f t="shared" si="48"/>
        <v>3.8094713991274412E-2</v>
      </c>
      <c r="AY71" s="11">
        <f t="shared" si="49"/>
        <v>3.6049780315819596E-2</v>
      </c>
      <c r="AZ71" s="11">
        <f t="shared" si="58"/>
        <v>7.296480439950695E-2</v>
      </c>
      <c r="BA71" s="11">
        <f t="shared" si="59"/>
        <v>7.296480439950695E-2</v>
      </c>
      <c r="BB71" s="11">
        <f t="shared" si="60"/>
        <v>6.2015111868587255E-2</v>
      </c>
      <c r="BC71" s="11">
        <f t="shared" si="43"/>
        <v>4.8056905925588082E-2</v>
      </c>
      <c r="BD71" s="11">
        <f t="shared" si="44"/>
        <v>4.0880856404444235E-2</v>
      </c>
    </row>
    <row r="72" spans="1:56" x14ac:dyDescent="0.25">
      <c r="A72">
        <v>62</v>
      </c>
      <c r="B72">
        <f>MAX(A72-Settings!$Y$3*voltijdfranchise/1000, 0)</f>
        <v>47</v>
      </c>
      <c r="C72" s="59">
        <f t="shared" si="71"/>
        <v>4.1604018361135066E-2</v>
      </c>
      <c r="D72" s="61">
        <f t="shared" si="71"/>
        <v>8.9128849751201385E-3</v>
      </c>
      <c r="E72" s="109">
        <f t="shared" si="71"/>
        <v>0</v>
      </c>
      <c r="F72" s="59">
        <f t="shared" si="71"/>
        <v>3.9159687171057347E-2</v>
      </c>
      <c r="G72" s="61">
        <f t="shared" si="71"/>
        <v>8.6454562912251579E-3</v>
      </c>
      <c r="H72" s="109">
        <f t="shared" si="71"/>
        <v>0</v>
      </c>
      <c r="I72" s="59">
        <f t="shared" si="71"/>
        <v>2.3794373702957207E-2</v>
      </c>
      <c r="J72" s="57">
        <f t="shared" si="72"/>
        <v>2.4433977188108517E-2</v>
      </c>
      <c r="K72" s="99">
        <f t="shared" si="72"/>
        <v>4.8147584178512101E-2</v>
      </c>
      <c r="L72" s="99">
        <f t="shared" si="72"/>
        <v>4.8147584178512101E-2</v>
      </c>
      <c r="M72" s="99">
        <f t="shared" si="72"/>
        <v>3.3703308924958465E-2</v>
      </c>
      <c r="N72" s="59">
        <f t="shared" si="68"/>
        <v>3.4197010420295985E-2</v>
      </c>
      <c r="O72" s="57">
        <f t="shared" si="52"/>
        <v>2.4433977188108517E-2</v>
      </c>
      <c r="P72" s="61">
        <f t="shared" si="69"/>
        <v>4.968138812616707E-3</v>
      </c>
      <c r="Q72" s="59">
        <f t="shared" si="69"/>
        <v>3.9159687171057347E-2</v>
      </c>
      <c r="R72" s="57">
        <f t="shared" si="53"/>
        <v>1.0030986821126504E-2</v>
      </c>
      <c r="S72" s="61">
        <f t="shared" si="70"/>
        <v>4.968138812616707E-3</v>
      </c>
      <c r="U72" s="18">
        <f t="shared" si="62"/>
        <v>62</v>
      </c>
      <c r="V72" s="11">
        <f t="shared" si="63"/>
        <v>5.0516903336255206E-2</v>
      </c>
      <c r="W72" s="11">
        <f t="shared" si="64"/>
        <v>4.7805143462282505E-2</v>
      </c>
      <c r="X72" s="11">
        <f t="shared" si="73"/>
        <v>9.6375935069577826E-2</v>
      </c>
      <c r="Y72" s="11">
        <f t="shared" si="74"/>
        <v>9.6375935069577826E-2</v>
      </c>
      <c r="Z72" s="11">
        <f t="shared" si="75"/>
        <v>8.1931659816024183E-2</v>
      </c>
      <c r="AA72" s="11">
        <f t="shared" si="65"/>
        <v>6.359912642102121E-2</v>
      </c>
      <c r="AB72" s="11">
        <f t="shared" si="66"/>
        <v>5.415881280480056E-2</v>
      </c>
      <c r="AE72" s="59">
        <f t="shared" si="25"/>
        <v>3.1538530047957224E-2</v>
      </c>
      <c r="AF72" s="61">
        <f t="shared" si="26"/>
        <v>6.75654183597817E-3</v>
      </c>
      <c r="AG72" s="109">
        <f t="shared" si="46"/>
        <v>0</v>
      </c>
      <c r="AH72" s="59">
        <f t="shared" si="27"/>
        <v>2.9685569307091861E-2</v>
      </c>
      <c r="AI72" s="61">
        <f t="shared" si="28"/>
        <v>6.5538136401222975E-3</v>
      </c>
      <c r="AJ72" s="109">
        <f t="shared" si="28"/>
        <v>0</v>
      </c>
      <c r="AK72" s="59">
        <f t="shared" si="29"/>
        <v>1.8037670387725625E-2</v>
      </c>
      <c r="AL72" s="57">
        <f t="shared" si="30"/>
        <v>1.8522531094211297E-2</v>
      </c>
      <c r="AM72" s="99">
        <f t="shared" si="31"/>
        <v>3.6498975103065621E-2</v>
      </c>
      <c r="AN72" s="99">
        <f t="shared" si="32"/>
        <v>3.6498975103065621E-2</v>
      </c>
      <c r="AO72" s="99">
        <f t="shared" si="54"/>
        <v>2.5549282572145934E-2</v>
      </c>
      <c r="AP72" s="59">
        <f t="shared" si="34"/>
        <v>2.5923540157321151E-2</v>
      </c>
      <c r="AQ72" s="57">
        <f t="shared" si="55"/>
        <v>1.8522531094211297E-2</v>
      </c>
      <c r="AR72" s="61">
        <f t="shared" si="56"/>
        <v>3.7661697450481488E-3</v>
      </c>
      <c r="AS72" s="59">
        <f t="shared" si="57"/>
        <v>2.9685569307091861E-2</v>
      </c>
      <c r="AT72" s="57">
        <f t="shared" si="38"/>
        <v>7.6041351708539626E-3</v>
      </c>
      <c r="AU72" s="61">
        <f t="shared" si="39"/>
        <v>3.7661697450481488E-3</v>
      </c>
      <c r="AW72">
        <f t="shared" si="47"/>
        <v>62</v>
      </c>
      <c r="AX72" s="11">
        <f t="shared" si="48"/>
        <v>3.8295071883935397E-2</v>
      </c>
      <c r="AY72" s="11">
        <f t="shared" si="49"/>
        <v>3.6239382947214155E-2</v>
      </c>
      <c r="AZ72" s="11">
        <f t="shared" si="58"/>
        <v>7.305917658500255E-2</v>
      </c>
      <c r="BA72" s="11">
        <f t="shared" si="59"/>
        <v>7.305917658500255E-2</v>
      </c>
      <c r="BB72" s="11">
        <f t="shared" si="60"/>
        <v>6.2109484054082856E-2</v>
      </c>
      <c r="BC72" s="11">
        <f t="shared" si="43"/>
        <v>4.8212240996580599E-2</v>
      </c>
      <c r="BD72" s="11">
        <f t="shared" si="44"/>
        <v>4.105587422299397E-2</v>
      </c>
    </row>
    <row r="73" spans="1:56" x14ac:dyDescent="0.25">
      <c r="A73">
        <v>63</v>
      </c>
      <c r="B73">
        <f>MAX(A73-Settings!$Y$3*voltijdfranchise/1000, 0)</f>
        <v>48</v>
      </c>
      <c r="C73" s="59">
        <f t="shared" si="71"/>
        <v>4.1604018361135066E-2</v>
      </c>
      <c r="D73" s="61">
        <f t="shared" si="71"/>
        <v>8.9128849751201385E-3</v>
      </c>
      <c r="E73" s="109">
        <f t="shared" si="71"/>
        <v>0</v>
      </c>
      <c r="F73" s="59">
        <f t="shared" si="71"/>
        <v>3.9159687171057347E-2</v>
      </c>
      <c r="G73" s="61">
        <f t="shared" si="71"/>
        <v>8.6454562912251579E-3</v>
      </c>
      <c r="H73" s="109">
        <f t="shared" si="71"/>
        <v>0</v>
      </c>
      <c r="I73" s="59">
        <f t="shared" si="71"/>
        <v>2.3794373702957207E-2</v>
      </c>
      <c r="J73" s="57">
        <f t="shared" si="72"/>
        <v>2.4310822061152326E-2</v>
      </c>
      <c r="K73" s="99">
        <f t="shared" si="72"/>
        <v>4.7904904822773625E-2</v>
      </c>
      <c r="L73" s="99">
        <f t="shared" si="72"/>
        <v>4.7904904822773625E-2</v>
      </c>
      <c r="M73" s="99">
        <f t="shared" si="72"/>
        <v>3.3533433375941536E-2</v>
      </c>
      <c r="N73" s="59">
        <f t="shared" si="68"/>
        <v>3.4197010420295985E-2</v>
      </c>
      <c r="O73" s="57">
        <f t="shared" si="52"/>
        <v>2.4310822061152326E-2</v>
      </c>
      <c r="P73" s="61">
        <f t="shared" si="69"/>
        <v>4.968138812616707E-3</v>
      </c>
      <c r="Q73" s="59">
        <f t="shared" si="69"/>
        <v>3.9159687171057347E-2</v>
      </c>
      <c r="R73" s="57">
        <f t="shared" si="53"/>
        <v>9.9804274117458267E-3</v>
      </c>
      <c r="S73" s="61">
        <f t="shared" si="70"/>
        <v>4.968138812616707E-3</v>
      </c>
      <c r="U73" s="18">
        <f t="shared" ref="U73:U110" si="76">A73</f>
        <v>63</v>
      </c>
      <c r="V73" s="11">
        <f t="shared" ref="V73:V110" si="77">SUM(C73:D73)</f>
        <v>5.0516903336255206E-2</v>
      </c>
      <c r="W73" s="11">
        <f t="shared" ref="W73:W110" si="78">SUM(F73:G73)</f>
        <v>4.7805143462282505E-2</v>
      </c>
      <c r="X73" s="11">
        <f t="shared" si="73"/>
        <v>9.6010100586883154E-2</v>
      </c>
      <c r="Y73" s="11">
        <f t="shared" si="74"/>
        <v>9.6010100586883154E-2</v>
      </c>
      <c r="Z73" s="11">
        <f t="shared" si="75"/>
        <v>8.1638629140051072E-2</v>
      </c>
      <c r="AA73" s="11">
        <f t="shared" ref="AA73:AA110" si="79">SUM(N73:P73)</f>
        <v>6.3475971294065014E-2</v>
      </c>
      <c r="AB73" s="11">
        <f t="shared" ref="AB73:AB110" si="80">SUM(Q73:S73)</f>
        <v>5.4108253395419879E-2</v>
      </c>
      <c r="AE73" s="59">
        <f t="shared" si="25"/>
        <v>3.1698299703721955E-2</v>
      </c>
      <c r="AF73" s="61">
        <f t="shared" si="26"/>
        <v>6.790769504853438E-3</v>
      </c>
      <c r="AG73" s="109">
        <f t="shared" si="46"/>
        <v>0</v>
      </c>
      <c r="AH73" s="59">
        <f t="shared" si="27"/>
        <v>2.9835952130329406E-2</v>
      </c>
      <c r="AI73" s="61">
        <f t="shared" si="28"/>
        <v>6.58701431712393E-3</v>
      </c>
      <c r="AJ73" s="109">
        <f t="shared" si="28"/>
        <v>0</v>
      </c>
      <c r="AK73" s="59">
        <f t="shared" si="29"/>
        <v>1.8129046630824541E-2</v>
      </c>
      <c r="AL73" s="57">
        <f t="shared" si="30"/>
        <v>1.8522531094211297E-2</v>
      </c>
      <c r="AM73" s="99">
        <f t="shared" si="31"/>
        <v>3.6498975103065621E-2</v>
      </c>
      <c r="AN73" s="99">
        <f t="shared" si="32"/>
        <v>3.6498975103065621E-2</v>
      </c>
      <c r="AO73" s="99">
        <f t="shared" si="54"/>
        <v>2.5549282572145934E-2</v>
      </c>
      <c r="AP73" s="59">
        <f t="shared" si="34"/>
        <v>2.6054865082130271E-2</v>
      </c>
      <c r="AQ73" s="57">
        <f t="shared" si="55"/>
        <v>1.8522531094211297E-2</v>
      </c>
      <c r="AR73" s="61">
        <f t="shared" si="56"/>
        <v>3.7852486191365387E-3</v>
      </c>
      <c r="AS73" s="59">
        <f t="shared" si="57"/>
        <v>2.9835952130329406E-2</v>
      </c>
      <c r="AT73" s="57">
        <f t="shared" si="38"/>
        <v>7.6041351708539626E-3</v>
      </c>
      <c r="AU73" s="61">
        <f t="shared" si="39"/>
        <v>3.7852486191365387E-3</v>
      </c>
      <c r="AW73">
        <f t="shared" si="47"/>
        <v>63</v>
      </c>
      <c r="AX73" s="11">
        <f t="shared" si="48"/>
        <v>3.8489069208575394E-2</v>
      </c>
      <c r="AY73" s="11">
        <f t="shared" si="49"/>
        <v>3.6422966447453339E-2</v>
      </c>
      <c r="AZ73" s="11">
        <f t="shared" si="58"/>
        <v>7.3150552828101456E-2</v>
      </c>
      <c r="BA73" s="11">
        <f t="shared" si="59"/>
        <v>7.3150552828101456E-2</v>
      </c>
      <c r="BB73" s="11">
        <f t="shared" si="60"/>
        <v>6.2200860297181776E-2</v>
      </c>
      <c r="BC73" s="11">
        <f t="shared" si="43"/>
        <v>4.836264479547811E-2</v>
      </c>
      <c r="BD73" s="11">
        <f t="shared" si="44"/>
        <v>4.1225335920319905E-2</v>
      </c>
    </row>
    <row r="74" spans="1:56" x14ac:dyDescent="0.25">
      <c r="A74">
        <v>64</v>
      </c>
      <c r="B74">
        <f>MAX(A74-Settings!$Y$3*voltijdfranchise/1000, 0)</f>
        <v>49</v>
      </c>
      <c r="C74" s="59">
        <f t="shared" si="71"/>
        <v>4.1604018361135066E-2</v>
      </c>
      <c r="D74" s="61">
        <f t="shared" si="71"/>
        <v>8.9128849751201385E-3</v>
      </c>
      <c r="E74" s="109">
        <f t="shared" si="71"/>
        <v>0</v>
      </c>
      <c r="F74" s="59">
        <f t="shared" si="71"/>
        <v>3.9159687171057347E-2</v>
      </c>
      <c r="G74" s="61">
        <f t="shared" si="71"/>
        <v>8.6454562912251579E-3</v>
      </c>
      <c r="H74" s="109">
        <f t="shared" si="71"/>
        <v>0</v>
      </c>
      <c r="I74" s="59">
        <f t="shared" si="71"/>
        <v>2.3794373702957207E-2</v>
      </c>
      <c r="J74" s="57">
        <f t="shared" si="72"/>
        <v>2.4192693674071897E-2</v>
      </c>
      <c r="K74" s="99">
        <f t="shared" si="72"/>
        <v>4.7672130746861219E-2</v>
      </c>
      <c r="L74" s="99">
        <f t="shared" si="72"/>
        <v>4.7672130746861219E-2</v>
      </c>
      <c r="M74" s="99">
        <f t="shared" si="72"/>
        <v>3.3370491522802852E-2</v>
      </c>
      <c r="N74" s="59">
        <f t="shared" si="68"/>
        <v>3.4197010420295985E-2</v>
      </c>
      <c r="O74" s="57">
        <f t="shared" ref="O74:O110" si="81">O$6*$K$3*($A74/$K$2)/$B74</f>
        <v>2.4192693674071897E-2</v>
      </c>
      <c r="P74" s="61">
        <f t="shared" si="69"/>
        <v>4.968138812616707E-3</v>
      </c>
      <c r="Q74" s="59">
        <f t="shared" si="69"/>
        <v>3.9159687171057347E-2</v>
      </c>
      <c r="R74" s="57">
        <f t="shared" ref="R74:R110" si="82">R$6*$K$3*($A74/$K$2)/$B74</f>
        <v>9.9319316517276247E-3</v>
      </c>
      <c r="S74" s="61">
        <f t="shared" si="70"/>
        <v>4.968138812616707E-3</v>
      </c>
      <c r="U74" s="18">
        <f t="shared" si="76"/>
        <v>64</v>
      </c>
      <c r="V74" s="11">
        <f t="shared" si="77"/>
        <v>5.0516903336255206E-2</v>
      </c>
      <c r="W74" s="11">
        <f t="shared" si="78"/>
        <v>4.7805143462282505E-2</v>
      </c>
      <c r="X74" s="11">
        <f t="shared" si="73"/>
        <v>9.5659198123890316E-2</v>
      </c>
      <c r="Y74" s="11">
        <f t="shared" si="74"/>
        <v>9.5659198123890316E-2</v>
      </c>
      <c r="Z74" s="11">
        <f t="shared" si="75"/>
        <v>8.1357558899831955E-2</v>
      </c>
      <c r="AA74" s="11">
        <f t="shared" si="79"/>
        <v>6.3357842906984596E-2</v>
      </c>
      <c r="AB74" s="11">
        <f t="shared" si="80"/>
        <v>5.4059757635401676E-2</v>
      </c>
      <c r="AE74" s="59">
        <f t="shared" ref="AE74:AE109" si="83">IFERROR(C74*$B74/$A74,NA())</f>
        <v>3.1853076557744033E-2</v>
      </c>
      <c r="AF74" s="61">
        <f t="shared" ref="AF74:AF109" si="84">IFERROR(D74*$B74/$A74,NA())</f>
        <v>6.823927559076356E-3</v>
      </c>
      <c r="AG74" s="109">
        <f t="shared" si="46"/>
        <v>0</v>
      </c>
      <c r="AH74" s="59">
        <f t="shared" ref="AH74:AH109" si="85">IFERROR(F74*$B74/$A74,NA())</f>
        <v>2.9981635490340781E-2</v>
      </c>
      <c r="AI74" s="61">
        <f t="shared" ref="AI74:AJ109" si="86">IFERROR(G74*$B74/$A74,NA())</f>
        <v>6.6191774729692614E-3</v>
      </c>
      <c r="AJ74" s="109">
        <f t="shared" si="86"/>
        <v>0</v>
      </c>
      <c r="AK74" s="59">
        <f t="shared" ref="AK74:AK109" si="87">IFERROR(I74*$B74/$A74,NA())</f>
        <v>1.8217567366326612E-2</v>
      </c>
      <c r="AL74" s="57">
        <f t="shared" ref="AL74:AL109" si="88">IFERROR(J$6*$K$3/$K$2, NA())</f>
        <v>1.8522531094211297E-2</v>
      </c>
      <c r="AM74" s="99">
        <f t="shared" ref="AM74:AM110" si="89">IFERROR(K$6*$K$3/$K$2, NA())</f>
        <v>3.6498975103065621E-2</v>
      </c>
      <c r="AN74" s="99">
        <f t="shared" ref="AN74:AN110" si="90">IFERROR(L$6*$K$3/$K$2, NA())</f>
        <v>3.6498975103065621E-2</v>
      </c>
      <c r="AO74" s="99">
        <f t="shared" ref="AO74:AO110" si="91">IFERROR(M$6*$K$3/$K$2, NA())</f>
        <v>2.5549282572145934E-2</v>
      </c>
      <c r="AP74" s="59">
        <f t="shared" ref="AP74:AP110" si="92">IFERROR(N74*$B74/$A74,NA())</f>
        <v>2.6182086103039112E-2</v>
      </c>
      <c r="AQ74" s="57">
        <f t="shared" ref="AQ74:AQ110" si="93">IFERROR(O$6*$K$3/$K$2, NA())</f>
        <v>1.8522531094211297E-2</v>
      </c>
      <c r="AR74" s="61">
        <f t="shared" ref="AR74:AR110" si="94">IFERROR(P74*$B74/$A74,NA())</f>
        <v>3.8037312784096663E-3</v>
      </c>
      <c r="AS74" s="59">
        <f t="shared" ref="AS74:AS110" si="95">IFERROR(Q74*$B74/$A74,NA())</f>
        <v>2.9981635490340781E-2</v>
      </c>
      <c r="AT74" s="57">
        <f t="shared" ref="AT74:AT110" si="96">IFERROR(R$6*$K$3/$K$2, NA())</f>
        <v>7.6041351708539626E-3</v>
      </c>
      <c r="AU74" s="61">
        <f t="shared" ref="AU74:AU110" si="97">IFERROR(S74*$B74/$A74,NA())</f>
        <v>3.8037312784096663E-3</v>
      </c>
      <c r="AW74">
        <f t="shared" si="47"/>
        <v>64</v>
      </c>
      <c r="AX74" s="11">
        <f t="shared" si="48"/>
        <v>3.8677004116820388E-2</v>
      </c>
      <c r="AY74" s="11">
        <f t="shared" si="49"/>
        <v>3.6600812963310039E-2</v>
      </c>
      <c r="AZ74" s="11">
        <f t="shared" ref="AZ74:AZ110" si="98">$AK74+$AL74+AM74</f>
        <v>7.3239073563603541E-2</v>
      </c>
      <c r="BA74" s="11">
        <f t="shared" ref="BA74:BA110" si="99">$AK74+$AL74+AN74</f>
        <v>7.3239073563603541E-2</v>
      </c>
      <c r="BB74" s="11">
        <f t="shared" ref="BB74:BB110" si="100">$AK74+$AL74+AO74</f>
        <v>6.2289381032683847E-2</v>
      </c>
      <c r="BC74" s="11">
        <f t="shared" ref="BC74:BC110" si="101">SUM(AP74:AR74)</f>
        <v>4.8508348475660081E-2</v>
      </c>
      <c r="BD74" s="11">
        <f t="shared" ref="BD74:BD110" si="102">SUM(AS74:AU74)</f>
        <v>4.138950193960441E-2</v>
      </c>
    </row>
    <row r="75" spans="1:56" x14ac:dyDescent="0.25">
      <c r="A75">
        <v>65</v>
      </c>
      <c r="B75">
        <f>MAX(A75-Settings!$Y$3*voltijdfranchise/1000, 0)</f>
        <v>50</v>
      </c>
      <c r="C75" s="59">
        <f t="shared" si="71"/>
        <v>4.1604018361135066E-2</v>
      </c>
      <c r="D75" s="61">
        <f t="shared" si="71"/>
        <v>8.9128849751201385E-3</v>
      </c>
      <c r="E75" s="109">
        <f t="shared" si="71"/>
        <v>0</v>
      </c>
      <c r="F75" s="59">
        <f t="shared" si="71"/>
        <v>3.9159687171057347E-2</v>
      </c>
      <c r="G75" s="61">
        <f t="shared" si="71"/>
        <v>8.6454562912251579E-3</v>
      </c>
      <c r="H75" s="109">
        <f t="shared" si="71"/>
        <v>0</v>
      </c>
      <c r="I75" s="59">
        <f t="shared" si="71"/>
        <v>2.3794373702957207E-2</v>
      </c>
      <c r="J75" s="57">
        <f t="shared" si="72"/>
        <v>2.4079290422474683E-2</v>
      </c>
      <c r="K75" s="99">
        <f t="shared" si="72"/>
        <v>4.7448667633985309E-2</v>
      </c>
      <c r="L75" s="99">
        <f t="shared" si="72"/>
        <v>4.7448667633985309E-2</v>
      </c>
      <c r="M75" s="99">
        <f t="shared" si="72"/>
        <v>3.3214067343789712E-2</v>
      </c>
      <c r="N75" s="59">
        <f t="shared" si="68"/>
        <v>3.4197010420295985E-2</v>
      </c>
      <c r="O75" s="57">
        <f t="shared" si="81"/>
        <v>2.4079290422474683E-2</v>
      </c>
      <c r="P75" s="61">
        <f t="shared" si="69"/>
        <v>4.968138812616707E-3</v>
      </c>
      <c r="Q75" s="59">
        <f t="shared" si="69"/>
        <v>3.9159687171057347E-2</v>
      </c>
      <c r="R75" s="57">
        <f t="shared" si="82"/>
        <v>9.885375722110153E-3</v>
      </c>
      <c r="S75" s="61">
        <f t="shared" si="70"/>
        <v>4.968138812616707E-3</v>
      </c>
      <c r="U75" s="18">
        <f t="shared" si="76"/>
        <v>65</v>
      </c>
      <c r="V75" s="11">
        <f t="shared" si="77"/>
        <v>5.0516903336255206E-2</v>
      </c>
      <c r="W75" s="11">
        <f t="shared" si="78"/>
        <v>4.7805143462282505E-2</v>
      </c>
      <c r="X75" s="11">
        <f t="shared" si="73"/>
        <v>9.5322331759417206E-2</v>
      </c>
      <c r="Y75" s="11">
        <f t="shared" si="74"/>
        <v>9.5322331759417206E-2</v>
      </c>
      <c r="Z75" s="11">
        <f t="shared" si="75"/>
        <v>8.1087731469221602E-2</v>
      </c>
      <c r="AA75" s="11">
        <f t="shared" si="79"/>
        <v>6.3244439655387369E-2</v>
      </c>
      <c r="AB75" s="11">
        <f t="shared" si="80"/>
        <v>5.4013201705784206E-2</v>
      </c>
      <c r="AE75" s="59">
        <f t="shared" si="83"/>
        <v>3.2003091047026977E-2</v>
      </c>
      <c r="AF75" s="61">
        <f t="shared" si="84"/>
        <v>6.8560653654770303E-3</v>
      </c>
      <c r="AG75" s="109">
        <f t="shared" ref="AG75:AG110" si="103">IFERROR(E75*$B75/$A75,NA())</f>
        <v>0</v>
      </c>
      <c r="AH75" s="59">
        <f t="shared" si="85"/>
        <v>3.0122836285428729E-2</v>
      </c>
      <c r="AI75" s="61">
        <f t="shared" si="86"/>
        <v>6.6503509932501212E-3</v>
      </c>
      <c r="AJ75" s="109">
        <f t="shared" si="86"/>
        <v>0</v>
      </c>
      <c r="AK75" s="59">
        <f t="shared" si="87"/>
        <v>1.8303364386890158E-2</v>
      </c>
      <c r="AL75" s="57">
        <f t="shared" si="88"/>
        <v>1.8522531094211297E-2</v>
      </c>
      <c r="AM75" s="99">
        <f t="shared" si="89"/>
        <v>3.6498975103065621E-2</v>
      </c>
      <c r="AN75" s="99">
        <f t="shared" si="90"/>
        <v>3.6498975103065621E-2</v>
      </c>
      <c r="AO75" s="99">
        <f t="shared" si="91"/>
        <v>2.5549282572145934E-2</v>
      </c>
      <c r="AP75" s="59">
        <f t="shared" si="92"/>
        <v>2.6305392630996911E-2</v>
      </c>
      <c r="AQ75" s="57">
        <f t="shared" si="93"/>
        <v>1.8522531094211297E-2</v>
      </c>
      <c r="AR75" s="61">
        <f t="shared" si="94"/>
        <v>3.8216452404743898E-3</v>
      </c>
      <c r="AS75" s="59">
        <f t="shared" si="95"/>
        <v>3.0122836285428729E-2</v>
      </c>
      <c r="AT75" s="57">
        <f t="shared" si="96"/>
        <v>7.6041351708539626E-3</v>
      </c>
      <c r="AU75" s="61">
        <f t="shared" si="97"/>
        <v>3.8216452404743898E-3</v>
      </c>
      <c r="AW75">
        <f t="shared" ref="AW75:AW110" si="104">A75</f>
        <v>65</v>
      </c>
      <c r="AX75" s="11">
        <f t="shared" ref="AX75:AX110" si="105">SUM(AE75:AG75)</f>
        <v>3.8859156412504009E-2</v>
      </c>
      <c r="AY75" s="11">
        <f t="shared" ref="AY75:AY110" si="106">SUM(AH75:AJ75)</f>
        <v>3.677318727867885E-2</v>
      </c>
      <c r="AZ75" s="11">
        <f t="shared" si="98"/>
        <v>7.3324870584167076E-2</v>
      </c>
      <c r="BA75" s="11">
        <f t="shared" si="99"/>
        <v>7.3324870584167076E-2</v>
      </c>
      <c r="BB75" s="11">
        <f t="shared" si="100"/>
        <v>6.2375178053247389E-2</v>
      </c>
      <c r="BC75" s="11">
        <f t="shared" si="101"/>
        <v>4.8649568965682594E-2</v>
      </c>
      <c r="BD75" s="11">
        <f t="shared" si="102"/>
        <v>4.1548616696757079E-2</v>
      </c>
    </row>
    <row r="76" spans="1:56" x14ac:dyDescent="0.25">
      <c r="A76">
        <v>66</v>
      </c>
      <c r="B76">
        <f>MAX(A76-Settings!$Y$3*voltijdfranchise/1000, 0)</f>
        <v>51</v>
      </c>
      <c r="C76" s="59">
        <f t="shared" si="71"/>
        <v>4.1604018361135066E-2</v>
      </c>
      <c r="D76" s="61">
        <f t="shared" si="71"/>
        <v>8.9128849751201385E-3</v>
      </c>
      <c r="E76" s="109">
        <f t="shared" si="71"/>
        <v>0</v>
      </c>
      <c r="F76" s="59">
        <f t="shared" si="71"/>
        <v>3.9159687171057347E-2</v>
      </c>
      <c r="G76" s="61">
        <f t="shared" si="71"/>
        <v>8.6454562912251579E-3</v>
      </c>
      <c r="H76" s="109">
        <f t="shared" si="71"/>
        <v>0</v>
      </c>
      <c r="I76" s="59">
        <f t="shared" si="71"/>
        <v>2.3794373702957207E-2</v>
      </c>
      <c r="J76" s="57">
        <f t="shared" si="72"/>
        <v>2.3970334357214618E-2</v>
      </c>
      <c r="K76" s="99">
        <f t="shared" si="72"/>
        <v>4.7233967780437862E-2</v>
      </c>
      <c r="L76" s="99">
        <f t="shared" si="72"/>
        <v>4.7233967780437862E-2</v>
      </c>
      <c r="M76" s="99">
        <f t="shared" si="72"/>
        <v>3.3063777446306501E-2</v>
      </c>
      <c r="N76" s="59">
        <f t="shared" si="68"/>
        <v>3.4197010420295985E-2</v>
      </c>
      <c r="O76" s="57">
        <f t="shared" si="81"/>
        <v>2.3970334357214618E-2</v>
      </c>
      <c r="P76" s="61">
        <f t="shared" si="69"/>
        <v>4.968138812616707E-3</v>
      </c>
      <c r="Q76" s="59">
        <f t="shared" si="69"/>
        <v>3.9159687171057347E-2</v>
      </c>
      <c r="R76" s="57">
        <f t="shared" si="82"/>
        <v>9.8406455152227745E-3</v>
      </c>
      <c r="S76" s="61">
        <f t="shared" si="70"/>
        <v>4.968138812616707E-3</v>
      </c>
      <c r="U76" s="18">
        <f t="shared" si="76"/>
        <v>66</v>
      </c>
      <c r="V76" s="11">
        <f t="shared" si="77"/>
        <v>5.0516903336255206E-2</v>
      </c>
      <c r="W76" s="11">
        <f t="shared" si="78"/>
        <v>4.7805143462282505E-2</v>
      </c>
      <c r="X76" s="11">
        <f t="shared" si="73"/>
        <v>9.4998675840609698E-2</v>
      </c>
      <c r="Y76" s="11">
        <f t="shared" si="74"/>
        <v>9.4998675840609698E-2</v>
      </c>
      <c r="Z76" s="11">
        <f t="shared" si="75"/>
        <v>8.0828485506478337E-2</v>
      </c>
      <c r="AA76" s="11">
        <f t="shared" si="79"/>
        <v>6.3135483590127314E-2</v>
      </c>
      <c r="AB76" s="11">
        <f t="shared" si="80"/>
        <v>5.3968471498896831E-2</v>
      </c>
      <c r="AE76" s="59">
        <f t="shared" si="83"/>
        <v>3.2148559642695272E-2</v>
      </c>
      <c r="AF76" s="61">
        <f t="shared" si="84"/>
        <v>6.8872292989564706E-3</v>
      </c>
      <c r="AG76" s="109">
        <f t="shared" si="103"/>
        <v>0</v>
      </c>
      <c r="AH76" s="59">
        <f t="shared" si="85"/>
        <v>3.0259758268544313E-2</v>
      </c>
      <c r="AI76" s="61">
        <f t="shared" si="86"/>
        <v>6.6805798614012583E-3</v>
      </c>
      <c r="AJ76" s="109">
        <f t="shared" si="86"/>
        <v>0</v>
      </c>
      <c r="AK76" s="59">
        <f t="shared" si="87"/>
        <v>1.8386561497739661E-2</v>
      </c>
      <c r="AL76" s="57">
        <f t="shared" si="88"/>
        <v>1.8522531094211297E-2</v>
      </c>
      <c r="AM76" s="99">
        <f t="shared" si="89"/>
        <v>3.6498975103065621E-2</v>
      </c>
      <c r="AN76" s="99">
        <f t="shared" si="90"/>
        <v>3.6498975103065621E-2</v>
      </c>
      <c r="AO76" s="99">
        <f t="shared" si="91"/>
        <v>2.5549282572145934E-2</v>
      </c>
      <c r="AP76" s="59">
        <f t="shared" si="92"/>
        <v>2.642496259750144E-2</v>
      </c>
      <c r="AQ76" s="57">
        <f t="shared" si="93"/>
        <v>1.8522531094211297E-2</v>
      </c>
      <c r="AR76" s="61">
        <f t="shared" si="94"/>
        <v>3.8390163552038188E-3</v>
      </c>
      <c r="AS76" s="59">
        <f t="shared" si="95"/>
        <v>3.0259758268544313E-2</v>
      </c>
      <c r="AT76" s="57">
        <f t="shared" si="96"/>
        <v>7.6041351708539626E-3</v>
      </c>
      <c r="AU76" s="61">
        <f t="shared" si="97"/>
        <v>3.8390163552038188E-3</v>
      </c>
      <c r="AW76">
        <f t="shared" si="104"/>
        <v>66</v>
      </c>
      <c r="AX76" s="11">
        <f t="shared" si="105"/>
        <v>3.9035788941651745E-2</v>
      </c>
      <c r="AY76" s="11">
        <f t="shared" si="106"/>
        <v>3.6940338129945571E-2</v>
      </c>
      <c r="AZ76" s="11">
        <f t="shared" si="98"/>
        <v>7.3408067695016579E-2</v>
      </c>
      <c r="BA76" s="11">
        <f t="shared" si="99"/>
        <v>7.3408067695016579E-2</v>
      </c>
      <c r="BB76" s="11">
        <f t="shared" si="100"/>
        <v>6.2458375164096892E-2</v>
      </c>
      <c r="BC76" s="11">
        <f t="shared" si="101"/>
        <v>4.8786510046916552E-2</v>
      </c>
      <c r="BD76" s="11">
        <f t="shared" si="102"/>
        <v>4.1702909794602096E-2</v>
      </c>
    </row>
    <row r="77" spans="1:56" x14ac:dyDescent="0.25">
      <c r="A77">
        <v>67</v>
      </c>
      <c r="B77">
        <f>MAX(A77-Settings!$Y$3*voltijdfranchise/1000, 0)</f>
        <v>52</v>
      </c>
      <c r="C77" s="59">
        <f t="shared" si="71"/>
        <v>4.1604018361135066E-2</v>
      </c>
      <c r="D77" s="61">
        <f t="shared" si="71"/>
        <v>8.9128849751201385E-3</v>
      </c>
      <c r="E77" s="109">
        <f t="shared" si="71"/>
        <v>0</v>
      </c>
      <c r="F77" s="59">
        <f t="shared" si="71"/>
        <v>3.9159687171057347E-2</v>
      </c>
      <c r="G77" s="61">
        <f t="shared" si="71"/>
        <v>8.6454562912251579E-3</v>
      </c>
      <c r="H77" s="109">
        <f t="shared" si="71"/>
        <v>0</v>
      </c>
      <c r="I77" s="59">
        <f t="shared" si="71"/>
        <v>2.3794373702957207E-2</v>
      </c>
      <c r="J77" s="57">
        <f t="shared" si="72"/>
        <v>2.3865568909849168E-2</v>
      </c>
      <c r="K77" s="99">
        <f t="shared" si="72"/>
        <v>4.7027525613565317E-2</v>
      </c>
      <c r="L77" s="99">
        <f t="shared" si="72"/>
        <v>4.7027525613565317E-2</v>
      </c>
      <c r="M77" s="99">
        <f t="shared" si="72"/>
        <v>3.2919267929495725E-2</v>
      </c>
      <c r="N77" s="59">
        <f t="shared" si="68"/>
        <v>3.4197010420295985E-2</v>
      </c>
      <c r="O77" s="57">
        <f t="shared" si="81"/>
        <v>2.3865568909849168E-2</v>
      </c>
      <c r="P77" s="61">
        <f t="shared" si="69"/>
        <v>4.968138812616707E-3</v>
      </c>
      <c r="Q77" s="59">
        <f t="shared" si="69"/>
        <v>3.9159687171057347E-2</v>
      </c>
      <c r="R77" s="57">
        <f t="shared" si="82"/>
        <v>9.7976357009079904E-3</v>
      </c>
      <c r="S77" s="61">
        <f t="shared" si="70"/>
        <v>4.968138812616707E-3</v>
      </c>
      <c r="U77" s="18">
        <f t="shared" si="76"/>
        <v>67</v>
      </c>
      <c r="V77" s="11">
        <f t="shared" si="77"/>
        <v>5.0516903336255206E-2</v>
      </c>
      <c r="W77" s="11">
        <f t="shared" si="78"/>
        <v>4.7805143462282505E-2</v>
      </c>
      <c r="X77" s="11">
        <f t="shared" si="73"/>
        <v>9.4687468226371696E-2</v>
      </c>
      <c r="Y77" s="11">
        <f t="shared" si="74"/>
        <v>9.4687468226371696E-2</v>
      </c>
      <c r="Z77" s="11">
        <f t="shared" si="75"/>
        <v>8.0579210542302104E-2</v>
      </c>
      <c r="AA77" s="11">
        <f t="shared" si="79"/>
        <v>6.3030718142761857E-2</v>
      </c>
      <c r="AB77" s="11">
        <f t="shared" si="80"/>
        <v>5.3925461684582045E-2</v>
      </c>
      <c r="AE77" s="59">
        <f t="shared" si="83"/>
        <v>3.2289685892224231E-2</v>
      </c>
      <c r="AF77" s="61">
        <f t="shared" si="84"/>
        <v>6.917462965764884E-3</v>
      </c>
      <c r="AG77" s="109">
        <f t="shared" si="103"/>
        <v>0</v>
      </c>
      <c r="AH77" s="59">
        <f t="shared" si="85"/>
        <v>3.0392593028283316E-2</v>
      </c>
      <c r="AI77" s="61">
        <f t="shared" si="86"/>
        <v>6.7099063752792268E-3</v>
      </c>
      <c r="AJ77" s="109">
        <f t="shared" si="86"/>
        <v>0</v>
      </c>
      <c r="AK77" s="59">
        <f t="shared" si="87"/>
        <v>1.8467275112742907E-2</v>
      </c>
      <c r="AL77" s="57">
        <f t="shared" si="88"/>
        <v>1.8522531094211297E-2</v>
      </c>
      <c r="AM77" s="99">
        <f t="shared" si="89"/>
        <v>3.6498975103065621E-2</v>
      </c>
      <c r="AN77" s="99">
        <f t="shared" si="90"/>
        <v>3.6498975103065621E-2</v>
      </c>
      <c r="AO77" s="99">
        <f t="shared" si="91"/>
        <v>2.5549282572145934E-2</v>
      </c>
      <c r="AP77" s="59">
        <f t="shared" si="92"/>
        <v>2.6540963311274497E-2</v>
      </c>
      <c r="AQ77" s="57">
        <f t="shared" si="93"/>
        <v>1.8522531094211297E-2</v>
      </c>
      <c r="AR77" s="61">
        <f t="shared" si="94"/>
        <v>3.8558689291950561E-3</v>
      </c>
      <c r="AS77" s="59">
        <f t="shared" si="95"/>
        <v>3.0392593028283316E-2</v>
      </c>
      <c r="AT77" s="57">
        <f t="shared" si="96"/>
        <v>7.6041351708539626E-3</v>
      </c>
      <c r="AU77" s="61">
        <f t="shared" si="97"/>
        <v>3.8558689291950561E-3</v>
      </c>
      <c r="AW77">
        <f t="shared" si="104"/>
        <v>67</v>
      </c>
      <c r="AX77" s="11">
        <f t="shared" si="105"/>
        <v>3.9207148857989114E-2</v>
      </c>
      <c r="AY77" s="11">
        <f t="shared" si="106"/>
        <v>3.7102499403562542E-2</v>
      </c>
      <c r="AZ77" s="11">
        <f t="shared" si="98"/>
        <v>7.3488781310019818E-2</v>
      </c>
      <c r="BA77" s="11">
        <f t="shared" si="99"/>
        <v>7.3488781310019818E-2</v>
      </c>
      <c r="BB77" s="11">
        <f t="shared" si="100"/>
        <v>6.2539088779100138E-2</v>
      </c>
      <c r="BC77" s="11">
        <f t="shared" si="101"/>
        <v>4.8919363334680846E-2</v>
      </c>
      <c r="BD77" s="11">
        <f t="shared" si="102"/>
        <v>4.1852597128332336E-2</v>
      </c>
    </row>
    <row r="78" spans="1:56" x14ac:dyDescent="0.25">
      <c r="A78">
        <v>68</v>
      </c>
      <c r="B78">
        <f>MAX(A78-Settings!$Y$3*voltijdfranchise/1000, 0)</f>
        <v>53</v>
      </c>
      <c r="C78" s="59">
        <f t="shared" si="71"/>
        <v>4.1604018361135066E-2</v>
      </c>
      <c r="D78" s="61">
        <f t="shared" si="71"/>
        <v>8.9128849751201385E-3</v>
      </c>
      <c r="E78" s="109">
        <f t="shared" si="71"/>
        <v>0</v>
      </c>
      <c r="F78" s="59">
        <f t="shared" si="71"/>
        <v>3.9159687171057347E-2</v>
      </c>
      <c r="G78" s="61">
        <f t="shared" si="71"/>
        <v>8.6454562912251579E-3</v>
      </c>
      <c r="H78" s="109">
        <f t="shared" si="71"/>
        <v>0</v>
      </c>
      <c r="I78" s="59">
        <f t="shared" si="71"/>
        <v>2.3794373702957207E-2</v>
      </c>
      <c r="J78" s="57">
        <f t="shared" si="72"/>
        <v>2.3764756875591854E-2</v>
      </c>
      <c r="K78" s="99">
        <f t="shared" si="72"/>
        <v>4.6828873717140798E-2</v>
      </c>
      <c r="L78" s="99">
        <f t="shared" si="72"/>
        <v>4.6828873717140798E-2</v>
      </c>
      <c r="M78" s="99">
        <f t="shared" si="72"/>
        <v>3.2780211601998559E-2</v>
      </c>
      <c r="N78" s="59">
        <f t="shared" si="68"/>
        <v>3.4197010420295985E-2</v>
      </c>
      <c r="O78" s="57">
        <f t="shared" si="81"/>
        <v>2.3764756875591854E-2</v>
      </c>
      <c r="P78" s="61">
        <f t="shared" si="69"/>
        <v>4.968138812616707E-3</v>
      </c>
      <c r="Q78" s="59">
        <f t="shared" si="69"/>
        <v>3.9159687171057347E-2</v>
      </c>
      <c r="R78" s="57">
        <f t="shared" si="82"/>
        <v>9.756248898454143E-3</v>
      </c>
      <c r="S78" s="61">
        <f t="shared" si="70"/>
        <v>4.968138812616707E-3</v>
      </c>
      <c r="U78" s="18">
        <f t="shared" si="76"/>
        <v>68</v>
      </c>
      <c r="V78" s="11">
        <f t="shared" si="77"/>
        <v>5.0516903336255206E-2</v>
      </c>
      <c r="W78" s="11">
        <f t="shared" si="78"/>
        <v>4.7805143462282505E-2</v>
      </c>
      <c r="X78" s="11">
        <f t="shared" si="73"/>
        <v>9.4388004295689859E-2</v>
      </c>
      <c r="Y78" s="11">
        <f t="shared" si="74"/>
        <v>9.4388004295689859E-2</v>
      </c>
      <c r="Z78" s="11">
        <f t="shared" si="75"/>
        <v>8.0339342180547613E-2</v>
      </c>
      <c r="AA78" s="11">
        <f t="shared" si="79"/>
        <v>6.2929906108504546E-2</v>
      </c>
      <c r="AB78" s="11">
        <f t="shared" si="80"/>
        <v>5.3884074882128194E-2</v>
      </c>
      <c r="AE78" s="59">
        <f t="shared" si="83"/>
        <v>3.2426661369708218E-2</v>
      </c>
      <c r="AF78" s="61">
        <f t="shared" si="84"/>
        <v>6.9468074070789315E-3</v>
      </c>
      <c r="AG78" s="109">
        <f t="shared" si="103"/>
        <v>0</v>
      </c>
      <c r="AH78" s="59">
        <f t="shared" si="85"/>
        <v>3.0521520883324108E-2</v>
      </c>
      <c r="AI78" s="61">
        <f t="shared" si="86"/>
        <v>6.7383703446313734E-3</v>
      </c>
      <c r="AJ78" s="109">
        <f t="shared" si="86"/>
        <v>0</v>
      </c>
      <c r="AK78" s="59">
        <f t="shared" si="87"/>
        <v>1.8545614797893118E-2</v>
      </c>
      <c r="AL78" s="57">
        <f t="shared" si="88"/>
        <v>1.8522531094211297E-2</v>
      </c>
      <c r="AM78" s="99">
        <f t="shared" si="89"/>
        <v>3.6498975103065621E-2</v>
      </c>
      <c r="AN78" s="99">
        <f t="shared" si="90"/>
        <v>3.6498975103065621E-2</v>
      </c>
      <c r="AO78" s="99">
        <f t="shared" si="91"/>
        <v>2.5549282572145934E-2</v>
      </c>
      <c r="AP78" s="59">
        <f t="shared" si="92"/>
        <v>2.665355223934834E-2</v>
      </c>
      <c r="AQ78" s="57">
        <f t="shared" si="93"/>
        <v>1.8522531094211297E-2</v>
      </c>
      <c r="AR78" s="61">
        <f t="shared" si="94"/>
        <v>3.8722258392453746E-3</v>
      </c>
      <c r="AS78" s="59">
        <f t="shared" si="95"/>
        <v>3.0521520883324108E-2</v>
      </c>
      <c r="AT78" s="57">
        <f t="shared" si="96"/>
        <v>7.6041351708539626E-3</v>
      </c>
      <c r="AU78" s="61">
        <f t="shared" si="97"/>
        <v>3.8722258392453746E-3</v>
      </c>
      <c r="AW78">
        <f t="shared" si="104"/>
        <v>68</v>
      </c>
      <c r="AX78" s="11">
        <f t="shared" si="105"/>
        <v>3.937346877678715E-2</v>
      </c>
      <c r="AY78" s="11">
        <f t="shared" si="106"/>
        <v>3.7259891227955484E-2</v>
      </c>
      <c r="AZ78" s="11">
        <f t="shared" si="98"/>
        <v>7.3567120995170043E-2</v>
      </c>
      <c r="BA78" s="11">
        <f t="shared" si="99"/>
        <v>7.3567120995170043E-2</v>
      </c>
      <c r="BB78" s="11">
        <f t="shared" si="100"/>
        <v>6.2617428464250349E-2</v>
      </c>
      <c r="BC78" s="11">
        <f t="shared" si="101"/>
        <v>4.9048309172805012E-2</v>
      </c>
      <c r="BD78" s="11">
        <f t="shared" si="102"/>
        <v>4.1997881893423447E-2</v>
      </c>
    </row>
    <row r="79" spans="1:56" x14ac:dyDescent="0.25">
      <c r="A79">
        <v>69</v>
      </c>
      <c r="B79">
        <f>MAX(A79-Settings!$Y$3*voltijdfranchise/1000, 0)</f>
        <v>54</v>
      </c>
      <c r="C79" s="59">
        <f t="shared" ref="C79:I85" si="107">C$6</f>
        <v>4.1604018361135066E-2</v>
      </c>
      <c r="D79" s="61">
        <f t="shared" si="107"/>
        <v>8.9128849751201385E-3</v>
      </c>
      <c r="E79" s="109">
        <f t="shared" si="107"/>
        <v>0</v>
      </c>
      <c r="F79" s="59">
        <f t="shared" si="107"/>
        <v>3.9159687171057347E-2</v>
      </c>
      <c r="G79" s="61">
        <f t="shared" si="107"/>
        <v>8.6454562912251579E-3</v>
      </c>
      <c r="H79" s="109">
        <f t="shared" si="107"/>
        <v>0</v>
      </c>
      <c r="I79" s="59">
        <f t="shared" si="107"/>
        <v>2.3794373702957207E-2</v>
      </c>
      <c r="J79" s="57">
        <f t="shared" si="72"/>
        <v>2.3667678620381102E-2</v>
      </c>
      <c r="K79" s="99">
        <f t="shared" si="72"/>
        <v>4.6637579298361626E-2</v>
      </c>
      <c r="L79" s="99">
        <f t="shared" si="72"/>
        <v>4.6637579298361626E-2</v>
      </c>
      <c r="M79" s="99">
        <f t="shared" si="72"/>
        <v>3.2646305508853134E-2</v>
      </c>
      <c r="N79" s="59">
        <f t="shared" si="68"/>
        <v>3.4197010420295985E-2</v>
      </c>
      <c r="O79" s="57">
        <f t="shared" si="81"/>
        <v>2.3667678620381102E-2</v>
      </c>
      <c r="P79" s="61">
        <f t="shared" si="69"/>
        <v>4.968138812616707E-3</v>
      </c>
      <c r="Q79" s="59">
        <f t="shared" si="69"/>
        <v>3.9159687171057347E-2</v>
      </c>
      <c r="R79" s="57">
        <f t="shared" si="82"/>
        <v>9.7163949405356196E-3</v>
      </c>
      <c r="S79" s="61">
        <f t="shared" si="70"/>
        <v>4.968138812616707E-3</v>
      </c>
      <c r="U79" s="18">
        <f t="shared" si="76"/>
        <v>69</v>
      </c>
      <c r="V79" s="11">
        <f t="shared" si="77"/>
        <v>5.0516903336255206E-2</v>
      </c>
      <c r="W79" s="11">
        <f t="shared" si="78"/>
        <v>4.7805143462282505E-2</v>
      </c>
      <c r="X79" s="11">
        <f t="shared" si="73"/>
        <v>9.4099631621699931E-2</v>
      </c>
      <c r="Y79" s="11">
        <f t="shared" si="74"/>
        <v>9.4099631621699931E-2</v>
      </c>
      <c r="Z79" s="11">
        <f t="shared" si="75"/>
        <v>8.0108357832191446E-2</v>
      </c>
      <c r="AA79" s="11">
        <f t="shared" si="79"/>
        <v>6.2832827853293791E-2</v>
      </c>
      <c r="AB79" s="11">
        <f t="shared" si="80"/>
        <v>5.3844220924209672E-2</v>
      </c>
      <c r="AE79" s="59">
        <f t="shared" si="83"/>
        <v>3.2559666543497005E-2</v>
      </c>
      <c r="AF79" s="61">
        <f t="shared" si="84"/>
        <v>6.9753012848766298E-3</v>
      </c>
      <c r="AG79" s="109">
        <f t="shared" si="103"/>
        <v>0</v>
      </c>
      <c r="AH79" s="59">
        <f t="shared" si="85"/>
        <v>3.064671169908836E-2</v>
      </c>
      <c r="AI79" s="61">
        <f t="shared" si="86"/>
        <v>6.7660092713936019E-3</v>
      </c>
      <c r="AJ79" s="109">
        <f t="shared" si="86"/>
        <v>0</v>
      </c>
      <c r="AK79" s="59">
        <f t="shared" si="87"/>
        <v>1.8621683767531726E-2</v>
      </c>
      <c r="AL79" s="57">
        <f t="shared" si="88"/>
        <v>1.8522531094211297E-2</v>
      </c>
      <c r="AM79" s="99">
        <f t="shared" si="89"/>
        <v>3.6498975103065621E-2</v>
      </c>
      <c r="AN79" s="99">
        <f t="shared" si="90"/>
        <v>3.6498975103065621E-2</v>
      </c>
      <c r="AO79" s="99">
        <f t="shared" si="91"/>
        <v>2.5549282572145934E-2</v>
      </c>
      <c r="AP79" s="59">
        <f t="shared" si="92"/>
        <v>2.6762877720231639E-2</v>
      </c>
      <c r="AQ79" s="57">
        <f t="shared" si="93"/>
        <v>1.8522531094211297E-2</v>
      </c>
      <c r="AR79" s="61">
        <f t="shared" si="94"/>
        <v>3.8881086359609011E-3</v>
      </c>
      <c r="AS79" s="59">
        <f t="shared" si="95"/>
        <v>3.064671169908836E-2</v>
      </c>
      <c r="AT79" s="57">
        <f t="shared" si="96"/>
        <v>7.6041351708539626E-3</v>
      </c>
      <c r="AU79" s="61">
        <f t="shared" si="97"/>
        <v>3.8881086359609011E-3</v>
      </c>
      <c r="AW79">
        <f t="shared" si="104"/>
        <v>69</v>
      </c>
      <c r="AX79" s="11">
        <f t="shared" si="105"/>
        <v>3.9534967828373638E-2</v>
      </c>
      <c r="AY79" s="11">
        <f t="shared" si="106"/>
        <v>3.7412720970481962E-2</v>
      </c>
      <c r="AZ79" s="11">
        <f t="shared" si="98"/>
        <v>7.3643189964808647E-2</v>
      </c>
      <c r="BA79" s="11">
        <f t="shared" si="99"/>
        <v>7.3643189964808647E-2</v>
      </c>
      <c r="BB79" s="11">
        <f t="shared" si="100"/>
        <v>6.2693497433888953E-2</v>
      </c>
      <c r="BC79" s="11">
        <f t="shared" si="101"/>
        <v>4.9173517450403839E-2</v>
      </c>
      <c r="BD79" s="11">
        <f t="shared" si="102"/>
        <v>4.2138955505903228E-2</v>
      </c>
    </row>
    <row r="80" spans="1:56" x14ac:dyDescent="0.25">
      <c r="A80">
        <v>70</v>
      </c>
      <c r="B80">
        <f>MAX(A80-Settings!$Y$3*voltijdfranchise/1000, 0)</f>
        <v>55</v>
      </c>
      <c r="C80" s="59">
        <f t="shared" si="107"/>
        <v>4.1604018361135066E-2</v>
      </c>
      <c r="D80" s="61">
        <f t="shared" si="107"/>
        <v>8.9128849751201385E-3</v>
      </c>
      <c r="E80" s="109">
        <f t="shared" si="107"/>
        <v>0</v>
      </c>
      <c r="F80" s="59">
        <f t="shared" si="107"/>
        <v>3.9159687171057347E-2</v>
      </c>
      <c r="G80" s="61">
        <f t="shared" si="107"/>
        <v>8.6454562912251579E-3</v>
      </c>
      <c r="H80" s="109">
        <f t="shared" si="107"/>
        <v>0</v>
      </c>
      <c r="I80" s="59">
        <f t="shared" si="107"/>
        <v>2.3794373702957207E-2</v>
      </c>
      <c r="J80" s="57">
        <f t="shared" si="72"/>
        <v>2.357413048354165E-2</v>
      </c>
      <c r="K80" s="99">
        <f t="shared" si="72"/>
        <v>4.6453241040265339E-2</v>
      </c>
      <c r="L80" s="99">
        <f t="shared" si="72"/>
        <v>4.6453241040265339E-2</v>
      </c>
      <c r="M80" s="99">
        <f t="shared" si="72"/>
        <v>3.2517268728185729E-2</v>
      </c>
      <c r="N80" s="59">
        <f t="shared" si="68"/>
        <v>3.4197010420295985E-2</v>
      </c>
      <c r="O80" s="57">
        <f t="shared" si="81"/>
        <v>2.357413048354165E-2</v>
      </c>
      <c r="P80" s="61">
        <f t="shared" si="69"/>
        <v>4.968138812616707E-3</v>
      </c>
      <c r="Q80" s="59">
        <f t="shared" si="69"/>
        <v>3.9159687171057347E-2</v>
      </c>
      <c r="R80" s="57">
        <f t="shared" si="82"/>
        <v>9.6779902174504977E-3</v>
      </c>
      <c r="S80" s="61">
        <f t="shared" si="70"/>
        <v>4.968138812616707E-3</v>
      </c>
      <c r="U80" s="18">
        <f t="shared" si="76"/>
        <v>70</v>
      </c>
      <c r="V80" s="11">
        <f t="shared" si="77"/>
        <v>5.0516903336255206E-2</v>
      </c>
      <c r="W80" s="11">
        <f t="shared" si="78"/>
        <v>4.7805143462282505E-2</v>
      </c>
      <c r="X80" s="11">
        <f t="shared" si="73"/>
        <v>9.3821745226764203E-2</v>
      </c>
      <c r="Y80" s="11">
        <f t="shared" si="74"/>
        <v>9.3821745226764203E-2</v>
      </c>
      <c r="Z80" s="11">
        <f t="shared" si="75"/>
        <v>7.9885772914684586E-2</v>
      </c>
      <c r="AA80" s="11">
        <f t="shared" si="79"/>
        <v>6.2739279716454349E-2</v>
      </c>
      <c r="AB80" s="11">
        <f t="shared" si="80"/>
        <v>5.3805816201124554E-2</v>
      </c>
      <c r="AE80" s="59">
        <f t="shared" si="83"/>
        <v>3.2688871569463269E-2</v>
      </c>
      <c r="AF80" s="61">
        <f t="shared" si="84"/>
        <v>7.0029810518801089E-3</v>
      </c>
      <c r="AG80" s="109">
        <f t="shared" si="103"/>
        <v>0</v>
      </c>
      <c r="AH80" s="59">
        <f t="shared" si="85"/>
        <v>3.07683256344022E-2</v>
      </c>
      <c r="AI80" s="61">
        <f t="shared" si="86"/>
        <v>6.7928585145340531E-3</v>
      </c>
      <c r="AJ80" s="109">
        <f t="shared" si="86"/>
        <v>0</v>
      </c>
      <c r="AK80" s="59">
        <f t="shared" si="87"/>
        <v>1.8695579338037803E-2</v>
      </c>
      <c r="AL80" s="57">
        <f t="shared" si="88"/>
        <v>1.8522531094211297E-2</v>
      </c>
      <c r="AM80" s="99">
        <f t="shared" si="89"/>
        <v>3.6498975103065621E-2</v>
      </c>
      <c r="AN80" s="99">
        <f t="shared" si="90"/>
        <v>3.6498975103065621E-2</v>
      </c>
      <c r="AO80" s="99">
        <f t="shared" si="91"/>
        <v>2.5549282572145934E-2</v>
      </c>
      <c r="AP80" s="59">
        <f t="shared" si="92"/>
        <v>2.6869079615946846E-2</v>
      </c>
      <c r="AQ80" s="57">
        <f t="shared" si="93"/>
        <v>1.8522531094211297E-2</v>
      </c>
      <c r="AR80" s="61">
        <f t="shared" si="94"/>
        <v>3.9035376384845555E-3</v>
      </c>
      <c r="AS80" s="59">
        <f t="shared" si="95"/>
        <v>3.07683256344022E-2</v>
      </c>
      <c r="AT80" s="57">
        <f t="shared" si="96"/>
        <v>7.6041351708539626E-3</v>
      </c>
      <c r="AU80" s="61">
        <f t="shared" si="97"/>
        <v>3.9035376384845555E-3</v>
      </c>
      <c r="AW80">
        <f t="shared" si="104"/>
        <v>70</v>
      </c>
      <c r="AX80" s="11">
        <f t="shared" si="105"/>
        <v>3.9691852621343379E-2</v>
      </c>
      <c r="AY80" s="11">
        <f t="shared" si="106"/>
        <v>3.756118414893625E-2</v>
      </c>
      <c r="AZ80" s="11">
        <f t="shared" si="98"/>
        <v>7.3717085535314725E-2</v>
      </c>
      <c r="BA80" s="11">
        <f t="shared" si="99"/>
        <v>7.3717085535314725E-2</v>
      </c>
      <c r="BB80" s="11">
        <f t="shared" si="100"/>
        <v>6.2767393004395031E-2</v>
      </c>
      <c r="BC80" s="11">
        <f t="shared" si="101"/>
        <v>4.9295148348642695E-2</v>
      </c>
      <c r="BD80" s="11">
        <f t="shared" si="102"/>
        <v>4.227599844374072E-2</v>
      </c>
    </row>
    <row r="81" spans="1:56" x14ac:dyDescent="0.25">
      <c r="A81">
        <v>71</v>
      </c>
      <c r="B81">
        <f>MAX(A81-Settings!$Y$3*voltijdfranchise/1000, 0)</f>
        <v>56</v>
      </c>
      <c r="C81" s="59">
        <f t="shared" si="107"/>
        <v>4.1604018361135066E-2</v>
      </c>
      <c r="D81" s="61">
        <f t="shared" si="107"/>
        <v>8.9128849751201385E-3</v>
      </c>
      <c r="E81" s="109">
        <f t="shared" si="107"/>
        <v>0</v>
      </c>
      <c r="F81" s="59">
        <f t="shared" si="107"/>
        <v>3.9159687171057347E-2</v>
      </c>
      <c r="G81" s="61">
        <f t="shared" si="107"/>
        <v>8.6454562912251579E-3</v>
      </c>
      <c r="H81" s="109">
        <f t="shared" si="107"/>
        <v>0</v>
      </c>
      <c r="I81" s="59">
        <f t="shared" si="107"/>
        <v>2.3794373702957207E-2</v>
      </c>
      <c r="J81" s="57">
        <f t="shared" si="72"/>
        <v>2.3483923351589324E-2</v>
      </c>
      <c r="K81" s="99">
        <f t="shared" si="72"/>
        <v>4.6275486291386767E-2</v>
      </c>
      <c r="L81" s="99">
        <f t="shared" si="72"/>
        <v>4.6275486291386767E-2</v>
      </c>
      <c r="M81" s="99">
        <f t="shared" si="72"/>
        <v>3.2392840403970738E-2</v>
      </c>
      <c r="N81" s="59">
        <f t="shared" si="68"/>
        <v>3.4197010420295985E-2</v>
      </c>
      <c r="O81" s="57">
        <f t="shared" si="81"/>
        <v>2.3483923351589324E-2</v>
      </c>
      <c r="P81" s="61">
        <f t="shared" si="69"/>
        <v>4.968138812616707E-3</v>
      </c>
      <c r="Q81" s="59">
        <f t="shared" si="69"/>
        <v>3.9159687171057347E-2</v>
      </c>
      <c r="R81" s="57">
        <f t="shared" si="82"/>
        <v>9.6409570916184163E-3</v>
      </c>
      <c r="S81" s="61">
        <f t="shared" si="70"/>
        <v>4.968138812616707E-3</v>
      </c>
      <c r="U81" s="18">
        <f t="shared" si="76"/>
        <v>71</v>
      </c>
      <c r="V81" s="11">
        <f t="shared" si="77"/>
        <v>5.0516903336255206E-2</v>
      </c>
      <c r="W81" s="11">
        <f t="shared" si="78"/>
        <v>4.7805143462282505E-2</v>
      </c>
      <c r="X81" s="11">
        <f t="shared" si="73"/>
        <v>9.3553783345933297E-2</v>
      </c>
      <c r="Y81" s="11">
        <f t="shared" si="74"/>
        <v>9.3553783345933297E-2</v>
      </c>
      <c r="Z81" s="11">
        <f t="shared" si="75"/>
        <v>7.9671137458517269E-2</v>
      </c>
      <c r="AA81" s="11">
        <f t="shared" si="79"/>
        <v>6.2649072584502016E-2</v>
      </c>
      <c r="AB81" s="11">
        <f t="shared" si="80"/>
        <v>5.3768783075292467E-2</v>
      </c>
      <c r="AE81" s="59">
        <f t="shared" si="83"/>
        <v>3.2814437017233286E-2</v>
      </c>
      <c r="AF81" s="61">
        <f t="shared" si="84"/>
        <v>7.0298811071370102E-3</v>
      </c>
      <c r="AG81" s="109">
        <f t="shared" si="103"/>
        <v>0</v>
      </c>
      <c r="AH81" s="59">
        <f t="shared" si="85"/>
        <v>3.0886513825059317E-2</v>
      </c>
      <c r="AI81" s="61">
        <f t="shared" si="86"/>
        <v>6.8189514409663218E-3</v>
      </c>
      <c r="AJ81" s="109">
        <f t="shared" si="86"/>
        <v>0</v>
      </c>
      <c r="AK81" s="59">
        <f t="shared" si="87"/>
        <v>1.8767393343177514E-2</v>
      </c>
      <c r="AL81" s="57">
        <f t="shared" si="88"/>
        <v>1.8522531094211297E-2</v>
      </c>
      <c r="AM81" s="99">
        <f t="shared" si="89"/>
        <v>3.6498975103065621E-2</v>
      </c>
      <c r="AN81" s="99">
        <f t="shared" si="90"/>
        <v>3.6498975103065621E-2</v>
      </c>
      <c r="AO81" s="99">
        <f t="shared" si="91"/>
        <v>2.5549282572145934E-2</v>
      </c>
      <c r="AP81" s="59">
        <f t="shared" si="92"/>
        <v>2.6972289908965847E-2</v>
      </c>
      <c r="AQ81" s="57">
        <f t="shared" si="93"/>
        <v>1.8522531094211297E-2</v>
      </c>
      <c r="AR81" s="61">
        <f t="shared" si="94"/>
        <v>3.9185320212188112E-3</v>
      </c>
      <c r="AS81" s="59">
        <f t="shared" si="95"/>
        <v>3.0886513825059317E-2</v>
      </c>
      <c r="AT81" s="57">
        <f t="shared" si="96"/>
        <v>7.6041351708539626E-3</v>
      </c>
      <c r="AU81" s="61">
        <f t="shared" si="97"/>
        <v>3.9185320212188112E-3</v>
      </c>
      <c r="AW81">
        <f t="shared" si="104"/>
        <v>71</v>
      </c>
      <c r="AX81" s="11">
        <f t="shared" si="105"/>
        <v>3.9844318124370295E-2</v>
      </c>
      <c r="AY81" s="11">
        <f t="shared" si="106"/>
        <v>3.770546526602564E-2</v>
      </c>
      <c r="AZ81" s="11">
        <f t="shared" si="98"/>
        <v>7.3788899540454422E-2</v>
      </c>
      <c r="BA81" s="11">
        <f t="shared" si="99"/>
        <v>7.3788899540454422E-2</v>
      </c>
      <c r="BB81" s="11">
        <f t="shared" si="100"/>
        <v>6.2839207009534742E-2</v>
      </c>
      <c r="BC81" s="11">
        <f t="shared" si="101"/>
        <v>4.9413353024395958E-2</v>
      </c>
      <c r="BD81" s="11">
        <f t="shared" si="102"/>
        <v>4.2409181017132092E-2</v>
      </c>
    </row>
    <row r="82" spans="1:56" x14ac:dyDescent="0.25">
      <c r="A82">
        <v>72</v>
      </c>
      <c r="B82">
        <f>MAX(A82-Settings!$Y$3*voltijdfranchise/1000, 0)</f>
        <v>57</v>
      </c>
      <c r="C82" s="59">
        <f t="shared" si="107"/>
        <v>4.1604018361135066E-2</v>
      </c>
      <c r="D82" s="61">
        <f t="shared" si="107"/>
        <v>8.9128849751201385E-3</v>
      </c>
      <c r="E82" s="109">
        <f t="shared" si="107"/>
        <v>0</v>
      </c>
      <c r="F82" s="59">
        <f t="shared" si="107"/>
        <v>3.9159687171057347E-2</v>
      </c>
      <c r="G82" s="61">
        <f t="shared" si="107"/>
        <v>8.6454562912251579E-3</v>
      </c>
      <c r="H82" s="109">
        <f t="shared" si="107"/>
        <v>0</v>
      </c>
      <c r="I82" s="59">
        <f t="shared" si="107"/>
        <v>2.3794373702957207E-2</v>
      </c>
      <c r="J82" s="57">
        <f t="shared" si="72"/>
        <v>2.3396881382161637E-2</v>
      </c>
      <c r="K82" s="99">
        <f t="shared" si="72"/>
        <v>4.6103968551240784E-2</v>
      </c>
      <c r="L82" s="99">
        <f t="shared" si="72"/>
        <v>4.6103968551240784E-2</v>
      </c>
      <c r="M82" s="99">
        <f t="shared" si="72"/>
        <v>3.2272777985868549E-2</v>
      </c>
      <c r="N82" s="59">
        <f t="shared" si="68"/>
        <v>3.4197010420295985E-2</v>
      </c>
      <c r="O82" s="57">
        <f t="shared" si="81"/>
        <v>2.3396881382161637E-2</v>
      </c>
      <c r="P82" s="61">
        <f t="shared" si="69"/>
        <v>4.968138812616707E-3</v>
      </c>
      <c r="Q82" s="59">
        <f t="shared" si="69"/>
        <v>3.9159687171057347E-2</v>
      </c>
      <c r="R82" s="57">
        <f t="shared" si="82"/>
        <v>9.6052233737102689E-3</v>
      </c>
      <c r="S82" s="61">
        <f t="shared" si="70"/>
        <v>4.968138812616707E-3</v>
      </c>
      <c r="U82" s="18">
        <f t="shared" si="76"/>
        <v>72</v>
      </c>
      <c r="V82" s="11">
        <f t="shared" si="77"/>
        <v>5.0516903336255206E-2</v>
      </c>
      <c r="W82" s="11">
        <f t="shared" si="78"/>
        <v>4.7805143462282505E-2</v>
      </c>
      <c r="X82" s="11">
        <f t="shared" si="73"/>
        <v>9.3295223636359628E-2</v>
      </c>
      <c r="Y82" s="11">
        <f t="shared" si="74"/>
        <v>9.3295223636359628E-2</v>
      </c>
      <c r="Z82" s="11">
        <f t="shared" si="75"/>
        <v>7.94640330709874E-2</v>
      </c>
      <c r="AA82" s="11">
        <f t="shared" si="79"/>
        <v>6.2562030615074329E-2</v>
      </c>
      <c r="AB82" s="11">
        <f t="shared" si="80"/>
        <v>5.3733049357384322E-2</v>
      </c>
      <c r="AE82" s="59">
        <f t="shared" si="83"/>
        <v>3.2936514535898596E-2</v>
      </c>
      <c r="AF82" s="61">
        <f t="shared" si="84"/>
        <v>7.0560339386367766E-3</v>
      </c>
      <c r="AG82" s="109">
        <f t="shared" si="103"/>
        <v>0</v>
      </c>
      <c r="AH82" s="59">
        <f t="shared" si="85"/>
        <v>3.1001419010420399E-2</v>
      </c>
      <c r="AI82" s="61">
        <f t="shared" si="86"/>
        <v>6.844319563886583E-3</v>
      </c>
      <c r="AJ82" s="109">
        <f t="shared" si="86"/>
        <v>0</v>
      </c>
      <c r="AK82" s="59">
        <f t="shared" si="87"/>
        <v>1.883721251484112E-2</v>
      </c>
      <c r="AL82" s="57">
        <f t="shared" si="88"/>
        <v>1.8522531094211297E-2</v>
      </c>
      <c r="AM82" s="99">
        <f t="shared" si="89"/>
        <v>3.6498975103065621E-2</v>
      </c>
      <c r="AN82" s="99">
        <f t="shared" si="90"/>
        <v>3.6498975103065621E-2</v>
      </c>
      <c r="AO82" s="99">
        <f t="shared" si="91"/>
        <v>2.5549282572145934E-2</v>
      </c>
      <c r="AP82" s="59">
        <f t="shared" si="92"/>
        <v>2.7072633249400988E-2</v>
      </c>
      <c r="AQ82" s="57">
        <f t="shared" si="93"/>
        <v>1.8522531094211297E-2</v>
      </c>
      <c r="AR82" s="61">
        <f t="shared" si="94"/>
        <v>3.9331098933215597E-3</v>
      </c>
      <c r="AS82" s="59">
        <f t="shared" si="95"/>
        <v>3.1001419010420399E-2</v>
      </c>
      <c r="AT82" s="57">
        <f t="shared" si="96"/>
        <v>7.6041351708539626E-3</v>
      </c>
      <c r="AU82" s="61">
        <f t="shared" si="97"/>
        <v>3.9331098933215597E-3</v>
      </c>
      <c r="AW82">
        <f t="shared" si="104"/>
        <v>72</v>
      </c>
      <c r="AX82" s="11">
        <f t="shared" si="105"/>
        <v>3.9992548474535372E-2</v>
      </c>
      <c r="AY82" s="11">
        <f t="shared" si="106"/>
        <v>3.7845738574306981E-2</v>
      </c>
      <c r="AZ82" s="11">
        <f t="shared" si="98"/>
        <v>7.3858718712118049E-2</v>
      </c>
      <c r="BA82" s="11">
        <f t="shared" si="99"/>
        <v>7.3858718712118049E-2</v>
      </c>
      <c r="BB82" s="11">
        <f t="shared" si="100"/>
        <v>6.2909026181198355E-2</v>
      </c>
      <c r="BC82" s="11">
        <f t="shared" si="101"/>
        <v>4.9528274236933845E-2</v>
      </c>
      <c r="BD82" s="11">
        <f t="shared" si="102"/>
        <v>4.2538664074595924E-2</v>
      </c>
    </row>
    <row r="83" spans="1:56" x14ac:dyDescent="0.25">
      <c r="A83">
        <v>73</v>
      </c>
      <c r="B83">
        <f>MAX(A83-Settings!$Y$3*voltijdfranchise/1000, 0)</f>
        <v>58</v>
      </c>
      <c r="C83" s="59">
        <f t="shared" si="107"/>
        <v>4.1604018361135066E-2</v>
      </c>
      <c r="D83" s="61">
        <f t="shared" si="107"/>
        <v>8.9128849751201385E-3</v>
      </c>
      <c r="E83" s="109">
        <f t="shared" si="107"/>
        <v>0</v>
      </c>
      <c r="F83" s="59">
        <f t="shared" si="107"/>
        <v>3.9159687171057347E-2</v>
      </c>
      <c r="G83" s="61">
        <f t="shared" si="107"/>
        <v>8.6454562912251579E-3</v>
      </c>
      <c r="H83" s="109">
        <f t="shared" si="107"/>
        <v>0</v>
      </c>
      <c r="I83" s="59">
        <f t="shared" si="107"/>
        <v>2.3794373702957207E-2</v>
      </c>
      <c r="J83" s="57">
        <f t="shared" si="72"/>
        <v>2.3312840859955598E-2</v>
      </c>
      <c r="K83" s="99">
        <f t="shared" si="72"/>
        <v>4.5938365215927417E-2</v>
      </c>
      <c r="L83" s="99">
        <f t="shared" si="72"/>
        <v>4.5938365215927417E-2</v>
      </c>
      <c r="M83" s="99">
        <f t="shared" si="72"/>
        <v>3.2156855651149188E-2</v>
      </c>
      <c r="N83" s="59">
        <f t="shared" si="68"/>
        <v>3.4197010420295985E-2</v>
      </c>
      <c r="O83" s="57">
        <f t="shared" si="81"/>
        <v>2.3312840859955598E-2</v>
      </c>
      <c r="P83" s="61">
        <f t="shared" si="69"/>
        <v>4.968138812616707E-3</v>
      </c>
      <c r="Q83" s="59">
        <f t="shared" si="69"/>
        <v>3.9159687171057347E-2</v>
      </c>
      <c r="R83" s="57">
        <f t="shared" si="82"/>
        <v>9.5707218529713662E-3</v>
      </c>
      <c r="S83" s="61">
        <f t="shared" si="70"/>
        <v>4.968138812616707E-3</v>
      </c>
      <c r="U83" s="18">
        <f t="shared" si="76"/>
        <v>73</v>
      </c>
      <c r="V83" s="11">
        <f t="shared" si="77"/>
        <v>5.0516903336255206E-2</v>
      </c>
      <c r="W83" s="11">
        <f t="shared" si="78"/>
        <v>4.7805143462282505E-2</v>
      </c>
      <c r="X83" s="11">
        <f t="shared" si="73"/>
        <v>9.3045579778840232E-2</v>
      </c>
      <c r="Y83" s="11">
        <f t="shared" si="74"/>
        <v>9.3045579778840232E-2</v>
      </c>
      <c r="Z83" s="11">
        <f t="shared" si="75"/>
        <v>7.9264070214061996E-2</v>
      </c>
      <c r="AA83" s="11">
        <f t="shared" si="79"/>
        <v>6.2477990092868294E-2</v>
      </c>
      <c r="AB83" s="11">
        <f t="shared" si="80"/>
        <v>5.3698547836645419E-2</v>
      </c>
      <c r="AE83" s="59">
        <f t="shared" si="83"/>
        <v>3.3055247465011428E-2</v>
      </c>
      <c r="AF83" s="61">
        <f t="shared" si="84"/>
        <v>7.081470254205041E-3</v>
      </c>
      <c r="AG83" s="109">
        <f t="shared" si="103"/>
        <v>0</v>
      </c>
      <c r="AH83" s="59">
        <f t="shared" si="85"/>
        <v>3.1113176108511317E-2</v>
      </c>
      <c r="AI83" s="61">
        <f t="shared" si="86"/>
        <v>6.8689926697405373E-3</v>
      </c>
      <c r="AJ83" s="109">
        <f t="shared" si="86"/>
        <v>0</v>
      </c>
      <c r="AK83" s="59">
        <f t="shared" si="87"/>
        <v>1.890511883248655E-2</v>
      </c>
      <c r="AL83" s="57">
        <f t="shared" si="88"/>
        <v>1.8522531094211297E-2</v>
      </c>
      <c r="AM83" s="99">
        <f t="shared" si="89"/>
        <v>3.6498975103065621E-2</v>
      </c>
      <c r="AN83" s="99">
        <f t="shared" si="90"/>
        <v>3.6498975103065621E-2</v>
      </c>
      <c r="AO83" s="99">
        <f t="shared" si="91"/>
        <v>2.5549282572145934E-2</v>
      </c>
      <c r="AP83" s="59">
        <f t="shared" si="92"/>
        <v>2.7170227457221467E-2</v>
      </c>
      <c r="AQ83" s="57">
        <f t="shared" si="93"/>
        <v>1.8522531094211297E-2</v>
      </c>
      <c r="AR83" s="61">
        <f t="shared" si="94"/>
        <v>3.9472883716680689E-3</v>
      </c>
      <c r="AS83" s="59">
        <f t="shared" si="95"/>
        <v>3.1113176108511317E-2</v>
      </c>
      <c r="AT83" s="57">
        <f t="shared" si="96"/>
        <v>7.6041351708539626E-3</v>
      </c>
      <c r="AU83" s="61">
        <f t="shared" si="97"/>
        <v>3.9472883716680689E-3</v>
      </c>
      <c r="AW83">
        <f t="shared" si="104"/>
        <v>73</v>
      </c>
      <c r="AX83" s="11">
        <f t="shared" si="105"/>
        <v>4.0136717719216466E-2</v>
      </c>
      <c r="AY83" s="11">
        <f t="shared" si="106"/>
        <v>3.7982168778251856E-2</v>
      </c>
      <c r="AZ83" s="11">
        <f t="shared" si="98"/>
        <v>7.3926625029763465E-2</v>
      </c>
      <c r="BA83" s="11">
        <f t="shared" si="99"/>
        <v>7.3926625029763465E-2</v>
      </c>
      <c r="BB83" s="11">
        <f t="shared" si="100"/>
        <v>6.2976932498843785E-2</v>
      </c>
      <c r="BC83" s="11">
        <f t="shared" si="101"/>
        <v>4.9640046923100832E-2</v>
      </c>
      <c r="BD83" s="11">
        <f t="shared" si="102"/>
        <v>4.266459965103335E-2</v>
      </c>
    </row>
    <row r="84" spans="1:56" x14ac:dyDescent="0.25">
      <c r="A84">
        <v>74</v>
      </c>
      <c r="B84">
        <f>MAX(A84-Settings!$Y$3*voltijdfranchise/1000, 0)</f>
        <v>59</v>
      </c>
      <c r="C84" s="59">
        <f t="shared" si="107"/>
        <v>4.1604018361135066E-2</v>
      </c>
      <c r="D84" s="61">
        <f t="shared" si="107"/>
        <v>8.9128849751201385E-3</v>
      </c>
      <c r="E84" s="109">
        <f t="shared" si="107"/>
        <v>0</v>
      </c>
      <c r="F84" s="59">
        <f t="shared" si="107"/>
        <v>3.9159687171057347E-2</v>
      </c>
      <c r="G84" s="61">
        <f t="shared" si="107"/>
        <v>8.6454562912251579E-3</v>
      </c>
      <c r="H84" s="109">
        <f t="shared" si="107"/>
        <v>0</v>
      </c>
      <c r="I84" s="59">
        <f t="shared" si="107"/>
        <v>2.3794373702957207E-2</v>
      </c>
      <c r="J84" s="57">
        <f t="shared" si="72"/>
        <v>2.3231649169010778E-2</v>
      </c>
      <c r="K84" s="99">
        <f t="shared" si="72"/>
        <v>4.5778375552997561E-2</v>
      </c>
      <c r="L84" s="99">
        <f t="shared" si="72"/>
        <v>4.5778375552997561E-2</v>
      </c>
      <c r="M84" s="99">
        <f t="shared" si="72"/>
        <v>3.2044862887098291E-2</v>
      </c>
      <c r="N84" s="59">
        <f t="shared" si="68"/>
        <v>3.4197010420295985E-2</v>
      </c>
      <c r="O84" s="57">
        <f t="shared" si="81"/>
        <v>2.3231649169010778E-2</v>
      </c>
      <c r="P84" s="61">
        <f t="shared" si="69"/>
        <v>4.968138812616707E-3</v>
      </c>
      <c r="Q84" s="59">
        <f t="shared" si="69"/>
        <v>3.9159687171057347E-2</v>
      </c>
      <c r="R84" s="57">
        <f t="shared" si="82"/>
        <v>9.5373898753083608E-3</v>
      </c>
      <c r="S84" s="61">
        <f t="shared" si="70"/>
        <v>4.968138812616707E-3</v>
      </c>
      <c r="U84" s="18">
        <f t="shared" si="76"/>
        <v>74</v>
      </c>
      <c r="V84" s="11">
        <f t="shared" si="77"/>
        <v>5.0516903336255206E-2</v>
      </c>
      <c r="W84" s="11">
        <f t="shared" si="78"/>
        <v>4.7805143462282505E-2</v>
      </c>
      <c r="X84" s="11">
        <f t="shared" si="73"/>
        <v>9.2804398424965545E-2</v>
      </c>
      <c r="Y84" s="11">
        <f t="shared" si="74"/>
        <v>9.2804398424965545E-2</v>
      </c>
      <c r="Z84" s="11">
        <f t="shared" si="75"/>
        <v>7.9070885759066276E-2</v>
      </c>
      <c r="AA84" s="11">
        <f t="shared" si="79"/>
        <v>6.239679840192347E-2</v>
      </c>
      <c r="AB84" s="11">
        <f t="shared" si="80"/>
        <v>5.3665215858982415E-2</v>
      </c>
      <c r="AE84" s="59">
        <f t="shared" si="83"/>
        <v>3.3170771396040119E-2</v>
      </c>
      <c r="AF84" s="61">
        <f t="shared" si="84"/>
        <v>7.1062191017849758E-3</v>
      </c>
      <c r="AG84" s="109">
        <f t="shared" si="103"/>
        <v>0</v>
      </c>
      <c r="AH84" s="59">
        <f t="shared" si="85"/>
        <v>3.1221912744491667E-2</v>
      </c>
      <c r="AI84" s="61">
        <f t="shared" si="86"/>
        <v>6.8929989348957346E-3</v>
      </c>
      <c r="AJ84" s="109">
        <f t="shared" si="86"/>
        <v>0</v>
      </c>
      <c r="AK84" s="59">
        <f t="shared" si="87"/>
        <v>1.8971189844249666E-2</v>
      </c>
      <c r="AL84" s="57">
        <f t="shared" si="88"/>
        <v>1.8522531094211297E-2</v>
      </c>
      <c r="AM84" s="99">
        <f t="shared" si="89"/>
        <v>3.6498975103065621E-2</v>
      </c>
      <c r="AN84" s="99">
        <f t="shared" si="90"/>
        <v>3.6498975103065621E-2</v>
      </c>
      <c r="AO84" s="99">
        <f t="shared" si="91"/>
        <v>2.5549282572145934E-2</v>
      </c>
      <c r="AP84" s="59">
        <f t="shared" si="92"/>
        <v>2.72651839837495E-2</v>
      </c>
      <c r="AQ84" s="57">
        <f t="shared" si="93"/>
        <v>1.8522531094211297E-2</v>
      </c>
      <c r="AR84" s="61">
        <f t="shared" si="94"/>
        <v>3.9610836478971038E-3</v>
      </c>
      <c r="AS84" s="59">
        <f t="shared" si="95"/>
        <v>3.1221912744491667E-2</v>
      </c>
      <c r="AT84" s="57">
        <f t="shared" si="96"/>
        <v>7.6041351708539626E-3</v>
      </c>
      <c r="AU84" s="61">
        <f t="shared" si="97"/>
        <v>3.9610836478971038E-3</v>
      </c>
      <c r="AW84">
        <f t="shared" si="104"/>
        <v>74</v>
      </c>
      <c r="AX84" s="11">
        <f t="shared" si="105"/>
        <v>4.0276990497825092E-2</v>
      </c>
      <c r="AY84" s="11">
        <f t="shared" si="106"/>
        <v>3.8114911679387402E-2</v>
      </c>
      <c r="AZ84" s="11">
        <f t="shared" si="98"/>
        <v>7.3992696041526584E-2</v>
      </c>
      <c r="BA84" s="11">
        <f t="shared" si="99"/>
        <v>7.3992696041526584E-2</v>
      </c>
      <c r="BB84" s="11">
        <f t="shared" si="100"/>
        <v>6.3043003510606904E-2</v>
      </c>
      <c r="BC84" s="11">
        <f t="shared" si="101"/>
        <v>4.9748798725857898E-2</v>
      </c>
      <c r="BD84" s="11">
        <f t="shared" si="102"/>
        <v>4.2787131563242729E-2</v>
      </c>
    </row>
    <row r="85" spans="1:56" x14ac:dyDescent="0.25">
      <c r="A85">
        <v>75</v>
      </c>
      <c r="B85">
        <f>MAX(A85-Settings!$Y$3*voltijdfranchise/1000, 0)</f>
        <v>60</v>
      </c>
      <c r="C85" s="59">
        <f t="shared" si="107"/>
        <v>4.1604018361135066E-2</v>
      </c>
      <c r="D85" s="61">
        <f t="shared" si="107"/>
        <v>8.9128849751201385E-3</v>
      </c>
      <c r="E85" s="109">
        <f t="shared" si="107"/>
        <v>0</v>
      </c>
      <c r="F85" s="59">
        <f t="shared" si="107"/>
        <v>3.9159687171057347E-2</v>
      </c>
      <c r="G85" s="61">
        <f t="shared" si="107"/>
        <v>8.6454562912251579E-3</v>
      </c>
      <c r="H85" s="109">
        <f t="shared" si="107"/>
        <v>0</v>
      </c>
      <c r="I85" s="59">
        <f t="shared" si="107"/>
        <v>2.3794373702957207E-2</v>
      </c>
      <c r="J85" s="57">
        <f t="shared" si="72"/>
        <v>2.3153163867764122E-2</v>
      </c>
      <c r="K85" s="99">
        <f t="shared" si="72"/>
        <v>4.5623718878832022E-2</v>
      </c>
      <c r="L85" s="99">
        <f t="shared" si="72"/>
        <v>4.5623718878832022E-2</v>
      </c>
      <c r="M85" s="99">
        <f t="shared" si="72"/>
        <v>3.1936603215182421E-2</v>
      </c>
      <c r="N85" s="59">
        <f t="shared" si="68"/>
        <v>3.4197010420295985E-2</v>
      </c>
      <c r="O85" s="57">
        <f t="shared" si="81"/>
        <v>2.3153163867764122E-2</v>
      </c>
      <c r="P85" s="61">
        <f t="shared" si="69"/>
        <v>4.968138812616707E-3</v>
      </c>
      <c r="Q85" s="59">
        <f t="shared" si="69"/>
        <v>3.9159687171057347E-2</v>
      </c>
      <c r="R85" s="57">
        <f t="shared" si="82"/>
        <v>9.5051689635674529E-3</v>
      </c>
      <c r="S85" s="61">
        <f t="shared" si="70"/>
        <v>4.968138812616707E-3</v>
      </c>
      <c r="U85" s="18">
        <f t="shared" si="76"/>
        <v>75</v>
      </c>
      <c r="V85" s="11">
        <f t="shared" si="77"/>
        <v>5.0516903336255206E-2</v>
      </c>
      <c r="W85" s="11">
        <f t="shared" si="78"/>
        <v>4.7805143462282505E-2</v>
      </c>
      <c r="X85" s="11">
        <f t="shared" si="73"/>
        <v>9.2571256449553357E-2</v>
      </c>
      <c r="Y85" s="11">
        <f t="shared" si="74"/>
        <v>9.2571256449553357E-2</v>
      </c>
      <c r="Z85" s="11">
        <f t="shared" si="75"/>
        <v>7.888414078590375E-2</v>
      </c>
      <c r="AA85" s="11">
        <f t="shared" si="79"/>
        <v>6.2318313100676814E-2</v>
      </c>
      <c r="AB85" s="11">
        <f t="shared" si="80"/>
        <v>5.3632994947241511E-2</v>
      </c>
      <c r="AE85" s="59">
        <f t="shared" si="83"/>
        <v>3.3283214688908054E-2</v>
      </c>
      <c r="AF85" s="61">
        <f t="shared" si="84"/>
        <v>7.1303079800961108E-3</v>
      </c>
      <c r="AG85" s="109">
        <f t="shared" si="103"/>
        <v>0</v>
      </c>
      <c r="AH85" s="59">
        <f t="shared" si="85"/>
        <v>3.1327749736845878E-2</v>
      </c>
      <c r="AI85" s="61">
        <f t="shared" si="86"/>
        <v>6.9163650329801263E-3</v>
      </c>
      <c r="AJ85" s="109">
        <f t="shared" si="86"/>
        <v>0</v>
      </c>
      <c r="AK85" s="59">
        <f t="shared" si="87"/>
        <v>1.9035498962365765E-2</v>
      </c>
      <c r="AL85" s="57">
        <f t="shared" si="88"/>
        <v>1.8522531094211297E-2</v>
      </c>
      <c r="AM85" s="99">
        <f t="shared" si="89"/>
        <v>3.6498975103065621E-2</v>
      </c>
      <c r="AN85" s="99">
        <f t="shared" si="90"/>
        <v>3.6498975103065621E-2</v>
      </c>
      <c r="AO85" s="99">
        <f t="shared" si="91"/>
        <v>2.5549282572145934E-2</v>
      </c>
      <c r="AP85" s="59">
        <f t="shared" si="92"/>
        <v>2.7357608336236787E-2</v>
      </c>
      <c r="AQ85" s="57">
        <f t="shared" si="93"/>
        <v>1.8522531094211297E-2</v>
      </c>
      <c r="AR85" s="61">
        <f t="shared" si="94"/>
        <v>3.9745110500933652E-3</v>
      </c>
      <c r="AS85" s="59">
        <f t="shared" si="95"/>
        <v>3.1327749736845878E-2</v>
      </c>
      <c r="AT85" s="57">
        <f t="shared" si="96"/>
        <v>7.6041351708539626E-3</v>
      </c>
      <c r="AU85" s="61">
        <f t="shared" si="97"/>
        <v>3.9745110500933652E-3</v>
      </c>
      <c r="AW85">
        <f t="shared" si="104"/>
        <v>75</v>
      </c>
      <c r="AX85" s="11">
        <f t="shared" si="105"/>
        <v>4.0413522669004165E-2</v>
      </c>
      <c r="AY85" s="11">
        <f t="shared" si="106"/>
        <v>3.8244114769826004E-2</v>
      </c>
      <c r="AZ85" s="11">
        <f t="shared" si="98"/>
        <v>7.4057005159642683E-2</v>
      </c>
      <c r="BA85" s="11">
        <f t="shared" si="99"/>
        <v>7.4057005159642683E-2</v>
      </c>
      <c r="BB85" s="11">
        <f t="shared" si="100"/>
        <v>6.3107312628722989E-2</v>
      </c>
      <c r="BC85" s="11">
        <f t="shared" si="101"/>
        <v>4.9854650480541447E-2</v>
      </c>
      <c r="BD85" s="11">
        <f t="shared" si="102"/>
        <v>4.2906395957793206E-2</v>
      </c>
    </row>
    <row r="86" spans="1:56" x14ac:dyDescent="0.25">
      <c r="A86">
        <v>76</v>
      </c>
      <c r="B86">
        <f>MAX(A86-Settings!$Y$3*voltijdfranchise/1000, 0)</f>
        <v>61</v>
      </c>
      <c r="C86" s="59">
        <f>C$6</f>
        <v>4.1604018361135066E-2</v>
      </c>
      <c r="D86" s="61">
        <f>D$6</f>
        <v>8.9128849751201385E-3</v>
      </c>
      <c r="E86" s="109">
        <f>E$6</f>
        <v>0</v>
      </c>
      <c r="F86" s="59">
        <f>F$6</f>
        <v>3.9159687171057347E-2</v>
      </c>
      <c r="G86" s="61">
        <f t="shared" ref="C86:S110" si="108">G$6</f>
        <v>8.6454562912251579E-3</v>
      </c>
      <c r="H86" s="109">
        <f t="shared" si="108"/>
        <v>0</v>
      </c>
      <c r="I86" s="59">
        <f t="shared" si="108"/>
        <v>2.3794373702957207E-2</v>
      </c>
      <c r="J86" s="57">
        <f t="shared" si="72"/>
        <v>2.3077251855082928E-2</v>
      </c>
      <c r="K86" s="99">
        <f t="shared" si="72"/>
        <v>4.5474132915294875E-2</v>
      </c>
      <c r="L86" s="99">
        <f t="shared" si="72"/>
        <v>4.5474132915294875E-2</v>
      </c>
      <c r="M86" s="99">
        <f t="shared" si="72"/>
        <v>3.183189304070641E-2</v>
      </c>
      <c r="N86" s="59">
        <f t="shared" si="108"/>
        <v>3.4197010420295985E-2</v>
      </c>
      <c r="O86" s="57">
        <f t="shared" si="81"/>
        <v>2.3077251855082928E-2</v>
      </c>
      <c r="P86" s="61">
        <f t="shared" si="108"/>
        <v>4.968138812616707E-3</v>
      </c>
      <c r="Q86" s="59">
        <f t="shared" si="108"/>
        <v>3.9159687171057347E-2</v>
      </c>
      <c r="R86" s="57">
        <f t="shared" si="82"/>
        <v>9.4740044751623134E-3</v>
      </c>
      <c r="S86" s="61">
        <f t="shared" si="108"/>
        <v>4.968138812616707E-3</v>
      </c>
      <c r="U86" s="18">
        <f t="shared" si="76"/>
        <v>76</v>
      </c>
      <c r="V86" s="11">
        <f t="shared" si="77"/>
        <v>5.0516903336255206E-2</v>
      </c>
      <c r="W86" s="11">
        <f t="shared" si="78"/>
        <v>4.7805143462282505E-2</v>
      </c>
      <c r="X86" s="11">
        <f t="shared" si="73"/>
        <v>9.234575847333501E-2</v>
      </c>
      <c r="Y86" s="11">
        <f t="shared" si="74"/>
        <v>9.234575847333501E-2</v>
      </c>
      <c r="Z86" s="11">
        <f t="shared" si="75"/>
        <v>7.8703518598746552E-2</v>
      </c>
      <c r="AA86" s="11">
        <f t="shared" si="79"/>
        <v>6.224240108799562E-2</v>
      </c>
      <c r="AB86" s="11">
        <f t="shared" si="80"/>
        <v>5.3601830458836368E-2</v>
      </c>
      <c r="AE86" s="59">
        <f t="shared" si="83"/>
        <v>3.3392698947753145E-2</v>
      </c>
      <c r="AF86" s="61">
        <f t="shared" si="84"/>
        <v>7.1537629405569528E-3</v>
      </c>
      <c r="AG86" s="109">
        <f t="shared" si="103"/>
        <v>0</v>
      </c>
      <c r="AH86" s="59">
        <f t="shared" si="85"/>
        <v>3.1430801545190762E-2</v>
      </c>
      <c r="AI86" s="61">
        <f t="shared" si="86"/>
        <v>6.9391162337465086E-3</v>
      </c>
      <c r="AJ86" s="109">
        <f t="shared" si="86"/>
        <v>0</v>
      </c>
      <c r="AK86" s="59">
        <f t="shared" si="87"/>
        <v>1.9098115735268286E-2</v>
      </c>
      <c r="AL86" s="57">
        <f t="shared" si="88"/>
        <v>1.8522531094211297E-2</v>
      </c>
      <c r="AM86" s="99">
        <f t="shared" si="89"/>
        <v>3.6498975103065621E-2</v>
      </c>
      <c r="AN86" s="99">
        <f t="shared" si="90"/>
        <v>3.6498975103065621E-2</v>
      </c>
      <c r="AO86" s="99">
        <f t="shared" si="91"/>
        <v>2.5549282572145934E-2</v>
      </c>
      <c r="AP86" s="59">
        <f t="shared" si="92"/>
        <v>2.7447600468921779E-2</v>
      </c>
      <c r="AQ86" s="57">
        <f t="shared" si="93"/>
        <v>1.8522531094211297E-2</v>
      </c>
      <c r="AR86" s="61">
        <f t="shared" si="94"/>
        <v>3.9875850996002517E-3</v>
      </c>
      <c r="AS86" s="59">
        <f t="shared" si="95"/>
        <v>3.1430801545190762E-2</v>
      </c>
      <c r="AT86" s="57">
        <f t="shared" si="96"/>
        <v>7.6041351708539626E-3</v>
      </c>
      <c r="AU86" s="61">
        <f t="shared" si="97"/>
        <v>3.9875850996002517E-3</v>
      </c>
      <c r="AW86">
        <f t="shared" si="104"/>
        <v>76</v>
      </c>
      <c r="AX86" s="11">
        <f t="shared" si="105"/>
        <v>4.0546461888310098E-2</v>
      </c>
      <c r="AY86" s="11">
        <f t="shared" si="106"/>
        <v>3.8369917778937272E-2</v>
      </c>
      <c r="AZ86" s="11">
        <f t="shared" si="98"/>
        <v>7.4119621932545204E-2</v>
      </c>
      <c r="BA86" s="11">
        <f t="shared" si="99"/>
        <v>7.4119621932545204E-2</v>
      </c>
      <c r="BB86" s="11">
        <f t="shared" si="100"/>
        <v>6.3169929401625524E-2</v>
      </c>
      <c r="BC86" s="11">
        <f t="shared" si="101"/>
        <v>4.9957716662733333E-2</v>
      </c>
      <c r="BD86" s="11">
        <f t="shared" si="102"/>
        <v>4.3022521815644976E-2</v>
      </c>
    </row>
    <row r="87" spans="1:56" x14ac:dyDescent="0.25">
      <c r="A87">
        <v>77</v>
      </c>
      <c r="B87">
        <f>MAX(A87-Settings!$Y$3*voltijdfranchise/1000, 0)</f>
        <v>62</v>
      </c>
      <c r="C87" s="59">
        <f t="shared" si="108"/>
        <v>4.1604018361135066E-2</v>
      </c>
      <c r="D87" s="61">
        <f t="shared" si="108"/>
        <v>8.9128849751201385E-3</v>
      </c>
      <c r="E87" s="109">
        <f t="shared" si="108"/>
        <v>0</v>
      </c>
      <c r="F87" s="59">
        <f t="shared" si="108"/>
        <v>3.9159687171057347E-2</v>
      </c>
      <c r="G87" s="61">
        <f t="shared" si="108"/>
        <v>8.6454562912251579E-3</v>
      </c>
      <c r="H87" s="109">
        <f t="shared" si="108"/>
        <v>0</v>
      </c>
      <c r="I87" s="59">
        <f t="shared" si="108"/>
        <v>2.3794373702957207E-2</v>
      </c>
      <c r="J87" s="57">
        <f t="shared" si="72"/>
        <v>2.3003788617004351E-2</v>
      </c>
      <c r="K87" s="99">
        <f t="shared" si="72"/>
        <v>4.532937230542021E-2</v>
      </c>
      <c r="L87" s="99">
        <f t="shared" si="72"/>
        <v>4.532937230542021E-2</v>
      </c>
      <c r="M87" s="99">
        <f t="shared" si="72"/>
        <v>3.1730560613794145E-2</v>
      </c>
      <c r="N87" s="59">
        <f t="shared" si="108"/>
        <v>3.4197010420295985E-2</v>
      </c>
      <c r="O87" s="57">
        <f t="shared" si="81"/>
        <v>2.3003788617004351E-2</v>
      </c>
      <c r="P87" s="61">
        <f t="shared" si="108"/>
        <v>4.968138812616707E-3</v>
      </c>
      <c r="Q87" s="59">
        <f t="shared" si="108"/>
        <v>3.9159687171057347E-2</v>
      </c>
      <c r="R87" s="57">
        <f t="shared" si="82"/>
        <v>9.443845292834761E-3</v>
      </c>
      <c r="S87" s="61">
        <f t="shared" si="108"/>
        <v>4.968138812616707E-3</v>
      </c>
      <c r="U87" s="18">
        <f t="shared" si="76"/>
        <v>77</v>
      </c>
      <c r="V87" s="11">
        <f t="shared" si="77"/>
        <v>5.0516903336255206E-2</v>
      </c>
      <c r="W87" s="11">
        <f t="shared" si="78"/>
        <v>4.7805143462282505E-2</v>
      </c>
      <c r="X87" s="11">
        <f t="shared" si="73"/>
        <v>9.2127534625381771E-2</v>
      </c>
      <c r="Y87" s="11">
        <f t="shared" si="74"/>
        <v>9.2127534625381771E-2</v>
      </c>
      <c r="Z87" s="11">
        <f t="shared" si="75"/>
        <v>7.8528722933755707E-2</v>
      </c>
      <c r="AA87" s="11">
        <f t="shared" si="79"/>
        <v>6.2168937849917047E-2</v>
      </c>
      <c r="AB87" s="11">
        <f t="shared" si="80"/>
        <v>5.3571671276508817E-2</v>
      </c>
      <c r="AE87" s="59">
        <f t="shared" si="83"/>
        <v>3.3499339459615252E-2</v>
      </c>
      <c r="AF87" s="61">
        <f t="shared" si="84"/>
        <v>7.1766086812655658E-3</v>
      </c>
      <c r="AG87" s="109">
        <f t="shared" si="103"/>
        <v>0</v>
      </c>
      <c r="AH87" s="59">
        <f t="shared" si="85"/>
        <v>3.1531176683189034E-2</v>
      </c>
      <c r="AI87" s="61">
        <f t="shared" si="86"/>
        <v>6.9612764942332444E-3</v>
      </c>
      <c r="AJ87" s="109">
        <f t="shared" si="86"/>
        <v>0</v>
      </c>
      <c r="AK87" s="59">
        <f t="shared" si="87"/>
        <v>1.9159106098485024E-2</v>
      </c>
      <c r="AL87" s="57">
        <f t="shared" si="88"/>
        <v>1.8522531094211297E-2</v>
      </c>
      <c r="AM87" s="99">
        <f t="shared" si="89"/>
        <v>3.6498975103065621E-2</v>
      </c>
      <c r="AN87" s="99">
        <f t="shared" si="90"/>
        <v>3.6498975103065621E-2</v>
      </c>
      <c r="AO87" s="99">
        <f t="shared" si="91"/>
        <v>2.5549282572145934E-2</v>
      </c>
      <c r="AP87" s="59">
        <f t="shared" si="92"/>
        <v>2.7535255143614948E-2</v>
      </c>
      <c r="AQ87" s="57">
        <f t="shared" si="93"/>
        <v>1.8522531094211297E-2</v>
      </c>
      <c r="AR87" s="61">
        <f t="shared" si="94"/>
        <v>4.0003195634056602E-3</v>
      </c>
      <c r="AS87" s="59">
        <f t="shared" si="95"/>
        <v>3.1531176683189034E-2</v>
      </c>
      <c r="AT87" s="57">
        <f t="shared" si="96"/>
        <v>7.6041351708539626E-3</v>
      </c>
      <c r="AU87" s="61">
        <f t="shared" si="97"/>
        <v>4.0003195634056602E-3</v>
      </c>
      <c r="AW87">
        <f t="shared" si="104"/>
        <v>77</v>
      </c>
      <c r="AX87" s="11">
        <f t="shared" si="105"/>
        <v>4.0675948140880817E-2</v>
      </c>
      <c r="AY87" s="11">
        <f t="shared" si="106"/>
        <v>3.8492453177422281E-2</v>
      </c>
      <c r="AZ87" s="11">
        <f t="shared" si="98"/>
        <v>7.418061229576195E-2</v>
      </c>
      <c r="BA87" s="11">
        <f t="shared" si="99"/>
        <v>7.418061229576195E-2</v>
      </c>
      <c r="BB87" s="11">
        <f t="shared" si="100"/>
        <v>6.3230919764842256E-2</v>
      </c>
      <c r="BC87" s="11">
        <f t="shared" si="101"/>
        <v>5.0058105801231906E-2</v>
      </c>
      <c r="BD87" s="11">
        <f t="shared" si="102"/>
        <v>4.3135631417448653E-2</v>
      </c>
    </row>
    <row r="88" spans="1:56" x14ac:dyDescent="0.25">
      <c r="A88">
        <v>78</v>
      </c>
      <c r="B88">
        <f>MAX(A88-Settings!$Y$3*voltijdfranchise/1000, 0)</f>
        <v>63</v>
      </c>
      <c r="C88" s="59">
        <f t="shared" si="108"/>
        <v>4.1604018361135066E-2</v>
      </c>
      <c r="D88" s="61">
        <f t="shared" si="108"/>
        <v>8.9128849751201385E-3</v>
      </c>
      <c r="E88" s="109">
        <f t="shared" si="108"/>
        <v>0</v>
      </c>
      <c r="F88" s="59">
        <f t="shared" si="108"/>
        <v>3.9159687171057347E-2</v>
      </c>
      <c r="G88" s="61">
        <f t="shared" si="108"/>
        <v>8.6454562912251579E-3</v>
      </c>
      <c r="H88" s="109">
        <f t="shared" si="108"/>
        <v>0</v>
      </c>
      <c r="I88" s="59">
        <f t="shared" si="108"/>
        <v>2.3794373702957207E-2</v>
      </c>
      <c r="J88" s="57">
        <f t="shared" si="72"/>
        <v>2.2932657545213987E-2</v>
      </c>
      <c r="K88" s="99">
        <f t="shared" si="72"/>
        <v>4.5189207270462196E-2</v>
      </c>
      <c r="L88" s="99">
        <f t="shared" si="72"/>
        <v>4.5189207270462196E-2</v>
      </c>
      <c r="M88" s="99">
        <f t="shared" si="72"/>
        <v>3.1632445089323544E-2</v>
      </c>
      <c r="N88" s="59">
        <f t="shared" si="108"/>
        <v>3.4197010420295985E-2</v>
      </c>
      <c r="O88" s="57">
        <f t="shared" si="81"/>
        <v>2.2932657545213987E-2</v>
      </c>
      <c r="P88" s="61">
        <f t="shared" si="108"/>
        <v>4.968138812616707E-3</v>
      </c>
      <c r="Q88" s="59">
        <f t="shared" si="108"/>
        <v>3.9159687171057347E-2</v>
      </c>
      <c r="R88" s="57">
        <f t="shared" si="82"/>
        <v>9.41464354486681E-3</v>
      </c>
      <c r="S88" s="61">
        <f t="shared" si="108"/>
        <v>4.968138812616707E-3</v>
      </c>
      <c r="U88" s="18">
        <f t="shared" si="76"/>
        <v>78</v>
      </c>
      <c r="V88" s="11">
        <f t="shared" si="77"/>
        <v>5.0516903336255206E-2</v>
      </c>
      <c r="W88" s="11">
        <f t="shared" si="78"/>
        <v>4.7805143462282505E-2</v>
      </c>
      <c r="X88" s="11">
        <f t="shared" si="73"/>
        <v>9.1916238518633397E-2</v>
      </c>
      <c r="Y88" s="11">
        <f t="shared" si="74"/>
        <v>9.1916238518633397E-2</v>
      </c>
      <c r="Z88" s="11">
        <f t="shared" si="75"/>
        <v>7.8359476337494738E-2</v>
      </c>
      <c r="AA88" s="11">
        <f t="shared" si="79"/>
        <v>6.209780677812668E-2</v>
      </c>
      <c r="AB88" s="11">
        <f t="shared" si="80"/>
        <v>5.3542469528540866E-2</v>
      </c>
      <c r="AE88" s="59">
        <f t="shared" si="83"/>
        <v>3.3603245599378322E-2</v>
      </c>
      <c r="AF88" s="61">
        <f t="shared" si="84"/>
        <v>7.1988686337508814E-3</v>
      </c>
      <c r="AG88" s="109">
        <f t="shared" si="103"/>
        <v>0</v>
      </c>
      <c r="AH88" s="59">
        <f t="shared" si="85"/>
        <v>3.162897809970016E-2</v>
      </c>
      <c r="AI88" s="61">
        <f t="shared" si="86"/>
        <v>6.9828685429126278E-3</v>
      </c>
      <c r="AJ88" s="109">
        <f t="shared" si="86"/>
        <v>0</v>
      </c>
      <c r="AK88" s="59">
        <f t="shared" si="87"/>
        <v>1.9218532606234667E-2</v>
      </c>
      <c r="AL88" s="57">
        <f t="shared" si="88"/>
        <v>1.8522531094211297E-2</v>
      </c>
      <c r="AM88" s="99">
        <f t="shared" si="89"/>
        <v>3.6498975103065621E-2</v>
      </c>
      <c r="AN88" s="99">
        <f t="shared" si="90"/>
        <v>3.6498975103065621E-2</v>
      </c>
      <c r="AO88" s="99">
        <f t="shared" si="91"/>
        <v>2.5549282572145934E-2</v>
      </c>
      <c r="AP88" s="59">
        <f t="shared" si="92"/>
        <v>2.7620662262546756E-2</v>
      </c>
      <c r="AQ88" s="57">
        <f t="shared" si="93"/>
        <v>1.8522531094211297E-2</v>
      </c>
      <c r="AR88" s="61">
        <f t="shared" si="94"/>
        <v>4.0127275024981097E-3</v>
      </c>
      <c r="AS88" s="59">
        <f t="shared" si="95"/>
        <v>3.162897809970016E-2</v>
      </c>
      <c r="AT88" s="57">
        <f t="shared" si="96"/>
        <v>7.6041351708539626E-3</v>
      </c>
      <c r="AU88" s="61">
        <f t="shared" si="97"/>
        <v>4.0127275024981097E-3</v>
      </c>
      <c r="AW88">
        <f t="shared" si="104"/>
        <v>78</v>
      </c>
      <c r="AX88" s="11">
        <f t="shared" si="105"/>
        <v>4.0802114233129204E-2</v>
      </c>
      <c r="AY88" s="11">
        <f t="shared" si="106"/>
        <v>3.8611846642612788E-2</v>
      </c>
      <c r="AZ88" s="11">
        <f t="shared" si="98"/>
        <v>7.4240038803511585E-2</v>
      </c>
      <c r="BA88" s="11">
        <f t="shared" si="99"/>
        <v>7.4240038803511585E-2</v>
      </c>
      <c r="BB88" s="11">
        <f t="shared" si="100"/>
        <v>6.3290346272591891E-2</v>
      </c>
      <c r="BC88" s="11">
        <f t="shared" si="101"/>
        <v>5.0155920859256159E-2</v>
      </c>
      <c r="BD88" s="11">
        <f t="shared" si="102"/>
        <v>4.3245840773052227E-2</v>
      </c>
    </row>
    <row r="89" spans="1:56" x14ac:dyDescent="0.25">
      <c r="A89">
        <v>79</v>
      </c>
      <c r="B89">
        <f>MAX(A89-Settings!$Y$3*voltijdfranchise/1000, 0)</f>
        <v>64</v>
      </c>
      <c r="C89" s="59">
        <f t="shared" si="108"/>
        <v>4.1604018361135066E-2</v>
      </c>
      <c r="D89" s="61">
        <f t="shared" si="108"/>
        <v>8.9128849751201385E-3</v>
      </c>
      <c r="E89" s="109">
        <f t="shared" si="108"/>
        <v>0</v>
      </c>
      <c r="F89" s="59">
        <f t="shared" si="108"/>
        <v>3.9159687171057347E-2</v>
      </c>
      <c r="G89" s="61">
        <f t="shared" si="108"/>
        <v>8.6454562912251579E-3</v>
      </c>
      <c r="H89" s="109">
        <f t="shared" si="108"/>
        <v>0</v>
      </c>
      <c r="I89" s="59">
        <f t="shared" si="108"/>
        <v>2.3794373702957207E-2</v>
      </c>
      <c r="J89" s="57">
        <f t="shared" si="72"/>
        <v>2.2863749319417068E-2</v>
      </c>
      <c r="K89" s="99">
        <f t="shared" si="72"/>
        <v>4.5053422392846626E-2</v>
      </c>
      <c r="L89" s="99">
        <f t="shared" si="72"/>
        <v>4.5053422392846626E-2</v>
      </c>
      <c r="M89" s="99">
        <f t="shared" si="72"/>
        <v>3.1537395674992641E-2</v>
      </c>
      <c r="N89" s="59">
        <f t="shared" si="108"/>
        <v>3.4197010420295985E-2</v>
      </c>
      <c r="O89" s="57">
        <f t="shared" si="81"/>
        <v>2.2863749319417068E-2</v>
      </c>
      <c r="P89" s="61">
        <f t="shared" si="108"/>
        <v>4.968138812616707E-3</v>
      </c>
      <c r="Q89" s="59">
        <f t="shared" si="108"/>
        <v>3.9159687171057347E-2</v>
      </c>
      <c r="R89" s="57">
        <f t="shared" si="82"/>
        <v>9.3863543515228607E-3</v>
      </c>
      <c r="S89" s="61">
        <f t="shared" si="108"/>
        <v>4.968138812616707E-3</v>
      </c>
      <c r="U89" s="18">
        <f t="shared" si="76"/>
        <v>79</v>
      </c>
      <c r="V89" s="11">
        <f t="shared" si="77"/>
        <v>5.0516903336255206E-2</v>
      </c>
      <c r="W89" s="11">
        <f t="shared" si="78"/>
        <v>4.7805143462282505E-2</v>
      </c>
      <c r="X89" s="11">
        <f t="shared" si="73"/>
        <v>9.1711545415220905E-2</v>
      </c>
      <c r="Y89" s="11">
        <f t="shared" si="74"/>
        <v>9.1711545415220905E-2</v>
      </c>
      <c r="Z89" s="11">
        <f t="shared" si="75"/>
        <v>7.819551869736692E-2</v>
      </c>
      <c r="AA89" s="11">
        <f t="shared" si="79"/>
        <v>6.2028898552329764E-2</v>
      </c>
      <c r="AB89" s="11">
        <f t="shared" si="80"/>
        <v>5.3514180335196913E-2</v>
      </c>
      <c r="AE89" s="59">
        <f t="shared" si="83"/>
        <v>3.3704521203957519E-2</v>
      </c>
      <c r="AF89" s="61">
        <f t="shared" si="84"/>
        <v>7.2205650431353017E-3</v>
      </c>
      <c r="AG89" s="109">
        <f t="shared" si="103"/>
        <v>0</v>
      </c>
      <c r="AH89" s="59">
        <f t="shared" si="85"/>
        <v>3.1724303530983169E-2</v>
      </c>
      <c r="AI89" s="61">
        <f t="shared" si="86"/>
        <v>7.0039139574482288E-3</v>
      </c>
      <c r="AJ89" s="109">
        <f t="shared" si="86"/>
        <v>0</v>
      </c>
      <c r="AK89" s="59">
        <f t="shared" si="87"/>
        <v>1.9276454645433688E-2</v>
      </c>
      <c r="AL89" s="57">
        <f t="shared" si="88"/>
        <v>1.8522531094211297E-2</v>
      </c>
      <c r="AM89" s="99">
        <f t="shared" si="89"/>
        <v>3.6498975103065621E-2</v>
      </c>
      <c r="AN89" s="99">
        <f t="shared" si="90"/>
        <v>3.6498975103065621E-2</v>
      </c>
      <c r="AO89" s="99">
        <f t="shared" si="91"/>
        <v>2.5549282572145934E-2</v>
      </c>
      <c r="AP89" s="59">
        <f t="shared" si="92"/>
        <v>2.7703907175935988E-2</v>
      </c>
      <c r="AQ89" s="57">
        <f t="shared" si="93"/>
        <v>1.8522531094211297E-2</v>
      </c>
      <c r="AR89" s="61">
        <f t="shared" si="94"/>
        <v>4.024821316550244E-3</v>
      </c>
      <c r="AS89" s="59">
        <f t="shared" si="95"/>
        <v>3.1724303530983169E-2</v>
      </c>
      <c r="AT89" s="57">
        <f t="shared" si="96"/>
        <v>7.6041351708539626E-3</v>
      </c>
      <c r="AU89" s="61">
        <f t="shared" si="97"/>
        <v>4.024821316550244E-3</v>
      </c>
      <c r="AW89">
        <f t="shared" si="104"/>
        <v>79</v>
      </c>
      <c r="AX89" s="11">
        <f t="shared" si="105"/>
        <v>4.0925086247092818E-2</v>
      </c>
      <c r="AY89" s="11">
        <f t="shared" si="106"/>
        <v>3.8728217488431402E-2</v>
      </c>
      <c r="AZ89" s="11">
        <f t="shared" si="98"/>
        <v>7.4297960842710606E-2</v>
      </c>
      <c r="BA89" s="11">
        <f t="shared" si="99"/>
        <v>7.4297960842710606E-2</v>
      </c>
      <c r="BB89" s="11">
        <f t="shared" si="100"/>
        <v>6.3348268311790912E-2</v>
      </c>
      <c r="BC89" s="11">
        <f t="shared" si="101"/>
        <v>5.025125958669753E-2</v>
      </c>
      <c r="BD89" s="11">
        <f t="shared" si="102"/>
        <v>4.3353260018387373E-2</v>
      </c>
    </row>
    <row r="90" spans="1:56" x14ac:dyDescent="0.25">
      <c r="A90">
        <v>80</v>
      </c>
      <c r="B90">
        <f>MAX(A90-Settings!$Y$3*voltijdfranchise/1000, 0)</f>
        <v>65</v>
      </c>
      <c r="C90" s="59">
        <f t="shared" si="108"/>
        <v>4.1604018361135066E-2</v>
      </c>
      <c r="D90" s="61">
        <f t="shared" si="108"/>
        <v>8.9128849751201385E-3</v>
      </c>
      <c r="E90" s="109">
        <f t="shared" si="108"/>
        <v>0</v>
      </c>
      <c r="F90" s="59">
        <f t="shared" si="108"/>
        <v>3.9159687171057347E-2</v>
      </c>
      <c r="G90" s="61">
        <f t="shared" si="108"/>
        <v>8.6454562912251579E-3</v>
      </c>
      <c r="H90" s="109">
        <f t="shared" si="108"/>
        <v>0</v>
      </c>
      <c r="I90" s="59">
        <f t="shared" si="108"/>
        <v>2.3794373702957207E-2</v>
      </c>
      <c r="J90" s="57">
        <f t="shared" ref="J90:M110" si="109">IFERROR(J$6*$K$3*($A90/$K$2)/$B90, NA())</f>
        <v>2.2796961346721597E-2</v>
      </c>
      <c r="K90" s="99">
        <f t="shared" si="109"/>
        <v>4.4921815511465381E-2</v>
      </c>
      <c r="L90" s="99">
        <f t="shared" si="109"/>
        <v>4.4921815511465381E-2</v>
      </c>
      <c r="M90" s="99">
        <f t="shared" si="109"/>
        <v>3.1445270858025766E-2</v>
      </c>
      <c r="N90" s="59">
        <f t="shared" si="108"/>
        <v>3.4197010420295985E-2</v>
      </c>
      <c r="O90" s="57">
        <f t="shared" si="81"/>
        <v>2.2796961346721597E-2</v>
      </c>
      <c r="P90" s="61">
        <f t="shared" si="108"/>
        <v>4.968138812616707E-3</v>
      </c>
      <c r="Q90" s="59">
        <f t="shared" si="108"/>
        <v>3.9159687171057347E-2</v>
      </c>
      <c r="R90" s="57">
        <f t="shared" si="82"/>
        <v>9.3589355948971859E-3</v>
      </c>
      <c r="S90" s="61">
        <f t="shared" si="108"/>
        <v>4.968138812616707E-3</v>
      </c>
      <c r="U90" s="18">
        <f t="shared" si="76"/>
        <v>80</v>
      </c>
      <c r="V90" s="11">
        <f t="shared" si="77"/>
        <v>5.0516903336255206E-2</v>
      </c>
      <c r="W90" s="11">
        <f t="shared" si="78"/>
        <v>4.7805143462282505E-2</v>
      </c>
      <c r="X90" s="11">
        <f t="shared" si="73"/>
        <v>9.1513150561144174E-2</v>
      </c>
      <c r="Y90" s="11">
        <f t="shared" si="74"/>
        <v>9.1513150561144174E-2</v>
      </c>
      <c r="Z90" s="11">
        <f t="shared" si="75"/>
        <v>7.8036605907704559E-2</v>
      </c>
      <c r="AA90" s="11">
        <f t="shared" si="79"/>
        <v>6.1962110579634286E-2</v>
      </c>
      <c r="AB90" s="11">
        <f t="shared" si="80"/>
        <v>5.348676157857124E-2</v>
      </c>
      <c r="AE90" s="59">
        <f t="shared" si="83"/>
        <v>3.3803264918422241E-2</v>
      </c>
      <c r="AF90" s="61">
        <f t="shared" si="84"/>
        <v>7.2417190422851118E-3</v>
      </c>
      <c r="AG90" s="109">
        <f t="shared" si="103"/>
        <v>0</v>
      </c>
      <c r="AH90" s="59">
        <f t="shared" si="85"/>
        <v>3.1817245826484097E-2</v>
      </c>
      <c r="AI90" s="61">
        <f t="shared" si="86"/>
        <v>7.0244332366204403E-3</v>
      </c>
      <c r="AJ90" s="109">
        <f t="shared" si="86"/>
        <v>0</v>
      </c>
      <c r="AK90" s="59">
        <f t="shared" si="87"/>
        <v>1.933292863365273E-2</v>
      </c>
      <c r="AL90" s="57">
        <f t="shared" si="88"/>
        <v>1.8522531094211297E-2</v>
      </c>
      <c r="AM90" s="99">
        <f t="shared" si="89"/>
        <v>3.6498975103065621E-2</v>
      </c>
      <c r="AN90" s="99">
        <f t="shared" si="90"/>
        <v>3.6498975103065621E-2</v>
      </c>
      <c r="AO90" s="99">
        <f t="shared" si="91"/>
        <v>2.5549282572145934E-2</v>
      </c>
      <c r="AP90" s="59">
        <f t="shared" si="92"/>
        <v>2.7785070966490487E-2</v>
      </c>
      <c r="AQ90" s="57">
        <f t="shared" si="93"/>
        <v>1.8522531094211297E-2</v>
      </c>
      <c r="AR90" s="61">
        <f t="shared" si="94"/>
        <v>4.0366127852510744E-3</v>
      </c>
      <c r="AS90" s="59">
        <f t="shared" si="95"/>
        <v>3.1817245826484097E-2</v>
      </c>
      <c r="AT90" s="57">
        <f t="shared" si="96"/>
        <v>7.6041351708539626E-3</v>
      </c>
      <c r="AU90" s="61">
        <f t="shared" si="97"/>
        <v>4.0366127852510744E-3</v>
      </c>
      <c r="AW90">
        <f t="shared" si="104"/>
        <v>80</v>
      </c>
      <c r="AX90" s="11">
        <f t="shared" si="105"/>
        <v>4.1044983960707354E-2</v>
      </c>
      <c r="AY90" s="11">
        <f t="shared" si="106"/>
        <v>3.8841679063104539E-2</v>
      </c>
      <c r="AZ90" s="11">
        <f t="shared" si="98"/>
        <v>7.4354434830929655E-2</v>
      </c>
      <c r="BA90" s="11">
        <f t="shared" si="99"/>
        <v>7.4354434830929655E-2</v>
      </c>
      <c r="BB90" s="11">
        <f t="shared" si="100"/>
        <v>6.3404742300009961E-2</v>
      </c>
      <c r="BC90" s="11">
        <f t="shared" si="101"/>
        <v>5.0344214845952855E-2</v>
      </c>
      <c r="BD90" s="11">
        <f t="shared" si="102"/>
        <v>4.3457993782589133E-2</v>
      </c>
    </row>
    <row r="91" spans="1:56" x14ac:dyDescent="0.25">
      <c r="A91">
        <v>81</v>
      </c>
      <c r="B91">
        <f>MAX(A91-Settings!$Y$3*voltijdfranchise/1000, 0)</f>
        <v>66</v>
      </c>
      <c r="C91" s="59">
        <f t="shared" si="108"/>
        <v>4.1604018361135066E-2</v>
      </c>
      <c r="D91" s="61">
        <f t="shared" si="108"/>
        <v>8.9128849751201385E-3</v>
      </c>
      <c r="E91" s="109">
        <f t="shared" si="108"/>
        <v>0</v>
      </c>
      <c r="F91" s="59">
        <f t="shared" si="108"/>
        <v>3.9159687171057347E-2</v>
      </c>
      <c r="G91" s="61">
        <f t="shared" si="108"/>
        <v>8.6454562912251579E-3</v>
      </c>
      <c r="H91" s="109">
        <f t="shared" si="108"/>
        <v>0</v>
      </c>
      <c r="I91" s="59">
        <f t="shared" si="108"/>
        <v>2.3794373702957207E-2</v>
      </c>
      <c r="J91" s="57">
        <f t="shared" si="109"/>
        <v>2.273219725198659E-2</v>
      </c>
      <c r="K91" s="99">
        <f t="shared" si="109"/>
        <v>4.4794196717398718E-2</v>
      </c>
      <c r="L91" s="99">
        <f t="shared" si="109"/>
        <v>4.4794196717398718E-2</v>
      </c>
      <c r="M91" s="99">
        <f t="shared" si="109"/>
        <v>3.1355937702179107E-2</v>
      </c>
      <c r="N91" s="59">
        <f t="shared" si="108"/>
        <v>3.4197010420295985E-2</v>
      </c>
      <c r="O91" s="57">
        <f t="shared" si="81"/>
        <v>2.273219725198659E-2</v>
      </c>
      <c r="P91" s="61">
        <f t="shared" si="108"/>
        <v>4.968138812616707E-3</v>
      </c>
      <c r="Q91" s="59">
        <f t="shared" si="108"/>
        <v>3.9159687171057347E-2</v>
      </c>
      <c r="R91" s="57">
        <f t="shared" si="82"/>
        <v>9.3323477096844097E-3</v>
      </c>
      <c r="S91" s="61">
        <f t="shared" si="108"/>
        <v>4.968138812616707E-3</v>
      </c>
      <c r="U91" s="18">
        <f t="shared" si="76"/>
        <v>81</v>
      </c>
      <c r="V91" s="11">
        <f t="shared" si="77"/>
        <v>5.0516903336255206E-2</v>
      </c>
      <c r="W91" s="11">
        <f t="shared" si="78"/>
        <v>4.7805143462282505E-2</v>
      </c>
      <c r="X91" s="11">
        <f t="shared" si="73"/>
        <v>9.1320767672342512E-2</v>
      </c>
      <c r="Y91" s="11">
        <f t="shared" si="74"/>
        <v>9.1320767672342512E-2</v>
      </c>
      <c r="Z91" s="11">
        <f t="shared" si="75"/>
        <v>7.7882508657122901E-2</v>
      </c>
      <c r="AA91" s="11">
        <f t="shared" si="79"/>
        <v>6.1897346484899279E-2</v>
      </c>
      <c r="AB91" s="11">
        <f t="shared" si="80"/>
        <v>5.3460173693358468E-2</v>
      </c>
      <c r="AE91" s="59">
        <f t="shared" si="83"/>
        <v>3.3899570516480425E-2</v>
      </c>
      <c r="AF91" s="61">
        <f t="shared" si="84"/>
        <v>7.2623507204682613E-3</v>
      </c>
      <c r="AG91" s="109">
        <f t="shared" si="103"/>
        <v>0</v>
      </c>
      <c r="AH91" s="59">
        <f t="shared" si="85"/>
        <v>3.1907893250491169E-2</v>
      </c>
      <c r="AI91" s="61">
        <f t="shared" si="86"/>
        <v>7.0444458669242024E-3</v>
      </c>
      <c r="AJ91" s="109">
        <f t="shared" si="86"/>
        <v>0</v>
      </c>
      <c r="AK91" s="59">
        <f t="shared" si="87"/>
        <v>1.9388008202409577E-2</v>
      </c>
      <c r="AL91" s="57">
        <f t="shared" si="88"/>
        <v>1.8522531094211297E-2</v>
      </c>
      <c r="AM91" s="99">
        <f t="shared" si="89"/>
        <v>3.6498975103065621E-2</v>
      </c>
      <c r="AN91" s="99">
        <f t="shared" si="90"/>
        <v>3.6498975103065621E-2</v>
      </c>
      <c r="AO91" s="99">
        <f t="shared" si="91"/>
        <v>2.5549282572145934E-2</v>
      </c>
      <c r="AP91" s="59">
        <f t="shared" si="92"/>
        <v>2.7864230712833764E-2</v>
      </c>
      <c r="AQ91" s="57">
        <f t="shared" si="93"/>
        <v>1.8522531094211297E-2</v>
      </c>
      <c r="AR91" s="61">
        <f t="shared" si="94"/>
        <v>4.0481131065765764E-3</v>
      </c>
      <c r="AS91" s="59">
        <f t="shared" si="95"/>
        <v>3.1907893250491169E-2</v>
      </c>
      <c r="AT91" s="57">
        <f t="shared" si="96"/>
        <v>7.6041351708539626E-3</v>
      </c>
      <c r="AU91" s="61">
        <f t="shared" si="97"/>
        <v>4.0481131065765764E-3</v>
      </c>
      <c r="AW91">
        <f t="shared" si="104"/>
        <v>81</v>
      </c>
      <c r="AX91" s="11">
        <f t="shared" si="105"/>
        <v>4.1161921236948687E-2</v>
      </c>
      <c r="AY91" s="11">
        <f t="shared" si="106"/>
        <v>3.8952339117415372E-2</v>
      </c>
      <c r="AZ91" s="11">
        <f t="shared" si="98"/>
        <v>7.4409514399686488E-2</v>
      </c>
      <c r="BA91" s="11">
        <f t="shared" si="99"/>
        <v>7.4409514399686488E-2</v>
      </c>
      <c r="BB91" s="11">
        <f t="shared" si="100"/>
        <v>6.3459821868766808E-2</v>
      </c>
      <c r="BC91" s="11">
        <f t="shared" si="101"/>
        <v>5.0434874913621641E-2</v>
      </c>
      <c r="BD91" s="11">
        <f t="shared" si="102"/>
        <v>4.3560141527921703E-2</v>
      </c>
    </row>
    <row r="92" spans="1:56" x14ac:dyDescent="0.25">
      <c r="A92">
        <v>82</v>
      </c>
      <c r="B92">
        <f>MAX(A92-Settings!$Y$3*voltijdfranchise/1000, 0)</f>
        <v>67</v>
      </c>
      <c r="C92" s="59">
        <f t="shared" si="108"/>
        <v>4.1604018361135066E-2</v>
      </c>
      <c r="D92" s="61">
        <f t="shared" si="108"/>
        <v>8.9128849751201385E-3</v>
      </c>
      <c r="E92" s="109">
        <f t="shared" si="108"/>
        <v>0</v>
      </c>
      <c r="F92" s="59">
        <f t="shared" si="108"/>
        <v>3.9159687171057347E-2</v>
      </c>
      <c r="G92" s="61">
        <f t="shared" si="108"/>
        <v>8.6454562912251579E-3</v>
      </c>
      <c r="H92" s="109">
        <f t="shared" si="108"/>
        <v>0</v>
      </c>
      <c r="I92" s="59">
        <f t="shared" si="108"/>
        <v>2.3794373702957207E-2</v>
      </c>
      <c r="J92" s="57">
        <f t="shared" si="109"/>
        <v>2.266936641381084E-2</v>
      </c>
      <c r="K92" s="99">
        <f t="shared" si="109"/>
        <v>4.4670387439572849E-2</v>
      </c>
      <c r="L92" s="99">
        <f t="shared" si="109"/>
        <v>4.4670387439572849E-2</v>
      </c>
      <c r="M92" s="99">
        <f t="shared" si="109"/>
        <v>3.126927120770099E-2</v>
      </c>
      <c r="N92" s="59">
        <f t="shared" si="108"/>
        <v>3.4197010420295985E-2</v>
      </c>
      <c r="O92" s="57">
        <f t="shared" si="81"/>
        <v>2.266936641381084E-2</v>
      </c>
      <c r="P92" s="61">
        <f t="shared" si="108"/>
        <v>4.968138812616707E-3</v>
      </c>
      <c r="Q92" s="59">
        <f t="shared" si="108"/>
        <v>3.9159687171057347E-2</v>
      </c>
      <c r="R92" s="57">
        <f t="shared" si="82"/>
        <v>9.3065534926869385E-3</v>
      </c>
      <c r="S92" s="61">
        <f t="shared" si="108"/>
        <v>4.968138812616707E-3</v>
      </c>
      <c r="U92" s="18">
        <f t="shared" si="76"/>
        <v>82</v>
      </c>
      <c r="V92" s="11">
        <f t="shared" si="77"/>
        <v>5.0516903336255206E-2</v>
      </c>
      <c r="W92" s="11">
        <f t="shared" si="78"/>
        <v>4.7805143462282505E-2</v>
      </c>
      <c r="X92" s="11">
        <f t="shared" si="73"/>
        <v>9.1134127556340899E-2</v>
      </c>
      <c r="Y92" s="11">
        <f t="shared" si="74"/>
        <v>9.1134127556340899E-2</v>
      </c>
      <c r="Z92" s="11">
        <f t="shared" si="75"/>
        <v>7.7733011324469026E-2</v>
      </c>
      <c r="AA92" s="11">
        <f t="shared" si="79"/>
        <v>6.1834515646723529E-2</v>
      </c>
      <c r="AB92" s="11">
        <f t="shared" si="80"/>
        <v>5.3434379476360996E-2</v>
      </c>
      <c r="AE92" s="59">
        <f t="shared" si="83"/>
        <v>3.39935271975128E-2</v>
      </c>
      <c r="AF92" s="61">
        <f t="shared" si="84"/>
        <v>7.2824791869884062E-3</v>
      </c>
      <c r="AG92" s="109">
        <f t="shared" si="103"/>
        <v>0</v>
      </c>
      <c r="AH92" s="59">
        <f t="shared" si="85"/>
        <v>3.1996329761717589E-2</v>
      </c>
      <c r="AI92" s="61">
        <f t="shared" si="86"/>
        <v>7.0639703842937263E-3</v>
      </c>
      <c r="AJ92" s="109">
        <f t="shared" si="86"/>
        <v>0</v>
      </c>
      <c r="AK92" s="59">
        <f t="shared" si="87"/>
        <v>1.9441744367050401E-2</v>
      </c>
      <c r="AL92" s="57">
        <f t="shared" si="88"/>
        <v>1.8522531094211297E-2</v>
      </c>
      <c r="AM92" s="99">
        <f t="shared" si="89"/>
        <v>3.6498975103065621E-2</v>
      </c>
      <c r="AN92" s="99">
        <f t="shared" si="90"/>
        <v>3.6498975103065621E-2</v>
      </c>
      <c r="AO92" s="99">
        <f t="shared" si="91"/>
        <v>2.5549282572145934E-2</v>
      </c>
      <c r="AP92" s="59">
        <f t="shared" si="92"/>
        <v>2.7941459733656478E-2</v>
      </c>
      <c r="AQ92" s="57">
        <f t="shared" si="93"/>
        <v>1.8522531094211297E-2</v>
      </c>
      <c r="AR92" s="61">
        <f t="shared" si="94"/>
        <v>4.059332932259992E-3</v>
      </c>
      <c r="AS92" s="59">
        <f t="shared" si="95"/>
        <v>3.1996329761717589E-2</v>
      </c>
      <c r="AT92" s="57">
        <f t="shared" si="96"/>
        <v>7.6041351708539626E-3</v>
      </c>
      <c r="AU92" s="61">
        <f t="shared" si="97"/>
        <v>4.059332932259992E-3</v>
      </c>
      <c r="AW92">
        <f t="shared" si="104"/>
        <v>82</v>
      </c>
      <c r="AX92" s="11">
        <f t="shared" si="105"/>
        <v>4.1276006384501206E-2</v>
      </c>
      <c r="AY92" s="11">
        <f t="shared" si="106"/>
        <v>3.9060300146011313E-2</v>
      </c>
      <c r="AZ92" s="11">
        <f t="shared" si="98"/>
        <v>7.4463250564327316E-2</v>
      </c>
      <c r="BA92" s="11">
        <f t="shared" si="99"/>
        <v>7.4463250564327316E-2</v>
      </c>
      <c r="BB92" s="11">
        <f t="shared" si="100"/>
        <v>6.3513558033407636E-2</v>
      </c>
      <c r="BC92" s="11">
        <f t="shared" si="101"/>
        <v>5.0523323760127761E-2</v>
      </c>
      <c r="BD92" s="11">
        <f t="shared" si="102"/>
        <v>4.365979786483154E-2</v>
      </c>
    </row>
    <row r="93" spans="1:56" x14ac:dyDescent="0.25">
      <c r="A93">
        <v>83</v>
      </c>
      <c r="B93">
        <f>MAX(A93-Settings!$Y$3*voltijdfranchise/1000, 0)</f>
        <v>68</v>
      </c>
      <c r="C93" s="59">
        <f t="shared" si="108"/>
        <v>4.1604018361135066E-2</v>
      </c>
      <c r="D93" s="61">
        <f t="shared" si="108"/>
        <v>8.9128849751201385E-3</v>
      </c>
      <c r="E93" s="109">
        <f t="shared" si="108"/>
        <v>0</v>
      </c>
      <c r="F93" s="59">
        <f t="shared" si="108"/>
        <v>3.9159687171057347E-2</v>
      </c>
      <c r="G93" s="61">
        <f t="shared" si="108"/>
        <v>8.6454562912251579E-3</v>
      </c>
      <c r="H93" s="109">
        <f t="shared" si="108"/>
        <v>0</v>
      </c>
      <c r="I93" s="59">
        <f t="shared" si="108"/>
        <v>2.3794373702957207E-2</v>
      </c>
      <c r="J93" s="57">
        <f t="shared" si="109"/>
        <v>2.260838354146379E-2</v>
      </c>
      <c r="K93" s="99">
        <f t="shared" si="109"/>
        <v>4.4550219611094795E-2</v>
      </c>
      <c r="L93" s="99">
        <f t="shared" si="109"/>
        <v>4.4550219611094795E-2</v>
      </c>
      <c r="M93" s="99">
        <f t="shared" si="109"/>
        <v>3.1185153727766358E-2</v>
      </c>
      <c r="N93" s="59">
        <f t="shared" si="108"/>
        <v>3.4197010420295985E-2</v>
      </c>
      <c r="O93" s="57">
        <f t="shared" si="81"/>
        <v>2.260838354146379E-2</v>
      </c>
      <c r="P93" s="61">
        <f t="shared" si="108"/>
        <v>4.968138812616707E-3</v>
      </c>
      <c r="Q93" s="59">
        <f t="shared" si="108"/>
        <v>3.9159687171057347E-2</v>
      </c>
      <c r="R93" s="57">
        <f t="shared" si="82"/>
        <v>9.2815179291305724E-3</v>
      </c>
      <c r="S93" s="61">
        <f t="shared" si="108"/>
        <v>4.968138812616707E-3</v>
      </c>
      <c r="U93" s="18">
        <f t="shared" si="76"/>
        <v>83</v>
      </c>
      <c r="V93" s="11">
        <f t="shared" si="77"/>
        <v>5.0516903336255206E-2</v>
      </c>
      <c r="W93" s="11">
        <f t="shared" si="78"/>
        <v>4.7805143462282505E-2</v>
      </c>
      <c r="X93" s="11">
        <f t="shared" si="73"/>
        <v>9.0952976855515788E-2</v>
      </c>
      <c r="Y93" s="11">
        <f t="shared" si="74"/>
        <v>9.0952976855515788E-2</v>
      </c>
      <c r="Z93" s="11">
        <f t="shared" si="75"/>
        <v>7.7587910972187354E-2</v>
      </c>
      <c r="AA93" s="11">
        <f t="shared" si="79"/>
        <v>6.1773532774376486E-2</v>
      </c>
      <c r="AB93" s="11">
        <f t="shared" si="80"/>
        <v>5.3409343912804629E-2</v>
      </c>
      <c r="AE93" s="59">
        <f t="shared" si="83"/>
        <v>3.4085219862134752E-2</v>
      </c>
      <c r="AF93" s="61">
        <f t="shared" si="84"/>
        <v>7.3021226302189086E-3</v>
      </c>
      <c r="AG93" s="109">
        <f t="shared" si="103"/>
        <v>0</v>
      </c>
      <c r="AH93" s="59">
        <f t="shared" si="85"/>
        <v>3.2082635272673486E-2</v>
      </c>
      <c r="AI93" s="61">
        <f t="shared" si="86"/>
        <v>7.0830244313651895E-3</v>
      </c>
      <c r="AJ93" s="109">
        <f t="shared" si="86"/>
        <v>0</v>
      </c>
      <c r="AK93" s="59">
        <f t="shared" si="87"/>
        <v>1.9494185684350483E-2</v>
      </c>
      <c r="AL93" s="57">
        <f t="shared" si="88"/>
        <v>1.8522531094211297E-2</v>
      </c>
      <c r="AM93" s="99">
        <f t="shared" si="89"/>
        <v>3.6498975103065621E-2</v>
      </c>
      <c r="AN93" s="99">
        <f t="shared" si="90"/>
        <v>3.6498975103065621E-2</v>
      </c>
      <c r="AO93" s="99">
        <f t="shared" si="91"/>
        <v>2.5549282572145934E-2</v>
      </c>
      <c r="AP93" s="59">
        <f t="shared" si="92"/>
        <v>2.8016827814218399E-2</v>
      </c>
      <c r="AQ93" s="57">
        <f t="shared" si="93"/>
        <v>1.8522531094211297E-2</v>
      </c>
      <c r="AR93" s="61">
        <f t="shared" si="94"/>
        <v>4.0702824006980248E-3</v>
      </c>
      <c r="AS93" s="59">
        <f t="shared" si="95"/>
        <v>3.2082635272673486E-2</v>
      </c>
      <c r="AT93" s="57">
        <f t="shared" si="96"/>
        <v>7.6041351708539626E-3</v>
      </c>
      <c r="AU93" s="61">
        <f t="shared" si="97"/>
        <v>4.0702824006980248E-3</v>
      </c>
      <c r="AW93">
        <f t="shared" si="104"/>
        <v>83</v>
      </c>
      <c r="AX93" s="11">
        <f t="shared" si="105"/>
        <v>4.1387342492353658E-2</v>
      </c>
      <c r="AY93" s="11">
        <f t="shared" si="106"/>
        <v>3.9165659704038673E-2</v>
      </c>
      <c r="AZ93" s="11">
        <f t="shared" si="98"/>
        <v>7.4515691881627405E-2</v>
      </c>
      <c r="BA93" s="11">
        <f t="shared" si="99"/>
        <v>7.4515691881627405E-2</v>
      </c>
      <c r="BB93" s="11">
        <f t="shared" si="100"/>
        <v>6.3565999350707711E-2</v>
      </c>
      <c r="BC93" s="11">
        <f t="shared" si="101"/>
        <v>5.060964130912772E-2</v>
      </c>
      <c r="BD93" s="11">
        <f t="shared" si="102"/>
        <v>4.3757052844225472E-2</v>
      </c>
    </row>
    <row r="94" spans="1:56" x14ac:dyDescent="0.25">
      <c r="A94">
        <v>84</v>
      </c>
      <c r="B94">
        <f>MAX(A94-Settings!$Y$3*voltijdfranchise/1000, 0)</f>
        <v>69</v>
      </c>
      <c r="C94" s="59">
        <f t="shared" si="108"/>
        <v>4.1604018361135066E-2</v>
      </c>
      <c r="D94" s="61">
        <f t="shared" si="108"/>
        <v>8.9128849751201385E-3</v>
      </c>
      <c r="E94" s="109">
        <f t="shared" si="108"/>
        <v>0</v>
      </c>
      <c r="F94" s="59">
        <f t="shared" si="108"/>
        <v>3.9159687171057347E-2</v>
      </c>
      <c r="G94" s="61">
        <f t="shared" si="108"/>
        <v>8.6454562912251579E-3</v>
      </c>
      <c r="H94" s="109">
        <f t="shared" si="108"/>
        <v>0</v>
      </c>
      <c r="I94" s="59">
        <f t="shared" si="108"/>
        <v>2.3794373702957207E-2</v>
      </c>
      <c r="J94" s="57">
        <f t="shared" si="109"/>
        <v>2.2549168288605054E-2</v>
      </c>
      <c r="K94" s="99">
        <f t="shared" si="109"/>
        <v>4.4433534908079886E-2</v>
      </c>
      <c r="L94" s="99">
        <f t="shared" si="109"/>
        <v>4.4433534908079886E-2</v>
      </c>
      <c r="M94" s="99">
        <f t="shared" si="109"/>
        <v>3.1103474435655917E-2</v>
      </c>
      <c r="N94" s="59">
        <f t="shared" si="108"/>
        <v>3.4197010420295985E-2</v>
      </c>
      <c r="O94" s="57">
        <f t="shared" si="81"/>
        <v>2.2549168288605054E-2</v>
      </c>
      <c r="P94" s="61">
        <f t="shared" si="108"/>
        <v>4.968138812616707E-3</v>
      </c>
      <c r="Q94" s="59">
        <f t="shared" si="108"/>
        <v>3.9159687171057347E-2</v>
      </c>
      <c r="R94" s="57">
        <f t="shared" si="82"/>
        <v>9.2572080340830865E-3</v>
      </c>
      <c r="S94" s="61">
        <f t="shared" si="108"/>
        <v>4.968138812616707E-3</v>
      </c>
      <c r="U94" s="18">
        <f t="shared" si="76"/>
        <v>84</v>
      </c>
      <c r="V94" s="11">
        <f t="shared" si="77"/>
        <v>5.0516903336255206E-2</v>
      </c>
      <c r="W94" s="11">
        <f t="shared" si="78"/>
        <v>4.7805143462282505E-2</v>
      </c>
      <c r="X94" s="11">
        <f t="shared" si="73"/>
        <v>9.0777076899642151E-2</v>
      </c>
      <c r="Y94" s="11">
        <f t="shared" si="74"/>
        <v>9.0777076899642151E-2</v>
      </c>
      <c r="Z94" s="11">
        <f t="shared" si="75"/>
        <v>7.7447016427218185E-2</v>
      </c>
      <c r="AA94" s="11">
        <f t="shared" si="79"/>
        <v>6.171431752151775E-2</v>
      </c>
      <c r="AB94" s="11">
        <f t="shared" si="80"/>
        <v>5.3385034017757141E-2</v>
      </c>
      <c r="AE94" s="59">
        <f t="shared" si="83"/>
        <v>3.4174729368075231E-2</v>
      </c>
      <c r="AF94" s="61">
        <f t="shared" si="84"/>
        <v>7.3212983724201134E-3</v>
      </c>
      <c r="AG94" s="109">
        <f t="shared" si="103"/>
        <v>0</v>
      </c>
      <c r="AH94" s="59">
        <f t="shared" si="85"/>
        <v>3.2166885890511393E-2</v>
      </c>
      <c r="AI94" s="61">
        <f t="shared" si="86"/>
        <v>7.1016248106492361E-3</v>
      </c>
      <c r="AJ94" s="109">
        <f t="shared" si="86"/>
        <v>0</v>
      </c>
      <c r="AK94" s="59">
        <f t="shared" si="87"/>
        <v>1.9545378398857706E-2</v>
      </c>
      <c r="AL94" s="57">
        <f t="shared" si="88"/>
        <v>1.8522531094211297E-2</v>
      </c>
      <c r="AM94" s="99">
        <f t="shared" si="89"/>
        <v>3.6498975103065621E-2</v>
      </c>
      <c r="AN94" s="99">
        <f t="shared" si="90"/>
        <v>3.6498975103065621E-2</v>
      </c>
      <c r="AO94" s="99">
        <f t="shared" si="91"/>
        <v>2.5549282572145934E-2</v>
      </c>
      <c r="AP94" s="59">
        <f t="shared" si="92"/>
        <v>2.8090401416671702E-2</v>
      </c>
      <c r="AQ94" s="57">
        <f t="shared" si="93"/>
        <v>1.8522531094211297E-2</v>
      </c>
      <c r="AR94" s="61">
        <f t="shared" si="94"/>
        <v>4.0809711675065807E-3</v>
      </c>
      <c r="AS94" s="59">
        <f t="shared" si="95"/>
        <v>3.2166885890511393E-2</v>
      </c>
      <c r="AT94" s="57">
        <f t="shared" si="96"/>
        <v>7.6041351708539626E-3</v>
      </c>
      <c r="AU94" s="61">
        <f t="shared" si="97"/>
        <v>4.0809711675065807E-3</v>
      </c>
      <c r="AW94">
        <f t="shared" si="104"/>
        <v>84</v>
      </c>
      <c r="AX94" s="11">
        <f t="shared" si="105"/>
        <v>4.1496027740495343E-2</v>
      </c>
      <c r="AY94" s="11">
        <f t="shared" si="106"/>
        <v>3.9268510701160629E-2</v>
      </c>
      <c r="AZ94" s="11">
        <f t="shared" si="98"/>
        <v>7.4566884596134614E-2</v>
      </c>
      <c r="BA94" s="11">
        <f t="shared" si="99"/>
        <v>7.4566884596134614E-2</v>
      </c>
      <c r="BB94" s="11">
        <f t="shared" si="100"/>
        <v>6.3617192065214934E-2</v>
      </c>
      <c r="BC94" s="11">
        <f t="shared" si="101"/>
        <v>5.0693903678389579E-2</v>
      </c>
      <c r="BD94" s="11">
        <f t="shared" si="102"/>
        <v>4.3851992228871935E-2</v>
      </c>
    </row>
    <row r="95" spans="1:56" x14ac:dyDescent="0.25">
      <c r="A95">
        <v>85</v>
      </c>
      <c r="B95">
        <f>MAX(A95-Settings!$Y$3*voltijdfranchise/1000, 0)</f>
        <v>70</v>
      </c>
      <c r="C95" s="59">
        <f t="shared" si="108"/>
        <v>4.1604018361135066E-2</v>
      </c>
      <c r="D95" s="61">
        <f t="shared" si="108"/>
        <v>8.9128849751201385E-3</v>
      </c>
      <c r="E95" s="109">
        <f t="shared" si="108"/>
        <v>0</v>
      </c>
      <c r="F95" s="59">
        <f t="shared" si="108"/>
        <v>3.9159687171057347E-2</v>
      </c>
      <c r="G95" s="61">
        <f t="shared" si="108"/>
        <v>8.6454562912251579E-3</v>
      </c>
      <c r="H95" s="109">
        <f t="shared" ref="H95:H110" si="110">H$6</f>
        <v>0</v>
      </c>
      <c r="I95" s="59">
        <f t="shared" si="108"/>
        <v>2.3794373702957207E-2</v>
      </c>
      <c r="J95" s="57">
        <f t="shared" si="109"/>
        <v>2.2491644900113718E-2</v>
      </c>
      <c r="K95" s="99">
        <f t="shared" si="109"/>
        <v>4.4320184053722539E-2</v>
      </c>
      <c r="L95" s="99">
        <f t="shared" si="109"/>
        <v>4.4320184053722539E-2</v>
      </c>
      <c r="M95" s="99">
        <f t="shared" si="109"/>
        <v>3.1024128837605774E-2</v>
      </c>
      <c r="N95" s="59">
        <f t="shared" si="108"/>
        <v>3.4197010420295985E-2</v>
      </c>
      <c r="O95" s="57">
        <f t="shared" si="81"/>
        <v>2.2491644900113718E-2</v>
      </c>
      <c r="P95" s="61">
        <f t="shared" si="108"/>
        <v>4.968138812616707E-3</v>
      </c>
      <c r="Q95" s="59">
        <f t="shared" si="108"/>
        <v>3.9159687171057347E-2</v>
      </c>
      <c r="R95" s="57">
        <f t="shared" si="82"/>
        <v>9.2335927074655259E-3</v>
      </c>
      <c r="S95" s="61">
        <f t="shared" si="108"/>
        <v>4.968138812616707E-3</v>
      </c>
      <c r="U95" s="18">
        <f t="shared" si="76"/>
        <v>85</v>
      </c>
      <c r="V95" s="11">
        <f t="shared" si="77"/>
        <v>5.0516903336255206E-2</v>
      </c>
      <c r="W95" s="11">
        <f t="shared" si="78"/>
        <v>4.7805143462282505E-2</v>
      </c>
      <c r="X95" s="11">
        <f t="shared" si="73"/>
        <v>9.0606202656793464E-2</v>
      </c>
      <c r="Y95" s="11">
        <f t="shared" si="74"/>
        <v>9.0606202656793464E-2</v>
      </c>
      <c r="Z95" s="11">
        <f t="shared" si="75"/>
        <v>7.7310147440676699E-2</v>
      </c>
      <c r="AA95" s="11">
        <f t="shared" si="79"/>
        <v>6.165679413302641E-2</v>
      </c>
      <c r="AB95" s="11">
        <f t="shared" si="80"/>
        <v>5.3361418691139584E-2</v>
      </c>
      <c r="AE95" s="59">
        <f t="shared" si="83"/>
        <v>3.4262132767993579E-2</v>
      </c>
      <c r="AF95" s="61">
        <f t="shared" si="84"/>
        <v>7.3400229206871731E-3</v>
      </c>
      <c r="AG95" s="109">
        <f t="shared" si="103"/>
        <v>0</v>
      </c>
      <c r="AH95" s="59">
        <f t="shared" si="85"/>
        <v>3.2249154140870755E-2</v>
      </c>
      <c r="AI95" s="61">
        <f t="shared" si="86"/>
        <v>7.1197875339501296E-3</v>
      </c>
      <c r="AJ95" s="109">
        <f t="shared" si="86"/>
        <v>0</v>
      </c>
      <c r="AK95" s="59">
        <f t="shared" si="87"/>
        <v>1.9595366578905933E-2</v>
      </c>
      <c r="AL95" s="57">
        <f t="shared" si="88"/>
        <v>1.8522531094211297E-2</v>
      </c>
      <c r="AM95" s="99">
        <f t="shared" si="89"/>
        <v>3.6498975103065621E-2</v>
      </c>
      <c r="AN95" s="99">
        <f t="shared" si="90"/>
        <v>3.6498975103065621E-2</v>
      </c>
      <c r="AO95" s="99">
        <f t="shared" si="91"/>
        <v>2.5549282572145934E-2</v>
      </c>
      <c r="AP95" s="59">
        <f t="shared" si="92"/>
        <v>2.8162243875537871E-2</v>
      </c>
      <c r="AQ95" s="57">
        <f t="shared" si="93"/>
        <v>1.8522531094211297E-2</v>
      </c>
      <c r="AR95" s="61">
        <f t="shared" si="94"/>
        <v>4.091408433919641E-3</v>
      </c>
      <c r="AS95" s="59">
        <f t="shared" si="95"/>
        <v>3.2249154140870755E-2</v>
      </c>
      <c r="AT95" s="57">
        <f t="shared" si="96"/>
        <v>7.6041351708539626E-3</v>
      </c>
      <c r="AU95" s="61">
        <f t="shared" si="97"/>
        <v>4.091408433919641E-3</v>
      </c>
      <c r="AW95">
        <f t="shared" si="104"/>
        <v>85</v>
      </c>
      <c r="AX95" s="11">
        <f t="shared" si="105"/>
        <v>4.1602155688680753E-2</v>
      </c>
      <c r="AY95" s="11">
        <f t="shared" si="106"/>
        <v>3.9368941674820884E-2</v>
      </c>
      <c r="AZ95" s="11">
        <f t="shared" si="98"/>
        <v>7.4616872776182841E-2</v>
      </c>
      <c r="BA95" s="11">
        <f t="shared" si="99"/>
        <v>7.4616872776182841E-2</v>
      </c>
      <c r="BB95" s="11">
        <f t="shared" si="100"/>
        <v>6.3667180245263161E-2</v>
      </c>
      <c r="BC95" s="11">
        <f t="shared" si="101"/>
        <v>5.0776183403668809E-2</v>
      </c>
      <c r="BD95" s="11">
        <f t="shared" si="102"/>
        <v>4.3944697745644357E-2</v>
      </c>
    </row>
    <row r="96" spans="1:56" x14ac:dyDescent="0.25">
      <c r="A96">
        <v>86</v>
      </c>
      <c r="B96">
        <f>MAX(A96-Settings!$Y$3*voltijdfranchise/1000, 0)</f>
        <v>71</v>
      </c>
      <c r="C96" s="59">
        <f t="shared" si="108"/>
        <v>4.1604018361135066E-2</v>
      </c>
      <c r="D96" s="61">
        <f t="shared" si="108"/>
        <v>8.9128849751201385E-3</v>
      </c>
      <c r="E96" s="109">
        <f t="shared" si="108"/>
        <v>0</v>
      </c>
      <c r="F96" s="59">
        <f t="shared" si="108"/>
        <v>3.9159687171057347E-2</v>
      </c>
      <c r="G96" s="61">
        <f t="shared" si="108"/>
        <v>8.6454562912251579E-3</v>
      </c>
      <c r="H96" s="109">
        <f t="shared" si="110"/>
        <v>0</v>
      </c>
      <c r="I96" s="59">
        <f t="shared" si="108"/>
        <v>2.3794373702957207E-2</v>
      </c>
      <c r="J96" s="57">
        <f t="shared" si="109"/>
        <v>2.2435741888762979E-2</v>
      </c>
      <c r="K96" s="99">
        <f t="shared" si="109"/>
        <v>4.4210026181178079E-2</v>
      </c>
      <c r="L96" s="99">
        <f t="shared" si="109"/>
        <v>4.4210026181178079E-2</v>
      </c>
      <c r="M96" s="99">
        <f t="shared" si="109"/>
        <v>3.094701832682465E-2</v>
      </c>
      <c r="N96" s="59">
        <f t="shared" si="108"/>
        <v>3.4197010420295985E-2</v>
      </c>
      <c r="O96" s="57">
        <f t="shared" si="81"/>
        <v>2.2435741888762979E-2</v>
      </c>
      <c r="P96" s="61">
        <f t="shared" si="108"/>
        <v>4.968138812616707E-3</v>
      </c>
      <c r="Q96" s="59">
        <f t="shared" si="108"/>
        <v>3.9159687171057347E-2</v>
      </c>
      <c r="R96" s="57">
        <f t="shared" si="82"/>
        <v>9.2106426013160679E-3</v>
      </c>
      <c r="S96" s="61">
        <f t="shared" si="108"/>
        <v>4.968138812616707E-3</v>
      </c>
      <c r="U96" s="18">
        <f t="shared" si="76"/>
        <v>86</v>
      </c>
      <c r="V96" s="11">
        <f t="shared" si="77"/>
        <v>5.0516903336255206E-2</v>
      </c>
      <c r="W96" s="11">
        <f t="shared" si="78"/>
        <v>4.7805143462282505E-2</v>
      </c>
      <c r="X96" s="11">
        <f t="shared" si="73"/>
        <v>9.0440141772898275E-2</v>
      </c>
      <c r="Y96" s="11">
        <f t="shared" si="74"/>
        <v>9.0440141772898275E-2</v>
      </c>
      <c r="Z96" s="11">
        <f t="shared" si="75"/>
        <v>7.7177133918544832E-2</v>
      </c>
      <c r="AA96" s="11">
        <f t="shared" si="79"/>
        <v>6.1600891121675674E-2</v>
      </c>
      <c r="AB96" s="11">
        <f t="shared" si="80"/>
        <v>5.3338468584990126E-2</v>
      </c>
      <c r="AE96" s="59">
        <f t="shared" si="83"/>
        <v>3.434750353070453E-2</v>
      </c>
      <c r="AF96" s="61">
        <f t="shared" si="84"/>
        <v>7.3583120143433699E-3</v>
      </c>
      <c r="AG96" s="109">
        <f t="shared" si="103"/>
        <v>0</v>
      </c>
      <c r="AH96" s="59">
        <f t="shared" si="85"/>
        <v>3.2329509176105484E-2</v>
      </c>
      <c r="AI96" s="61">
        <f t="shared" si="86"/>
        <v>7.1375278683370484E-3</v>
      </c>
      <c r="AJ96" s="109">
        <f t="shared" si="86"/>
        <v>0</v>
      </c>
      <c r="AK96" s="59">
        <f t="shared" si="87"/>
        <v>1.964419224313909E-2</v>
      </c>
      <c r="AL96" s="57">
        <f t="shared" si="88"/>
        <v>1.8522531094211297E-2</v>
      </c>
      <c r="AM96" s="99">
        <f t="shared" si="89"/>
        <v>3.6498975103065621E-2</v>
      </c>
      <c r="AN96" s="99">
        <f t="shared" si="90"/>
        <v>3.6498975103065621E-2</v>
      </c>
      <c r="AO96" s="99">
        <f t="shared" si="91"/>
        <v>2.5549282572145934E-2</v>
      </c>
      <c r="AP96" s="59">
        <f t="shared" si="92"/>
        <v>2.8232415579546685E-2</v>
      </c>
      <c r="AQ96" s="57">
        <f t="shared" si="93"/>
        <v>1.8522531094211297E-2</v>
      </c>
      <c r="AR96" s="61">
        <f t="shared" si="94"/>
        <v>4.1016029732068165E-3</v>
      </c>
      <c r="AS96" s="59">
        <f t="shared" si="95"/>
        <v>3.2329509176105484E-2</v>
      </c>
      <c r="AT96" s="57">
        <f t="shared" si="96"/>
        <v>7.6041351708539626E-3</v>
      </c>
      <c r="AU96" s="61">
        <f t="shared" si="97"/>
        <v>4.1016029732068165E-3</v>
      </c>
      <c r="AW96">
        <f t="shared" si="104"/>
        <v>86</v>
      </c>
      <c r="AX96" s="11">
        <f t="shared" si="105"/>
        <v>4.1705815545047903E-2</v>
      </c>
      <c r="AY96" s="11">
        <f t="shared" si="106"/>
        <v>3.9467037044442529E-2</v>
      </c>
      <c r="AZ96" s="11">
        <f t="shared" si="98"/>
        <v>7.4665698440416012E-2</v>
      </c>
      <c r="BA96" s="11">
        <f t="shared" si="99"/>
        <v>7.4665698440416012E-2</v>
      </c>
      <c r="BB96" s="11">
        <f t="shared" si="100"/>
        <v>6.3716005909496318E-2</v>
      </c>
      <c r="BC96" s="11">
        <f t="shared" si="101"/>
        <v>5.0856549646964802E-2</v>
      </c>
      <c r="BD96" s="11">
        <f t="shared" si="102"/>
        <v>4.4035247320166261E-2</v>
      </c>
    </row>
    <row r="97" spans="1:56" x14ac:dyDescent="0.25">
      <c r="A97">
        <v>87</v>
      </c>
      <c r="B97">
        <f>MAX(A97-Settings!$Y$3*voltijdfranchise/1000, 0)</f>
        <v>72</v>
      </c>
      <c r="C97" s="59">
        <f t="shared" si="108"/>
        <v>4.1604018361135066E-2</v>
      </c>
      <c r="D97" s="61">
        <f t="shared" si="108"/>
        <v>8.9128849751201385E-3</v>
      </c>
      <c r="E97" s="109">
        <f t="shared" si="108"/>
        <v>0</v>
      </c>
      <c r="F97" s="59">
        <f t="shared" si="108"/>
        <v>3.9159687171057347E-2</v>
      </c>
      <c r="G97" s="61">
        <f t="shared" si="108"/>
        <v>8.6454562912251579E-3</v>
      </c>
      <c r="H97" s="109">
        <f t="shared" si="110"/>
        <v>0</v>
      </c>
      <c r="I97" s="59">
        <f t="shared" si="108"/>
        <v>2.3794373702957207E-2</v>
      </c>
      <c r="J97" s="57">
        <f t="shared" si="109"/>
        <v>2.238139173883865E-2</v>
      </c>
      <c r="K97" s="99">
        <f t="shared" si="109"/>
        <v>4.4102928249537626E-2</v>
      </c>
      <c r="L97" s="99">
        <f t="shared" si="109"/>
        <v>4.4102928249537626E-2</v>
      </c>
      <c r="M97" s="99">
        <f t="shared" si="109"/>
        <v>3.0872049774676336E-2</v>
      </c>
      <c r="N97" s="59">
        <f t="shared" si="108"/>
        <v>3.4197010420295985E-2</v>
      </c>
      <c r="O97" s="57">
        <f t="shared" si="81"/>
        <v>2.238139173883865E-2</v>
      </c>
      <c r="P97" s="61">
        <f t="shared" si="108"/>
        <v>4.968138812616707E-3</v>
      </c>
      <c r="Q97" s="59">
        <f t="shared" si="108"/>
        <v>3.9159687171057347E-2</v>
      </c>
      <c r="R97" s="57">
        <f t="shared" si="82"/>
        <v>9.1883299981152036E-3</v>
      </c>
      <c r="S97" s="61">
        <f t="shared" si="108"/>
        <v>4.968138812616707E-3</v>
      </c>
      <c r="U97" s="18">
        <f t="shared" si="76"/>
        <v>87</v>
      </c>
      <c r="V97" s="11">
        <f t="shared" si="77"/>
        <v>5.0516903336255206E-2</v>
      </c>
      <c r="W97" s="11">
        <f t="shared" si="78"/>
        <v>4.7805143462282505E-2</v>
      </c>
      <c r="X97" s="11">
        <f t="shared" si="73"/>
        <v>9.0278693691333484E-2</v>
      </c>
      <c r="Y97" s="11">
        <f t="shared" si="74"/>
        <v>9.0278693691333484E-2</v>
      </c>
      <c r="Z97" s="11">
        <f t="shared" si="75"/>
        <v>7.7047815216472193E-2</v>
      </c>
      <c r="AA97" s="11">
        <f t="shared" si="79"/>
        <v>6.1546540971751343E-2</v>
      </c>
      <c r="AB97" s="11">
        <f t="shared" si="80"/>
        <v>5.3316155981789258E-2</v>
      </c>
      <c r="AE97" s="59">
        <f t="shared" si="83"/>
        <v>3.4430911747146263E-2</v>
      </c>
      <c r="AF97" s="61">
        <f t="shared" si="84"/>
        <v>7.3761806690649419E-3</v>
      </c>
      <c r="AG97" s="109">
        <f t="shared" si="103"/>
        <v>0</v>
      </c>
      <c r="AH97" s="59">
        <f t="shared" si="85"/>
        <v>3.240801696915091E-2</v>
      </c>
      <c r="AI97" s="61">
        <f t="shared" si="86"/>
        <v>7.1548603789449577E-3</v>
      </c>
      <c r="AJ97" s="109">
        <f t="shared" si="86"/>
        <v>0</v>
      </c>
      <c r="AK97" s="59">
        <f t="shared" si="87"/>
        <v>1.969189547830941E-2</v>
      </c>
      <c r="AL97" s="57">
        <f t="shared" si="88"/>
        <v>1.8522531094211297E-2</v>
      </c>
      <c r="AM97" s="99">
        <f t="shared" si="89"/>
        <v>3.6498975103065621E-2</v>
      </c>
      <c r="AN97" s="99">
        <f t="shared" si="90"/>
        <v>3.6498975103065621E-2</v>
      </c>
      <c r="AO97" s="99">
        <f t="shared" si="91"/>
        <v>2.5549282572145934E-2</v>
      </c>
      <c r="AP97" s="59">
        <f t="shared" si="92"/>
        <v>2.8300974140934611E-2</v>
      </c>
      <c r="AQ97" s="57">
        <f t="shared" si="93"/>
        <v>1.8522531094211297E-2</v>
      </c>
      <c r="AR97" s="61">
        <f t="shared" si="94"/>
        <v>4.1115631552689985E-3</v>
      </c>
      <c r="AS97" s="59">
        <f t="shared" si="95"/>
        <v>3.240801696915091E-2</v>
      </c>
      <c r="AT97" s="57">
        <f t="shared" si="96"/>
        <v>7.6041351708539626E-3</v>
      </c>
      <c r="AU97" s="61">
        <f t="shared" si="97"/>
        <v>4.1115631552689985E-3</v>
      </c>
      <c r="AW97">
        <f t="shared" si="104"/>
        <v>87</v>
      </c>
      <c r="AX97" s="11">
        <f t="shared" si="105"/>
        <v>4.1807092416211208E-2</v>
      </c>
      <c r="AY97" s="11">
        <f t="shared" si="106"/>
        <v>3.9562877348095868E-2</v>
      </c>
      <c r="AZ97" s="11">
        <f t="shared" si="98"/>
        <v>7.4713401675586322E-2</v>
      </c>
      <c r="BA97" s="11">
        <f t="shared" si="99"/>
        <v>7.4713401675586322E-2</v>
      </c>
      <c r="BB97" s="11">
        <f t="shared" si="100"/>
        <v>6.3763709144666642E-2</v>
      </c>
      <c r="BC97" s="11">
        <f t="shared" si="101"/>
        <v>5.0935068390414902E-2</v>
      </c>
      <c r="BD97" s="11">
        <f t="shared" si="102"/>
        <v>4.4123715295273869E-2</v>
      </c>
    </row>
    <row r="98" spans="1:56" x14ac:dyDescent="0.25">
      <c r="A98">
        <v>88</v>
      </c>
      <c r="B98">
        <f>MAX(A98-Settings!$Y$3*voltijdfranchise/1000, 0)</f>
        <v>73</v>
      </c>
      <c r="C98" s="59">
        <f t="shared" si="108"/>
        <v>4.1604018361135066E-2</v>
      </c>
      <c r="D98" s="61">
        <f t="shared" si="108"/>
        <v>8.9128849751201385E-3</v>
      </c>
      <c r="E98" s="109">
        <f t="shared" si="108"/>
        <v>0</v>
      </c>
      <c r="F98" s="59">
        <f t="shared" si="108"/>
        <v>3.9159687171057347E-2</v>
      </c>
      <c r="G98" s="61">
        <f t="shared" si="108"/>
        <v>8.6454562912251579E-3</v>
      </c>
      <c r="H98" s="109">
        <f t="shared" si="110"/>
        <v>0</v>
      </c>
      <c r="I98" s="59">
        <f t="shared" si="108"/>
        <v>2.3794373702957207E-2</v>
      </c>
      <c r="J98" s="57">
        <f t="shared" si="109"/>
        <v>2.2328530634117726E-2</v>
      </c>
      <c r="K98" s="99">
        <f t="shared" si="109"/>
        <v>4.3998764507805134E-2</v>
      </c>
      <c r="L98" s="99">
        <f t="shared" si="109"/>
        <v>4.3998764507805134E-2</v>
      </c>
      <c r="M98" s="99">
        <f t="shared" si="109"/>
        <v>3.0799135155463592E-2</v>
      </c>
      <c r="N98" s="59">
        <f t="shared" si="108"/>
        <v>3.4197010420295985E-2</v>
      </c>
      <c r="O98" s="57">
        <f t="shared" si="81"/>
        <v>2.2328530634117726E-2</v>
      </c>
      <c r="P98" s="61">
        <f t="shared" si="108"/>
        <v>4.968138812616707E-3</v>
      </c>
      <c r="Q98" s="59">
        <f t="shared" si="108"/>
        <v>3.9159687171057347E-2</v>
      </c>
      <c r="R98" s="57">
        <f t="shared" si="82"/>
        <v>9.1666286991116258E-3</v>
      </c>
      <c r="S98" s="61">
        <f t="shared" si="108"/>
        <v>4.968138812616707E-3</v>
      </c>
      <c r="U98" s="18">
        <f t="shared" si="76"/>
        <v>88</v>
      </c>
      <c r="V98" s="11">
        <f t="shared" si="77"/>
        <v>5.0516903336255206E-2</v>
      </c>
      <c r="W98" s="11">
        <f t="shared" si="78"/>
        <v>4.7805143462282505E-2</v>
      </c>
      <c r="X98" s="11">
        <f t="shared" si="73"/>
        <v>9.0121668844880071E-2</v>
      </c>
      <c r="Y98" s="11">
        <f t="shared" si="74"/>
        <v>9.0121668844880071E-2</v>
      </c>
      <c r="Z98" s="11">
        <f t="shared" si="75"/>
        <v>7.6922039492538521E-2</v>
      </c>
      <c r="AA98" s="11">
        <f t="shared" si="79"/>
        <v>6.1493679867030415E-2</v>
      </c>
      <c r="AB98" s="11">
        <f t="shared" si="80"/>
        <v>5.329445468278568E-2</v>
      </c>
      <c r="AE98" s="59">
        <f t="shared" si="83"/>
        <v>3.4512424322305224E-2</v>
      </c>
      <c r="AF98" s="61">
        <f t="shared" si="84"/>
        <v>7.3936432179973885E-3</v>
      </c>
      <c r="AG98" s="109">
        <f t="shared" si="103"/>
        <v>0</v>
      </c>
      <c r="AH98" s="59">
        <f t="shared" si="85"/>
        <v>3.2484740494172576E-2</v>
      </c>
      <c r="AI98" s="61">
        <f t="shared" si="86"/>
        <v>7.1717989688572341E-3</v>
      </c>
      <c r="AJ98" s="109">
        <f t="shared" si="86"/>
        <v>0</v>
      </c>
      <c r="AK98" s="59">
        <f t="shared" si="87"/>
        <v>1.9738514549044048E-2</v>
      </c>
      <c r="AL98" s="57">
        <f t="shared" si="88"/>
        <v>1.8522531094211297E-2</v>
      </c>
      <c r="AM98" s="99">
        <f t="shared" si="89"/>
        <v>3.6498975103065621E-2</v>
      </c>
      <c r="AN98" s="99">
        <f t="shared" si="90"/>
        <v>3.6498975103065621E-2</v>
      </c>
      <c r="AO98" s="99">
        <f t="shared" si="91"/>
        <v>2.5549282572145934E-2</v>
      </c>
      <c r="AP98" s="59">
        <f t="shared" si="92"/>
        <v>2.836797455320008E-2</v>
      </c>
      <c r="AQ98" s="57">
        <f t="shared" si="93"/>
        <v>1.8522531094211297E-2</v>
      </c>
      <c r="AR98" s="61">
        <f t="shared" si="94"/>
        <v>4.1212969695570414E-3</v>
      </c>
      <c r="AS98" s="59">
        <f t="shared" si="95"/>
        <v>3.2484740494172576E-2</v>
      </c>
      <c r="AT98" s="57">
        <f t="shared" si="96"/>
        <v>7.6041351708539626E-3</v>
      </c>
      <c r="AU98" s="61">
        <f t="shared" si="97"/>
        <v>4.1212969695570414E-3</v>
      </c>
      <c r="AW98">
        <f t="shared" si="104"/>
        <v>88</v>
      </c>
      <c r="AX98" s="11">
        <f t="shared" si="105"/>
        <v>4.1906067540302613E-2</v>
      </c>
      <c r="AY98" s="11">
        <f t="shared" si="106"/>
        <v>3.9656539463029813E-2</v>
      </c>
      <c r="AZ98" s="11">
        <f t="shared" si="98"/>
        <v>7.476002074632096E-2</v>
      </c>
      <c r="BA98" s="11">
        <f t="shared" si="99"/>
        <v>7.476002074632096E-2</v>
      </c>
      <c r="BB98" s="11">
        <f t="shared" si="100"/>
        <v>6.381032821540128E-2</v>
      </c>
      <c r="BC98" s="11">
        <f t="shared" si="101"/>
        <v>5.1011802616968416E-2</v>
      </c>
      <c r="BD98" s="11">
        <f t="shared" si="102"/>
        <v>4.4210172634583579E-2</v>
      </c>
    </row>
    <row r="99" spans="1:56" x14ac:dyDescent="0.25">
      <c r="A99">
        <v>89</v>
      </c>
      <c r="B99">
        <f>MAX(A99-Settings!$Y$3*voltijdfranchise/1000, 0)</f>
        <v>74</v>
      </c>
      <c r="C99" s="59">
        <f t="shared" si="108"/>
        <v>4.1604018361135066E-2</v>
      </c>
      <c r="D99" s="61">
        <f t="shared" si="108"/>
        <v>8.9128849751201385E-3</v>
      </c>
      <c r="E99" s="109">
        <f t="shared" si="108"/>
        <v>0</v>
      </c>
      <c r="F99" s="59">
        <f t="shared" si="108"/>
        <v>3.9159687171057347E-2</v>
      </c>
      <c r="G99" s="61">
        <f t="shared" si="108"/>
        <v>8.6454562912251579E-3</v>
      </c>
      <c r="H99" s="109">
        <f t="shared" si="110"/>
        <v>0</v>
      </c>
      <c r="I99" s="59">
        <f t="shared" si="108"/>
        <v>2.3794373702957207E-2</v>
      </c>
      <c r="J99" s="57">
        <f t="shared" si="109"/>
        <v>2.2277098207902774E-2</v>
      </c>
      <c r="K99" s="99">
        <f t="shared" si="109"/>
        <v>4.3897416002335682E-2</v>
      </c>
      <c r="L99" s="99">
        <f t="shared" si="109"/>
        <v>4.3897416002335682E-2</v>
      </c>
      <c r="M99" s="99">
        <f t="shared" si="109"/>
        <v>3.0728191201634975E-2</v>
      </c>
      <c r="N99" s="59">
        <f t="shared" si="108"/>
        <v>3.4197010420295985E-2</v>
      </c>
      <c r="O99" s="57">
        <f t="shared" si="81"/>
        <v>2.2277098207902774E-2</v>
      </c>
      <c r="P99" s="61">
        <f t="shared" si="108"/>
        <v>4.968138812616707E-3</v>
      </c>
      <c r="Q99" s="59">
        <f t="shared" si="108"/>
        <v>3.9159687171057347E-2</v>
      </c>
      <c r="R99" s="57">
        <f t="shared" si="82"/>
        <v>9.1455139217027394E-3</v>
      </c>
      <c r="S99" s="61">
        <f t="shared" si="108"/>
        <v>4.968138812616707E-3</v>
      </c>
      <c r="U99" s="18">
        <f t="shared" si="76"/>
        <v>89</v>
      </c>
      <c r="V99" s="11">
        <f t="shared" si="77"/>
        <v>5.0516903336255206E-2</v>
      </c>
      <c r="W99" s="11">
        <f t="shared" si="78"/>
        <v>4.7805143462282505E-2</v>
      </c>
      <c r="X99" s="11">
        <f t="shared" si="73"/>
        <v>8.9968887913195655E-2</v>
      </c>
      <c r="Y99" s="11">
        <f t="shared" si="74"/>
        <v>8.9968887913195655E-2</v>
      </c>
      <c r="Z99" s="11">
        <f t="shared" si="75"/>
        <v>7.6799663112494948E-2</v>
      </c>
      <c r="AA99" s="11">
        <f t="shared" si="79"/>
        <v>6.1442247440815466E-2</v>
      </c>
      <c r="AB99" s="11">
        <f t="shared" si="80"/>
        <v>5.327333990537679E-2</v>
      </c>
      <c r="AE99" s="59">
        <f t="shared" si="83"/>
        <v>3.4592105154202191E-2</v>
      </c>
      <c r="AF99" s="61">
        <f t="shared" si="84"/>
        <v>7.4107133500998902E-3</v>
      </c>
      <c r="AG99" s="109">
        <f t="shared" si="103"/>
        <v>0</v>
      </c>
      <c r="AH99" s="59">
        <f t="shared" si="85"/>
        <v>3.2559739895036445E-2</v>
      </c>
      <c r="AI99" s="61">
        <f t="shared" si="86"/>
        <v>7.18835691629957E-3</v>
      </c>
      <c r="AJ99" s="109">
        <f t="shared" si="86"/>
        <v>0</v>
      </c>
      <c r="AK99" s="59">
        <f t="shared" si="87"/>
        <v>1.9784086000211611E-2</v>
      </c>
      <c r="AL99" s="57">
        <f t="shared" si="88"/>
        <v>1.8522531094211297E-2</v>
      </c>
      <c r="AM99" s="99">
        <f t="shared" si="89"/>
        <v>3.6498975103065621E-2</v>
      </c>
      <c r="AN99" s="99">
        <f t="shared" si="90"/>
        <v>3.6498975103065621E-2</v>
      </c>
      <c r="AO99" s="99">
        <f t="shared" si="91"/>
        <v>2.5549282572145934E-2</v>
      </c>
      <c r="AP99" s="59">
        <f t="shared" si="92"/>
        <v>2.8433469338223629E-2</v>
      </c>
      <c r="AQ99" s="57">
        <f t="shared" si="93"/>
        <v>1.8522531094211297E-2</v>
      </c>
      <c r="AR99" s="61">
        <f t="shared" si="94"/>
        <v>4.1308120464453521E-3</v>
      </c>
      <c r="AS99" s="59">
        <f t="shared" si="95"/>
        <v>3.2559739895036445E-2</v>
      </c>
      <c r="AT99" s="57">
        <f t="shared" si="96"/>
        <v>7.6041351708539626E-3</v>
      </c>
      <c r="AU99" s="61">
        <f t="shared" si="97"/>
        <v>4.1308120464453521E-3</v>
      </c>
      <c r="AW99">
        <f t="shared" si="104"/>
        <v>89</v>
      </c>
      <c r="AX99" s="11">
        <f t="shared" si="105"/>
        <v>4.2002818504302084E-2</v>
      </c>
      <c r="AY99" s="11">
        <f t="shared" si="106"/>
        <v>3.9748096811336016E-2</v>
      </c>
      <c r="AZ99" s="11">
        <f t="shared" si="98"/>
        <v>7.480559219748853E-2</v>
      </c>
      <c r="BA99" s="11">
        <f t="shared" si="99"/>
        <v>7.480559219748853E-2</v>
      </c>
      <c r="BB99" s="11">
        <f t="shared" si="100"/>
        <v>6.3855899666568849E-2</v>
      </c>
      <c r="BC99" s="11">
        <f t="shared" si="101"/>
        <v>5.1086812478880278E-2</v>
      </c>
      <c r="BD99" s="11">
        <f t="shared" si="102"/>
        <v>4.4294687112335758E-2</v>
      </c>
    </row>
    <row r="100" spans="1:56" x14ac:dyDescent="0.25">
      <c r="A100">
        <v>90</v>
      </c>
      <c r="B100">
        <f>MAX(A100-Settings!$Y$3*voltijdfranchise/1000, 0)</f>
        <v>75</v>
      </c>
      <c r="C100" s="59">
        <f t="shared" si="108"/>
        <v>4.1604018361135066E-2</v>
      </c>
      <c r="D100" s="61">
        <f t="shared" si="108"/>
        <v>8.9128849751201385E-3</v>
      </c>
      <c r="E100" s="109">
        <f t="shared" si="108"/>
        <v>0</v>
      </c>
      <c r="F100" s="59">
        <f t="shared" si="108"/>
        <v>3.9159687171057347E-2</v>
      </c>
      <c r="G100" s="61">
        <f t="shared" si="108"/>
        <v>8.6454562912251579E-3</v>
      </c>
      <c r="H100" s="109">
        <f t="shared" si="110"/>
        <v>0</v>
      </c>
      <c r="I100" s="59">
        <f t="shared" si="108"/>
        <v>2.3794373702957207E-2</v>
      </c>
      <c r="J100" s="57">
        <f t="shared" si="109"/>
        <v>2.2227037313053557E-2</v>
      </c>
      <c r="K100" s="99">
        <f t="shared" si="109"/>
        <v>4.3798770123678742E-2</v>
      </c>
      <c r="L100" s="99">
        <f t="shared" si="109"/>
        <v>4.3798770123678742E-2</v>
      </c>
      <c r="M100" s="99">
        <f t="shared" si="109"/>
        <v>3.0659139086575121E-2</v>
      </c>
      <c r="N100" s="59">
        <f t="shared" si="108"/>
        <v>3.4197010420295985E-2</v>
      </c>
      <c r="O100" s="57">
        <f t="shared" si="81"/>
        <v>2.2227037313053557E-2</v>
      </c>
      <c r="P100" s="61">
        <f t="shared" si="108"/>
        <v>4.968138812616707E-3</v>
      </c>
      <c r="Q100" s="59">
        <f t="shared" si="108"/>
        <v>3.9159687171057347E-2</v>
      </c>
      <c r="R100" s="57">
        <f t="shared" si="82"/>
        <v>9.1249622050247545E-3</v>
      </c>
      <c r="S100" s="61">
        <f t="shared" si="108"/>
        <v>4.968138812616707E-3</v>
      </c>
      <c r="U100" s="18">
        <f t="shared" si="76"/>
        <v>90</v>
      </c>
      <c r="V100" s="11">
        <f t="shared" si="77"/>
        <v>5.0516903336255206E-2</v>
      </c>
      <c r="W100" s="11">
        <f t="shared" si="78"/>
        <v>4.7805143462282505E-2</v>
      </c>
      <c r="X100" s="11">
        <f t="shared" si="73"/>
        <v>8.9820181139689509E-2</v>
      </c>
      <c r="Y100" s="11">
        <f t="shared" si="74"/>
        <v>8.9820181139689509E-2</v>
      </c>
      <c r="Z100" s="11">
        <f t="shared" si="75"/>
        <v>7.6680550102585884E-2</v>
      </c>
      <c r="AA100" s="11">
        <f t="shared" si="79"/>
        <v>6.1392186545966246E-2</v>
      </c>
      <c r="AB100" s="11">
        <f t="shared" si="80"/>
        <v>5.3252788188698809E-2</v>
      </c>
      <c r="AE100" s="59">
        <f t="shared" si="83"/>
        <v>3.4670015300945885E-2</v>
      </c>
      <c r="AF100" s="61">
        <f t="shared" si="84"/>
        <v>7.4274041459334488E-3</v>
      </c>
      <c r="AG100" s="109">
        <f t="shared" si="103"/>
        <v>0</v>
      </c>
      <c r="AH100" s="59">
        <f t="shared" si="85"/>
        <v>3.2633072642547792E-2</v>
      </c>
      <c r="AI100" s="61">
        <f t="shared" si="86"/>
        <v>7.2045469093542985E-3</v>
      </c>
      <c r="AJ100" s="109">
        <f t="shared" si="86"/>
        <v>0</v>
      </c>
      <c r="AK100" s="59">
        <f t="shared" si="87"/>
        <v>1.9828644752464337E-2</v>
      </c>
      <c r="AL100" s="57">
        <f t="shared" si="88"/>
        <v>1.8522531094211297E-2</v>
      </c>
      <c r="AM100" s="99">
        <f t="shared" si="89"/>
        <v>3.6498975103065621E-2</v>
      </c>
      <c r="AN100" s="99">
        <f t="shared" si="90"/>
        <v>3.6498975103065621E-2</v>
      </c>
      <c r="AO100" s="99">
        <f t="shared" si="91"/>
        <v>2.5549282572145934E-2</v>
      </c>
      <c r="AP100" s="59">
        <f t="shared" si="92"/>
        <v>2.8497508683579989E-2</v>
      </c>
      <c r="AQ100" s="57">
        <f t="shared" si="93"/>
        <v>1.8522531094211297E-2</v>
      </c>
      <c r="AR100" s="61">
        <f t="shared" si="94"/>
        <v>4.1401156771805891E-3</v>
      </c>
      <c r="AS100" s="59">
        <f t="shared" si="95"/>
        <v>3.2633072642547792E-2</v>
      </c>
      <c r="AT100" s="57">
        <f t="shared" si="96"/>
        <v>7.6041351708539626E-3</v>
      </c>
      <c r="AU100" s="61">
        <f t="shared" si="97"/>
        <v>4.1401156771805891E-3</v>
      </c>
      <c r="AW100">
        <f t="shared" si="104"/>
        <v>90</v>
      </c>
      <c r="AX100" s="11">
        <f t="shared" si="105"/>
        <v>4.2097419446879336E-2</v>
      </c>
      <c r="AY100" s="11">
        <f t="shared" si="106"/>
        <v>3.9837619551902091E-2</v>
      </c>
      <c r="AZ100" s="11">
        <f t="shared" si="98"/>
        <v>7.4850150949741262E-2</v>
      </c>
      <c r="BA100" s="11">
        <f t="shared" si="99"/>
        <v>7.4850150949741262E-2</v>
      </c>
      <c r="BB100" s="11">
        <f t="shared" si="100"/>
        <v>6.3900458418821568E-2</v>
      </c>
      <c r="BC100" s="11">
        <f t="shared" si="101"/>
        <v>5.1160155454971878E-2</v>
      </c>
      <c r="BD100" s="11">
        <f t="shared" si="102"/>
        <v>4.4377323490582342E-2</v>
      </c>
    </row>
    <row r="101" spans="1:56" x14ac:dyDescent="0.25">
      <c r="A101">
        <v>91</v>
      </c>
      <c r="B101">
        <f>MAX(A101-Settings!$Y$3*voltijdfranchise/1000, 0)</f>
        <v>76</v>
      </c>
      <c r="C101" s="59">
        <f t="shared" si="108"/>
        <v>4.1604018361135066E-2</v>
      </c>
      <c r="D101" s="61">
        <f t="shared" si="108"/>
        <v>8.9128849751201385E-3</v>
      </c>
      <c r="E101" s="109">
        <f t="shared" si="108"/>
        <v>0</v>
      </c>
      <c r="F101" s="59">
        <f t="shared" si="108"/>
        <v>3.9159687171057347E-2</v>
      </c>
      <c r="G101" s="61">
        <f t="shared" si="108"/>
        <v>8.6454562912251579E-3</v>
      </c>
      <c r="H101" s="109">
        <f t="shared" si="110"/>
        <v>0</v>
      </c>
      <c r="I101" s="59">
        <f t="shared" si="108"/>
        <v>2.3794373702957207E-2</v>
      </c>
      <c r="J101" s="57">
        <f t="shared" si="109"/>
        <v>2.2178293810174051E-2</v>
      </c>
      <c r="K101" s="99">
        <f t="shared" si="109"/>
        <v>4.3702720189196992E-2</v>
      </c>
      <c r="L101" s="99">
        <f t="shared" si="109"/>
        <v>4.3702720189196992E-2</v>
      </c>
      <c r="M101" s="99">
        <f t="shared" si="109"/>
        <v>3.0591904132437894E-2</v>
      </c>
      <c r="N101" s="59">
        <f t="shared" si="108"/>
        <v>3.4197010420295985E-2</v>
      </c>
      <c r="O101" s="57">
        <f t="shared" si="81"/>
        <v>2.2178293810174051E-2</v>
      </c>
      <c r="P101" s="61">
        <f t="shared" si="108"/>
        <v>4.968138812616707E-3</v>
      </c>
      <c r="Q101" s="59">
        <f t="shared" si="108"/>
        <v>3.9159687171057347E-2</v>
      </c>
      <c r="R101" s="57">
        <f t="shared" si="82"/>
        <v>9.1049513229961923E-3</v>
      </c>
      <c r="S101" s="61">
        <f t="shared" si="108"/>
        <v>4.968138812616707E-3</v>
      </c>
      <c r="U101" s="18">
        <f t="shared" si="76"/>
        <v>91</v>
      </c>
      <c r="V101" s="11">
        <f t="shared" si="77"/>
        <v>5.0516903336255206E-2</v>
      </c>
      <c r="W101" s="11">
        <f t="shared" si="78"/>
        <v>4.7805143462282505E-2</v>
      </c>
      <c r="X101" s="11">
        <f t="shared" si="73"/>
        <v>8.9675387702328246E-2</v>
      </c>
      <c r="Y101" s="11">
        <f t="shared" si="74"/>
        <v>8.9675387702328246E-2</v>
      </c>
      <c r="Z101" s="11">
        <f t="shared" si="75"/>
        <v>7.6564571645569152E-2</v>
      </c>
      <c r="AA101" s="11">
        <f t="shared" si="79"/>
        <v>6.134344304308674E-2</v>
      </c>
      <c r="AB101" s="11">
        <f t="shared" si="80"/>
        <v>5.3232777306670247E-2</v>
      </c>
      <c r="AE101" s="59">
        <f t="shared" si="83"/>
        <v>3.474621313677214E-2</v>
      </c>
      <c r="AF101" s="61">
        <f t="shared" si="84"/>
        <v>7.4437281110893471E-3</v>
      </c>
      <c r="AG101" s="109">
        <f t="shared" si="103"/>
        <v>0</v>
      </c>
      <c r="AH101" s="59">
        <f t="shared" si="85"/>
        <v>3.2704793681322619E-2</v>
      </c>
      <c r="AI101" s="61">
        <f t="shared" si="86"/>
        <v>7.2203810783858461E-3</v>
      </c>
      <c r="AJ101" s="109">
        <f t="shared" si="86"/>
        <v>0</v>
      </c>
      <c r="AK101" s="59">
        <f t="shared" si="87"/>
        <v>1.9872224191480745E-2</v>
      </c>
      <c r="AL101" s="57">
        <f t="shared" si="88"/>
        <v>1.8522531094211297E-2</v>
      </c>
      <c r="AM101" s="99">
        <f t="shared" si="89"/>
        <v>3.6498975103065621E-2</v>
      </c>
      <c r="AN101" s="99">
        <f t="shared" si="90"/>
        <v>3.6498975103065621E-2</v>
      </c>
      <c r="AO101" s="99">
        <f t="shared" si="91"/>
        <v>2.5549282572145934E-2</v>
      </c>
      <c r="AP101" s="59">
        <f t="shared" si="92"/>
        <v>2.8560140570796647E-2</v>
      </c>
      <c r="AQ101" s="57">
        <f t="shared" si="93"/>
        <v>1.8522531094211297E-2</v>
      </c>
      <c r="AR101" s="61">
        <f t="shared" si="94"/>
        <v>4.1492148325150517E-3</v>
      </c>
      <c r="AS101" s="59">
        <f t="shared" si="95"/>
        <v>3.2704793681322619E-2</v>
      </c>
      <c r="AT101" s="57">
        <f t="shared" si="96"/>
        <v>7.6041351708539626E-3</v>
      </c>
      <c r="AU101" s="61">
        <f t="shared" si="97"/>
        <v>4.1492148325150517E-3</v>
      </c>
      <c r="AW101">
        <f t="shared" si="104"/>
        <v>91</v>
      </c>
      <c r="AX101" s="11">
        <f t="shared" si="105"/>
        <v>4.218994124786149E-2</v>
      </c>
      <c r="AY101" s="11">
        <f t="shared" si="106"/>
        <v>3.9925174759708464E-2</v>
      </c>
      <c r="AZ101" s="11">
        <f t="shared" si="98"/>
        <v>7.4893730388757657E-2</v>
      </c>
      <c r="BA101" s="11">
        <f t="shared" si="99"/>
        <v>7.4893730388757657E-2</v>
      </c>
      <c r="BB101" s="11">
        <f t="shared" si="100"/>
        <v>6.3944037857837976E-2</v>
      </c>
      <c r="BC101" s="11">
        <f t="shared" si="101"/>
        <v>5.1231886497522999E-2</v>
      </c>
      <c r="BD101" s="11">
        <f t="shared" si="102"/>
        <v>4.4458143684691628E-2</v>
      </c>
    </row>
    <row r="102" spans="1:56" x14ac:dyDescent="0.25">
      <c r="A102">
        <v>92</v>
      </c>
      <c r="B102">
        <f>MAX(A102-Settings!$Y$3*voltijdfranchise/1000, 0)</f>
        <v>77</v>
      </c>
      <c r="C102" s="59">
        <f t="shared" si="108"/>
        <v>4.1604018361135066E-2</v>
      </c>
      <c r="D102" s="61">
        <f t="shared" si="108"/>
        <v>8.9128849751201385E-3</v>
      </c>
      <c r="E102" s="109">
        <f t="shared" si="108"/>
        <v>0</v>
      </c>
      <c r="F102" s="59">
        <f t="shared" si="108"/>
        <v>3.9159687171057347E-2</v>
      </c>
      <c r="G102" s="61">
        <f t="shared" si="108"/>
        <v>8.6454562912251579E-3</v>
      </c>
      <c r="H102" s="109">
        <f t="shared" si="110"/>
        <v>0</v>
      </c>
      <c r="I102" s="59">
        <f t="shared" si="108"/>
        <v>2.3794373702957207E-2</v>
      </c>
      <c r="J102" s="57">
        <f t="shared" si="109"/>
        <v>2.2130816372304407E-2</v>
      </c>
      <c r="K102" s="99">
        <f t="shared" si="109"/>
        <v>4.3609165058208277E-2</v>
      </c>
      <c r="L102" s="99">
        <f t="shared" si="109"/>
        <v>4.3609165058208277E-2</v>
      </c>
      <c r="M102" s="99">
        <f t="shared" si="109"/>
        <v>3.052641554074579E-2</v>
      </c>
      <c r="N102" s="59">
        <f t="shared" si="108"/>
        <v>3.4197010420295985E-2</v>
      </c>
      <c r="O102" s="57">
        <f t="shared" si="81"/>
        <v>2.2130816372304407E-2</v>
      </c>
      <c r="P102" s="61">
        <f t="shared" si="108"/>
        <v>4.968138812616707E-3</v>
      </c>
      <c r="Q102" s="59">
        <f t="shared" si="108"/>
        <v>3.9159687171057347E-2</v>
      </c>
      <c r="R102" s="57">
        <f t="shared" si="82"/>
        <v>9.0854602041372037E-3</v>
      </c>
      <c r="S102" s="61">
        <f t="shared" si="108"/>
        <v>4.968138812616707E-3</v>
      </c>
      <c r="U102" s="18">
        <f t="shared" si="76"/>
        <v>92</v>
      </c>
      <c r="V102" s="11">
        <f t="shared" si="77"/>
        <v>5.0516903336255206E-2</v>
      </c>
      <c r="W102" s="11">
        <f t="shared" si="78"/>
        <v>4.7805143462282505E-2</v>
      </c>
      <c r="X102" s="11">
        <f t="shared" si="73"/>
        <v>8.9534355133469884E-2</v>
      </c>
      <c r="Y102" s="11">
        <f t="shared" si="74"/>
        <v>8.9534355133469884E-2</v>
      </c>
      <c r="Z102" s="11">
        <f t="shared" si="75"/>
        <v>7.6451605616007404E-2</v>
      </c>
      <c r="AA102" s="11">
        <f t="shared" si="79"/>
        <v>6.12959656052171E-2</v>
      </c>
      <c r="AB102" s="11">
        <f t="shared" si="80"/>
        <v>5.3213286187811258E-2</v>
      </c>
      <c r="AE102" s="59">
        <f t="shared" si="83"/>
        <v>3.4820754497906524E-2</v>
      </c>
      <c r="AF102" s="61">
        <f t="shared" si="84"/>
        <v>7.4596972074375077E-3</v>
      </c>
      <c r="AG102" s="109">
        <f t="shared" si="103"/>
        <v>0</v>
      </c>
      <c r="AH102" s="59">
        <f t="shared" si="85"/>
        <v>3.2774955567080606E-2</v>
      </c>
      <c r="AI102" s="61">
        <f t="shared" si="86"/>
        <v>7.2358710263514909E-3</v>
      </c>
      <c r="AJ102" s="109">
        <f t="shared" si="86"/>
        <v>0</v>
      </c>
      <c r="AK102" s="59">
        <f t="shared" si="87"/>
        <v>1.9914856251388096E-2</v>
      </c>
      <c r="AL102" s="57">
        <f t="shared" si="88"/>
        <v>1.8522531094211297E-2</v>
      </c>
      <c r="AM102" s="99">
        <f t="shared" si="89"/>
        <v>3.6498975103065621E-2</v>
      </c>
      <c r="AN102" s="99">
        <f t="shared" si="90"/>
        <v>3.6498975103065621E-2</v>
      </c>
      <c r="AO102" s="99">
        <f t="shared" si="91"/>
        <v>2.5549282572145934E-2</v>
      </c>
      <c r="AP102" s="59">
        <f t="shared" si="92"/>
        <v>2.8621410895247727E-2</v>
      </c>
      <c r="AQ102" s="57">
        <f t="shared" si="93"/>
        <v>1.8522531094211297E-2</v>
      </c>
      <c r="AR102" s="61">
        <f t="shared" si="94"/>
        <v>4.1581161801248524E-3</v>
      </c>
      <c r="AS102" s="59">
        <f t="shared" si="95"/>
        <v>3.2774955567080606E-2</v>
      </c>
      <c r="AT102" s="57">
        <f t="shared" si="96"/>
        <v>7.6041351708539626E-3</v>
      </c>
      <c r="AU102" s="61">
        <f t="shared" si="97"/>
        <v>4.1581161801248524E-3</v>
      </c>
      <c r="AW102">
        <f t="shared" si="104"/>
        <v>92</v>
      </c>
      <c r="AX102" s="11">
        <f t="shared" si="105"/>
        <v>4.228045170534403E-2</v>
      </c>
      <c r="AY102" s="11">
        <f t="shared" si="106"/>
        <v>4.0010826593432094E-2</v>
      </c>
      <c r="AZ102" s="11">
        <f t="shared" si="98"/>
        <v>7.4936362448665014E-2</v>
      </c>
      <c r="BA102" s="11">
        <f t="shared" si="99"/>
        <v>7.4936362448665014E-2</v>
      </c>
      <c r="BB102" s="11">
        <f t="shared" si="100"/>
        <v>6.398666991774532E-2</v>
      </c>
      <c r="BC102" s="11">
        <f t="shared" si="101"/>
        <v>5.1302058169583872E-2</v>
      </c>
      <c r="BD102" s="11">
        <f t="shared" si="102"/>
        <v>4.4537206918059416E-2</v>
      </c>
    </row>
    <row r="103" spans="1:56" x14ac:dyDescent="0.25">
      <c r="A103">
        <v>93</v>
      </c>
      <c r="B103">
        <f>MAX(A103-Settings!$Y$3*voltijdfranchise/1000, 0)</f>
        <v>78</v>
      </c>
      <c r="C103" s="59">
        <f t="shared" si="108"/>
        <v>4.1604018361135066E-2</v>
      </c>
      <c r="D103" s="61">
        <f t="shared" si="108"/>
        <v>8.9128849751201385E-3</v>
      </c>
      <c r="E103" s="109">
        <f t="shared" si="108"/>
        <v>0</v>
      </c>
      <c r="F103" s="59">
        <f t="shared" si="108"/>
        <v>3.9159687171057347E-2</v>
      </c>
      <c r="G103" s="61">
        <f t="shared" si="108"/>
        <v>8.6454562912251579E-3</v>
      </c>
      <c r="H103" s="109">
        <f t="shared" si="110"/>
        <v>0</v>
      </c>
      <c r="I103" s="59">
        <f t="shared" si="108"/>
        <v>2.3794373702957207E-2</v>
      </c>
      <c r="J103" s="57">
        <f t="shared" si="109"/>
        <v>2.2084556304636547E-2</v>
      </c>
      <c r="K103" s="99">
        <f t="shared" si="109"/>
        <v>4.3518008776732092E-2</v>
      </c>
      <c r="L103" s="99">
        <f t="shared" si="109"/>
        <v>4.3518008776732092E-2</v>
      </c>
      <c r="M103" s="99">
        <f t="shared" si="109"/>
        <v>3.0462606143712458E-2</v>
      </c>
      <c r="N103" s="59">
        <f t="shared" si="108"/>
        <v>3.4197010420295985E-2</v>
      </c>
      <c r="O103" s="57">
        <f t="shared" si="81"/>
        <v>2.2084556304636547E-2</v>
      </c>
      <c r="P103" s="61">
        <f t="shared" si="108"/>
        <v>4.968138812616707E-3</v>
      </c>
      <c r="Q103" s="59">
        <f t="shared" si="108"/>
        <v>3.9159687171057347E-2</v>
      </c>
      <c r="R103" s="57">
        <f t="shared" si="82"/>
        <v>9.0664688575566484E-3</v>
      </c>
      <c r="S103" s="61">
        <f t="shared" si="108"/>
        <v>4.968138812616707E-3</v>
      </c>
      <c r="U103" s="18">
        <f t="shared" si="76"/>
        <v>93</v>
      </c>
      <c r="V103" s="11">
        <f t="shared" si="77"/>
        <v>5.0516903336255206E-2</v>
      </c>
      <c r="W103" s="11">
        <f t="shared" si="78"/>
        <v>4.7805143462282505E-2</v>
      </c>
      <c r="X103" s="11">
        <f t="shared" si="73"/>
        <v>8.939693878432585E-2</v>
      </c>
      <c r="Y103" s="11">
        <f t="shared" si="74"/>
        <v>8.939693878432585E-2</v>
      </c>
      <c r="Z103" s="11">
        <f t="shared" si="75"/>
        <v>7.6341536151306219E-2</v>
      </c>
      <c r="AA103" s="11">
        <f t="shared" si="79"/>
        <v>6.1249705537549243E-2</v>
      </c>
      <c r="AB103" s="11">
        <f t="shared" si="80"/>
        <v>5.3194294841230699E-2</v>
      </c>
      <c r="AE103" s="59">
        <f t="shared" si="83"/>
        <v>3.4893692819016504E-2</v>
      </c>
      <c r="AF103" s="61">
        <f t="shared" si="84"/>
        <v>7.4753228823588253E-3</v>
      </c>
      <c r="AG103" s="109">
        <f t="shared" si="103"/>
        <v>0</v>
      </c>
      <c r="AH103" s="59">
        <f t="shared" si="85"/>
        <v>3.2843608595080356E-2</v>
      </c>
      <c r="AI103" s="61">
        <f t="shared" si="86"/>
        <v>7.2510278571565837E-3</v>
      </c>
      <c r="AJ103" s="109">
        <f t="shared" si="86"/>
        <v>0</v>
      </c>
      <c r="AK103" s="59">
        <f t="shared" si="87"/>
        <v>1.9956571492802819E-2</v>
      </c>
      <c r="AL103" s="57">
        <f t="shared" si="88"/>
        <v>1.8522531094211297E-2</v>
      </c>
      <c r="AM103" s="99">
        <f t="shared" si="89"/>
        <v>3.6498975103065621E-2</v>
      </c>
      <c r="AN103" s="99">
        <f t="shared" si="90"/>
        <v>3.6498975103065621E-2</v>
      </c>
      <c r="AO103" s="99">
        <f t="shared" si="91"/>
        <v>2.5549282572145934E-2</v>
      </c>
      <c r="AP103" s="59">
        <f t="shared" si="92"/>
        <v>2.8681363578312764E-2</v>
      </c>
      <c r="AQ103" s="57">
        <f t="shared" si="93"/>
        <v>1.8522531094211297E-2</v>
      </c>
      <c r="AR103" s="61">
        <f t="shared" si="94"/>
        <v>4.1668261009043346E-3</v>
      </c>
      <c r="AS103" s="59">
        <f t="shared" si="95"/>
        <v>3.2843608595080356E-2</v>
      </c>
      <c r="AT103" s="57">
        <f t="shared" si="96"/>
        <v>7.6041351708539626E-3</v>
      </c>
      <c r="AU103" s="61">
        <f t="shared" si="97"/>
        <v>4.1668261009043346E-3</v>
      </c>
      <c r="AW103">
        <f t="shared" si="104"/>
        <v>93</v>
      </c>
      <c r="AX103" s="11">
        <f t="shared" si="105"/>
        <v>4.2369015701375329E-2</v>
      </c>
      <c r="AY103" s="11">
        <f t="shared" si="106"/>
        <v>4.0094636452236938E-2</v>
      </c>
      <c r="AZ103" s="11">
        <f t="shared" si="98"/>
        <v>7.4978077690079747E-2</v>
      </c>
      <c r="BA103" s="11">
        <f t="shared" si="99"/>
        <v>7.4978077690079747E-2</v>
      </c>
      <c r="BB103" s="11">
        <f t="shared" si="100"/>
        <v>6.4028385159160053E-2</v>
      </c>
      <c r="BC103" s="11">
        <f t="shared" si="101"/>
        <v>5.1370720773428392E-2</v>
      </c>
      <c r="BD103" s="11">
        <f t="shared" si="102"/>
        <v>4.4614569866838649E-2</v>
      </c>
    </row>
    <row r="104" spans="1:56" x14ac:dyDescent="0.25">
      <c r="A104">
        <v>94</v>
      </c>
      <c r="B104">
        <f>MAX(A104-Settings!$Y$3*voltijdfranchise/1000, 0)</f>
        <v>79</v>
      </c>
      <c r="C104" s="59">
        <f t="shared" si="108"/>
        <v>4.1604018361135066E-2</v>
      </c>
      <c r="D104" s="61">
        <f t="shared" si="108"/>
        <v>8.9128849751201385E-3</v>
      </c>
      <c r="E104" s="109">
        <f t="shared" si="108"/>
        <v>0</v>
      </c>
      <c r="F104" s="59">
        <f t="shared" si="108"/>
        <v>3.9159687171057347E-2</v>
      </c>
      <c r="G104" s="61">
        <f t="shared" si="108"/>
        <v>8.6454562912251579E-3</v>
      </c>
      <c r="H104" s="109">
        <f t="shared" si="110"/>
        <v>0</v>
      </c>
      <c r="I104" s="59">
        <f t="shared" si="108"/>
        <v>2.3794373702957207E-2</v>
      </c>
      <c r="J104" s="57">
        <f t="shared" si="109"/>
        <v>2.2039467377922301E-2</v>
      </c>
      <c r="K104" s="99">
        <f t="shared" si="109"/>
        <v>4.3429160249217322E-2</v>
      </c>
      <c r="L104" s="99">
        <f t="shared" si="109"/>
        <v>4.3429160249217322E-2</v>
      </c>
      <c r="M104" s="99">
        <f t="shared" si="109"/>
        <v>3.0400412174452125E-2</v>
      </c>
      <c r="N104" s="59">
        <f t="shared" si="108"/>
        <v>3.4197010420295985E-2</v>
      </c>
      <c r="O104" s="57">
        <f t="shared" si="81"/>
        <v>2.2039467377922301E-2</v>
      </c>
      <c r="P104" s="61">
        <f t="shared" si="108"/>
        <v>4.968138812616707E-3</v>
      </c>
      <c r="Q104" s="59">
        <f t="shared" si="108"/>
        <v>3.9159687171057347E-2</v>
      </c>
      <c r="R104" s="57">
        <f t="shared" si="82"/>
        <v>9.0479583045604099E-3</v>
      </c>
      <c r="S104" s="61">
        <f t="shared" si="108"/>
        <v>4.968138812616707E-3</v>
      </c>
      <c r="U104" s="18">
        <f t="shared" si="76"/>
        <v>94</v>
      </c>
      <c r="V104" s="11">
        <f t="shared" si="77"/>
        <v>5.0516903336255206E-2</v>
      </c>
      <c r="W104" s="11">
        <f t="shared" si="78"/>
        <v>4.7805143462282505E-2</v>
      </c>
      <c r="X104" s="11">
        <f t="shared" si="73"/>
        <v>8.9263001330096833E-2</v>
      </c>
      <c r="Y104" s="11">
        <f t="shared" si="74"/>
        <v>8.9263001330096833E-2</v>
      </c>
      <c r="Z104" s="11">
        <f t="shared" si="75"/>
        <v>7.6234253255331633E-2</v>
      </c>
      <c r="AA104" s="11">
        <f t="shared" si="79"/>
        <v>6.1204616610834997E-2</v>
      </c>
      <c r="AB104" s="11">
        <f t="shared" si="80"/>
        <v>5.3175784288234468E-2</v>
      </c>
      <c r="AE104" s="59">
        <f t="shared" si="83"/>
        <v>3.4965079260953942E-2</v>
      </c>
      <c r="AF104" s="61">
        <f t="shared" si="84"/>
        <v>7.4906160961116051E-3</v>
      </c>
      <c r="AG104" s="109">
        <f t="shared" si="103"/>
        <v>0</v>
      </c>
      <c r="AH104" s="59">
        <f t="shared" si="85"/>
        <v>3.2910800920356705E-2</v>
      </c>
      <c r="AI104" s="61">
        <f t="shared" si="86"/>
        <v>7.2658622021998668E-3</v>
      </c>
      <c r="AJ104" s="109">
        <f t="shared" si="86"/>
        <v>0</v>
      </c>
      <c r="AK104" s="59">
        <f t="shared" si="87"/>
        <v>1.9997399175889566E-2</v>
      </c>
      <c r="AL104" s="57">
        <f t="shared" si="88"/>
        <v>1.8522531094211297E-2</v>
      </c>
      <c r="AM104" s="99">
        <f t="shared" si="89"/>
        <v>3.6498975103065621E-2</v>
      </c>
      <c r="AN104" s="99">
        <f t="shared" si="90"/>
        <v>3.6498975103065621E-2</v>
      </c>
      <c r="AO104" s="99">
        <f t="shared" si="91"/>
        <v>2.5549282572145934E-2</v>
      </c>
      <c r="AP104" s="59">
        <f t="shared" si="92"/>
        <v>2.8740040672376413E-2</v>
      </c>
      <c r="AQ104" s="57">
        <f t="shared" si="93"/>
        <v>1.8522531094211297E-2</v>
      </c>
      <c r="AR104" s="61">
        <f t="shared" si="94"/>
        <v>4.1753507042204237E-3</v>
      </c>
      <c r="AS104" s="59">
        <f t="shared" si="95"/>
        <v>3.2910800920356705E-2</v>
      </c>
      <c r="AT104" s="57">
        <f t="shared" si="96"/>
        <v>7.6041351708539626E-3</v>
      </c>
      <c r="AU104" s="61">
        <f t="shared" si="97"/>
        <v>4.1753507042204237E-3</v>
      </c>
      <c r="AW104">
        <f t="shared" si="104"/>
        <v>94</v>
      </c>
      <c r="AX104" s="11">
        <f t="shared" si="105"/>
        <v>4.2455695357065545E-2</v>
      </c>
      <c r="AY104" s="11">
        <f t="shared" si="106"/>
        <v>4.017666312255657E-2</v>
      </c>
      <c r="AZ104" s="11">
        <f t="shared" si="98"/>
        <v>7.5018905373166495E-2</v>
      </c>
      <c r="BA104" s="11">
        <f t="shared" si="99"/>
        <v>7.5018905373166495E-2</v>
      </c>
      <c r="BB104" s="11">
        <f t="shared" si="100"/>
        <v>6.40692128422468E-2</v>
      </c>
      <c r="BC104" s="11">
        <f t="shared" si="101"/>
        <v>5.143792247080814E-2</v>
      </c>
      <c r="BD104" s="11">
        <f t="shared" si="102"/>
        <v>4.4690286795431092E-2</v>
      </c>
    </row>
    <row r="105" spans="1:56" x14ac:dyDescent="0.25">
      <c r="A105">
        <v>95</v>
      </c>
      <c r="B105">
        <f>MAX(A105-Settings!$Y$3*voltijdfranchise/1000, 0)</f>
        <v>80</v>
      </c>
      <c r="C105" s="59">
        <f t="shared" si="108"/>
        <v>4.1604018361135066E-2</v>
      </c>
      <c r="D105" s="61">
        <f t="shared" si="108"/>
        <v>8.9128849751201385E-3</v>
      </c>
      <c r="E105" s="109">
        <f t="shared" si="108"/>
        <v>0</v>
      </c>
      <c r="F105" s="59">
        <f t="shared" si="108"/>
        <v>3.9159687171057347E-2</v>
      </c>
      <c r="G105" s="61">
        <f t="shared" si="108"/>
        <v>8.6454562912251579E-3</v>
      </c>
      <c r="H105" s="109">
        <f t="shared" si="110"/>
        <v>0</v>
      </c>
      <c r="I105" s="59">
        <f t="shared" si="108"/>
        <v>2.3794373702957207E-2</v>
      </c>
      <c r="J105" s="57">
        <f t="shared" si="109"/>
        <v>2.1995505674375915E-2</v>
      </c>
      <c r="K105" s="99">
        <f t="shared" si="109"/>
        <v>4.3342532934890418E-2</v>
      </c>
      <c r="L105" s="99">
        <f t="shared" si="109"/>
        <v>4.3342532934890418E-2</v>
      </c>
      <c r="M105" s="99">
        <f t="shared" si="109"/>
        <v>3.0339773054423296E-2</v>
      </c>
      <c r="N105" s="59">
        <f t="shared" si="108"/>
        <v>3.4197010420295985E-2</v>
      </c>
      <c r="O105" s="57">
        <f t="shared" si="81"/>
        <v>2.1995505674375915E-2</v>
      </c>
      <c r="P105" s="61">
        <f t="shared" si="108"/>
        <v>4.968138812616707E-3</v>
      </c>
      <c r="Q105" s="59">
        <f t="shared" si="108"/>
        <v>3.9159687171057347E-2</v>
      </c>
      <c r="R105" s="57">
        <f t="shared" si="82"/>
        <v>9.0299105153890807E-3</v>
      </c>
      <c r="S105" s="61">
        <f t="shared" si="108"/>
        <v>4.968138812616707E-3</v>
      </c>
      <c r="U105" s="18">
        <f t="shared" si="76"/>
        <v>95</v>
      </c>
      <c r="V105" s="11">
        <f t="shared" si="77"/>
        <v>5.0516903336255206E-2</v>
      </c>
      <c r="W105" s="11">
        <f t="shared" si="78"/>
        <v>4.7805143462282505E-2</v>
      </c>
      <c r="X105" s="11">
        <f t="shared" si="73"/>
        <v>8.9132412312223547E-2</v>
      </c>
      <c r="Y105" s="11">
        <f t="shared" si="74"/>
        <v>8.9132412312223547E-2</v>
      </c>
      <c r="Z105" s="11">
        <f t="shared" si="75"/>
        <v>7.6129652431756414E-2</v>
      </c>
      <c r="AA105" s="11">
        <f t="shared" si="79"/>
        <v>6.1160654907288607E-2</v>
      </c>
      <c r="AB105" s="11">
        <f t="shared" si="80"/>
        <v>5.3157736499063135E-2</v>
      </c>
      <c r="AE105" s="59">
        <f t="shared" si="83"/>
        <v>3.5034962830429527E-2</v>
      </c>
      <c r="AF105" s="61">
        <f t="shared" si="84"/>
        <v>7.5055873474695906E-3</v>
      </c>
      <c r="AG105" s="109">
        <f t="shared" si="103"/>
        <v>0</v>
      </c>
      <c r="AH105" s="59">
        <f t="shared" si="85"/>
        <v>3.2976578670364083E-2</v>
      </c>
      <c r="AI105" s="61">
        <f t="shared" si="86"/>
        <v>7.280384245242238E-3</v>
      </c>
      <c r="AJ105" s="109">
        <f t="shared" si="86"/>
        <v>0</v>
      </c>
      <c r="AK105" s="59">
        <f t="shared" si="87"/>
        <v>2.003736732880607E-2</v>
      </c>
      <c r="AL105" s="57">
        <f t="shared" si="88"/>
        <v>1.8522531094211297E-2</v>
      </c>
      <c r="AM105" s="99">
        <f t="shared" si="89"/>
        <v>3.6498975103065621E-2</v>
      </c>
      <c r="AN105" s="99">
        <f t="shared" si="90"/>
        <v>3.6498975103065621E-2</v>
      </c>
      <c r="AO105" s="99">
        <f t="shared" si="91"/>
        <v>2.5549282572145934E-2</v>
      </c>
      <c r="AP105" s="59">
        <f t="shared" si="92"/>
        <v>2.8797482459196621E-2</v>
      </c>
      <c r="AQ105" s="57">
        <f t="shared" si="93"/>
        <v>1.8522531094211297E-2</v>
      </c>
      <c r="AR105" s="61">
        <f t="shared" si="94"/>
        <v>4.1836958422035424E-3</v>
      </c>
      <c r="AS105" s="59">
        <f t="shared" si="95"/>
        <v>3.2976578670364083E-2</v>
      </c>
      <c r="AT105" s="57">
        <f t="shared" si="96"/>
        <v>7.6041351708539626E-3</v>
      </c>
      <c r="AU105" s="61">
        <f t="shared" si="97"/>
        <v>4.1836958422035424E-3</v>
      </c>
      <c r="AW105">
        <f t="shared" si="104"/>
        <v>95</v>
      </c>
      <c r="AX105" s="11">
        <f t="shared" si="105"/>
        <v>4.2540550177899115E-2</v>
      </c>
      <c r="AY105" s="11">
        <f t="shared" si="106"/>
        <v>4.025696291560632E-2</v>
      </c>
      <c r="AZ105" s="11">
        <f t="shared" si="98"/>
        <v>7.5058873526082981E-2</v>
      </c>
      <c r="BA105" s="11">
        <f t="shared" si="99"/>
        <v>7.5058873526082981E-2</v>
      </c>
      <c r="BB105" s="11">
        <f t="shared" si="100"/>
        <v>6.4109180995163301E-2</v>
      </c>
      <c r="BC105" s="11">
        <f t="shared" si="101"/>
        <v>5.1503709395611462E-2</v>
      </c>
      <c r="BD105" s="11">
        <f t="shared" si="102"/>
        <v>4.4764409683421588E-2</v>
      </c>
    </row>
    <row r="106" spans="1:56" x14ac:dyDescent="0.25">
      <c r="A106">
        <v>96</v>
      </c>
      <c r="B106">
        <f>MAX(A106-Settings!$Y$3*voltijdfranchise/1000, 0)</f>
        <v>81</v>
      </c>
      <c r="C106" s="59">
        <f t="shared" si="108"/>
        <v>4.1604018361135066E-2</v>
      </c>
      <c r="D106" s="61">
        <f t="shared" si="108"/>
        <v>8.9128849751201385E-3</v>
      </c>
      <c r="E106" s="109">
        <f t="shared" si="108"/>
        <v>0</v>
      </c>
      <c r="F106" s="59">
        <f t="shared" si="108"/>
        <v>3.9159687171057347E-2</v>
      </c>
      <c r="G106" s="61">
        <f t="shared" si="108"/>
        <v>8.6454562912251579E-3</v>
      </c>
      <c r="H106" s="109">
        <f t="shared" si="110"/>
        <v>0</v>
      </c>
      <c r="I106" s="59">
        <f t="shared" si="108"/>
        <v>2.3794373702957207E-2</v>
      </c>
      <c r="J106" s="57">
        <f t="shared" si="109"/>
        <v>2.1952629444991167E-2</v>
      </c>
      <c r="K106" s="99">
        <f t="shared" si="109"/>
        <v>4.3258044566596286E-2</v>
      </c>
      <c r="L106" s="99">
        <f t="shared" si="109"/>
        <v>4.3258044566596286E-2</v>
      </c>
      <c r="M106" s="99">
        <f t="shared" si="109"/>
        <v>3.0280631196617405E-2</v>
      </c>
      <c r="N106" s="59">
        <f t="shared" si="108"/>
        <v>3.4197010420295985E-2</v>
      </c>
      <c r="O106" s="57">
        <f t="shared" si="81"/>
        <v>2.1952629444991167E-2</v>
      </c>
      <c r="P106" s="61">
        <f t="shared" si="108"/>
        <v>4.968138812616707E-3</v>
      </c>
      <c r="Q106" s="59">
        <f t="shared" si="108"/>
        <v>3.9159687171057347E-2</v>
      </c>
      <c r="R106" s="57">
        <f t="shared" si="82"/>
        <v>9.0123083506417328E-3</v>
      </c>
      <c r="S106" s="61">
        <f t="shared" si="108"/>
        <v>4.968138812616707E-3</v>
      </c>
      <c r="U106" s="18">
        <f t="shared" si="76"/>
        <v>96</v>
      </c>
      <c r="V106" s="11">
        <f t="shared" si="77"/>
        <v>5.0516903336255206E-2</v>
      </c>
      <c r="W106" s="11">
        <f t="shared" si="78"/>
        <v>4.7805143462282505E-2</v>
      </c>
      <c r="X106" s="11">
        <f t="shared" si="73"/>
        <v>8.9005047714544649E-2</v>
      </c>
      <c r="Y106" s="11">
        <f t="shared" si="74"/>
        <v>8.9005047714544649E-2</v>
      </c>
      <c r="Z106" s="11">
        <f t="shared" si="75"/>
        <v>7.6027634344565775E-2</v>
      </c>
      <c r="AA106" s="11">
        <f t="shared" si="79"/>
        <v>6.1117778677903856E-2</v>
      </c>
      <c r="AB106" s="11">
        <f t="shared" si="80"/>
        <v>5.3140134334315789E-2</v>
      </c>
      <c r="AE106" s="59">
        <f t="shared" si="83"/>
        <v>3.510339049220771E-2</v>
      </c>
      <c r="AF106" s="61">
        <f t="shared" si="84"/>
        <v>7.5202466977576168E-3</v>
      </c>
      <c r="AG106" s="109">
        <f t="shared" si="103"/>
        <v>0</v>
      </c>
      <c r="AH106" s="59">
        <f t="shared" si="85"/>
        <v>3.3040986050579639E-2</v>
      </c>
      <c r="AI106" s="61">
        <f t="shared" si="86"/>
        <v>7.2946037457212272E-3</v>
      </c>
      <c r="AJ106" s="109">
        <f t="shared" si="86"/>
        <v>0</v>
      </c>
      <c r="AK106" s="59">
        <f t="shared" si="87"/>
        <v>2.0076502811870144E-2</v>
      </c>
      <c r="AL106" s="57">
        <f t="shared" si="88"/>
        <v>1.8522531094211297E-2</v>
      </c>
      <c r="AM106" s="99">
        <f t="shared" si="89"/>
        <v>3.6498975103065621E-2</v>
      </c>
      <c r="AN106" s="99">
        <f t="shared" si="90"/>
        <v>3.6498975103065621E-2</v>
      </c>
      <c r="AO106" s="99">
        <f t="shared" si="91"/>
        <v>2.5549282572145934E-2</v>
      </c>
      <c r="AP106" s="59">
        <f t="shared" si="92"/>
        <v>2.885372754212474E-2</v>
      </c>
      <c r="AQ106" s="57">
        <f t="shared" si="93"/>
        <v>1.8522531094211297E-2</v>
      </c>
      <c r="AR106" s="61">
        <f t="shared" si="94"/>
        <v>4.1918671231453465E-3</v>
      </c>
      <c r="AS106" s="59">
        <f t="shared" si="95"/>
        <v>3.3040986050579639E-2</v>
      </c>
      <c r="AT106" s="57">
        <f t="shared" si="96"/>
        <v>7.6041351708539626E-3</v>
      </c>
      <c r="AU106" s="61">
        <f t="shared" si="97"/>
        <v>4.1918671231453465E-3</v>
      </c>
      <c r="AW106">
        <f t="shared" si="104"/>
        <v>96</v>
      </c>
      <c r="AX106" s="11">
        <f t="shared" si="105"/>
        <v>4.2623637189965327E-2</v>
      </c>
      <c r="AY106" s="11">
        <f t="shared" si="106"/>
        <v>4.0335589796300864E-2</v>
      </c>
      <c r="AZ106" s="11">
        <f t="shared" si="98"/>
        <v>7.5098009009147065E-2</v>
      </c>
      <c r="BA106" s="11">
        <f t="shared" si="99"/>
        <v>7.5098009009147065E-2</v>
      </c>
      <c r="BB106" s="11">
        <f t="shared" si="100"/>
        <v>6.4148316478227371E-2</v>
      </c>
      <c r="BC106" s="11">
        <f t="shared" si="101"/>
        <v>5.1568125759481387E-2</v>
      </c>
      <c r="BD106" s="11">
        <f t="shared" si="102"/>
        <v>4.4836988344578943E-2</v>
      </c>
    </row>
    <row r="107" spans="1:56" x14ac:dyDescent="0.25">
      <c r="A107">
        <v>97</v>
      </c>
      <c r="B107">
        <f>MAX(A107-Settings!$Y$3*voltijdfranchise/1000, 0)</f>
        <v>82</v>
      </c>
      <c r="C107" s="59">
        <f t="shared" si="108"/>
        <v>4.1604018361135066E-2</v>
      </c>
      <c r="D107" s="61">
        <f t="shared" si="108"/>
        <v>8.9128849751201385E-3</v>
      </c>
      <c r="E107" s="109">
        <f t="shared" si="108"/>
        <v>0</v>
      </c>
      <c r="F107" s="59">
        <f t="shared" si="108"/>
        <v>3.9159687171057347E-2</v>
      </c>
      <c r="G107" s="61">
        <f t="shared" si="108"/>
        <v>8.6454562912251579E-3</v>
      </c>
      <c r="H107" s="109">
        <f t="shared" si="110"/>
        <v>0</v>
      </c>
      <c r="I107" s="59">
        <f t="shared" si="108"/>
        <v>2.3794373702957207E-2</v>
      </c>
      <c r="J107" s="57">
        <f t="shared" si="109"/>
        <v>2.191079897729873E-2</v>
      </c>
      <c r="K107" s="99">
        <f t="shared" si="109"/>
        <v>4.3175616890211772E-2</v>
      </c>
      <c r="L107" s="99">
        <f t="shared" si="109"/>
        <v>4.3175616890211772E-2</v>
      </c>
      <c r="M107" s="99">
        <f t="shared" si="109"/>
        <v>3.0222931823148239E-2</v>
      </c>
      <c r="N107" s="59">
        <f t="shared" si="108"/>
        <v>3.4197010420295985E-2</v>
      </c>
      <c r="O107" s="57">
        <f t="shared" si="81"/>
        <v>2.191079897729873E-2</v>
      </c>
      <c r="P107" s="61">
        <f t="shared" si="108"/>
        <v>4.968138812616707E-3</v>
      </c>
      <c r="Q107" s="59">
        <f t="shared" si="108"/>
        <v>3.9159687171057347E-2</v>
      </c>
      <c r="R107" s="57">
        <f t="shared" si="82"/>
        <v>8.9951355069857845E-3</v>
      </c>
      <c r="S107" s="61">
        <f t="shared" si="108"/>
        <v>4.968138812616707E-3</v>
      </c>
      <c r="U107" s="18">
        <f t="shared" si="76"/>
        <v>97</v>
      </c>
      <c r="V107" s="11">
        <f t="shared" si="77"/>
        <v>5.0516903336255206E-2</v>
      </c>
      <c r="W107" s="11">
        <f t="shared" si="78"/>
        <v>4.7805143462282505E-2</v>
      </c>
      <c r="X107" s="11">
        <f t="shared" si="73"/>
        <v>8.8880789570467716E-2</v>
      </c>
      <c r="Y107" s="11">
        <f t="shared" si="74"/>
        <v>8.8880789570467716E-2</v>
      </c>
      <c r="Z107" s="11">
        <f t="shared" si="75"/>
        <v>7.5928104503404176E-2</v>
      </c>
      <c r="AA107" s="11">
        <f t="shared" si="79"/>
        <v>6.1075948210211423E-2</v>
      </c>
      <c r="AB107" s="11">
        <f t="shared" si="80"/>
        <v>5.3122961490659842E-2</v>
      </c>
      <c r="AE107" s="59">
        <f t="shared" si="83"/>
        <v>3.5170407274361604E-2</v>
      </c>
      <c r="AF107" s="61">
        <f t="shared" si="84"/>
        <v>7.5346037934005293E-3</v>
      </c>
      <c r="AG107" s="109">
        <f t="shared" si="103"/>
        <v>0</v>
      </c>
      <c r="AH107" s="59">
        <f t="shared" si="85"/>
        <v>3.3104065443574256E-2</v>
      </c>
      <c r="AI107" s="61">
        <f t="shared" si="86"/>
        <v>7.308530060623329E-3</v>
      </c>
      <c r="AJ107" s="109">
        <f t="shared" si="86"/>
        <v>0</v>
      </c>
      <c r="AK107" s="59">
        <f t="shared" si="87"/>
        <v>2.0114831377757637E-2</v>
      </c>
      <c r="AL107" s="57">
        <f t="shared" si="88"/>
        <v>1.8522531094211297E-2</v>
      </c>
      <c r="AM107" s="99">
        <f t="shared" si="89"/>
        <v>3.6498975103065621E-2</v>
      </c>
      <c r="AN107" s="99">
        <f t="shared" si="90"/>
        <v>3.6498975103065621E-2</v>
      </c>
      <c r="AO107" s="99">
        <f t="shared" si="91"/>
        <v>2.5549282572145934E-2</v>
      </c>
      <c r="AP107" s="59">
        <f t="shared" si="92"/>
        <v>2.8908812932621351E-2</v>
      </c>
      <c r="AQ107" s="57">
        <f t="shared" si="93"/>
        <v>1.8522531094211297E-2</v>
      </c>
      <c r="AR107" s="61">
        <f t="shared" si="94"/>
        <v>4.1998699240677314E-3</v>
      </c>
      <c r="AS107" s="59">
        <f t="shared" si="95"/>
        <v>3.3104065443574256E-2</v>
      </c>
      <c r="AT107" s="57">
        <f t="shared" si="96"/>
        <v>7.6041351708539626E-3</v>
      </c>
      <c r="AU107" s="61">
        <f t="shared" si="97"/>
        <v>4.1998699240677314E-3</v>
      </c>
      <c r="AW107">
        <f t="shared" si="104"/>
        <v>97</v>
      </c>
      <c r="AX107" s="11">
        <f t="shared" si="105"/>
        <v>4.270501106776213E-2</v>
      </c>
      <c r="AY107" s="11">
        <f t="shared" si="106"/>
        <v>4.0412595504197582E-2</v>
      </c>
      <c r="AZ107" s="11">
        <f t="shared" si="98"/>
        <v>7.5136337575034545E-2</v>
      </c>
      <c r="BA107" s="11">
        <f t="shared" si="99"/>
        <v>7.5136337575034545E-2</v>
      </c>
      <c r="BB107" s="11">
        <f t="shared" si="100"/>
        <v>6.4186645044114865E-2</v>
      </c>
      <c r="BC107" s="11">
        <f t="shared" si="101"/>
        <v>5.1631213950900381E-2</v>
      </c>
      <c r="BD107" s="11">
        <f t="shared" si="102"/>
        <v>4.4908070538495951E-2</v>
      </c>
    </row>
    <row r="108" spans="1:56" x14ac:dyDescent="0.25">
      <c r="A108">
        <v>98</v>
      </c>
      <c r="B108">
        <f>MAX(A108-Settings!$Y$3*voltijdfranchise/1000, 0)</f>
        <v>83</v>
      </c>
      <c r="C108" s="59">
        <f t="shared" si="108"/>
        <v>4.1604018361135066E-2</v>
      </c>
      <c r="D108" s="61">
        <f t="shared" si="108"/>
        <v>8.9128849751201385E-3</v>
      </c>
      <c r="E108" s="109">
        <f t="shared" si="108"/>
        <v>0</v>
      </c>
      <c r="F108" s="59">
        <f t="shared" si="108"/>
        <v>3.9159687171057347E-2</v>
      </c>
      <c r="G108" s="61">
        <f t="shared" si="108"/>
        <v>8.6454562912251579E-3</v>
      </c>
      <c r="H108" s="109">
        <f t="shared" si="110"/>
        <v>0</v>
      </c>
      <c r="I108" s="59">
        <f t="shared" si="108"/>
        <v>2.3794373702957207E-2</v>
      </c>
      <c r="J108" s="57">
        <f t="shared" si="109"/>
        <v>2.1869976472683218E-2</v>
      </c>
      <c r="K108" s="99">
        <f t="shared" si="109"/>
        <v>4.3095175422896759E-2</v>
      </c>
      <c r="L108" s="99">
        <f t="shared" si="109"/>
        <v>4.3095175422896759E-2</v>
      </c>
      <c r="M108" s="99">
        <f t="shared" si="109"/>
        <v>3.016662279602773E-2</v>
      </c>
      <c r="N108" s="59">
        <f t="shared" si="108"/>
        <v>3.4197010420295985E-2</v>
      </c>
      <c r="O108" s="57">
        <f t="shared" si="81"/>
        <v>2.1869976472683218E-2</v>
      </c>
      <c r="P108" s="61">
        <f t="shared" si="108"/>
        <v>4.968138812616707E-3</v>
      </c>
      <c r="Q108" s="59">
        <f t="shared" si="108"/>
        <v>3.9159687171057347E-2</v>
      </c>
      <c r="R108" s="57">
        <f t="shared" si="82"/>
        <v>8.9783764667914264E-3</v>
      </c>
      <c r="S108" s="61">
        <f t="shared" si="108"/>
        <v>4.968138812616707E-3</v>
      </c>
      <c r="U108" s="18">
        <f t="shared" si="76"/>
        <v>98</v>
      </c>
      <c r="V108" s="11">
        <f t="shared" si="77"/>
        <v>5.0516903336255206E-2</v>
      </c>
      <c r="W108" s="11">
        <f t="shared" si="78"/>
        <v>4.7805143462282505E-2</v>
      </c>
      <c r="X108" s="11">
        <f t="shared" si="73"/>
        <v>8.8759525598537184E-2</v>
      </c>
      <c r="Y108" s="11">
        <f t="shared" si="74"/>
        <v>8.8759525598537184E-2</v>
      </c>
      <c r="Z108" s="11">
        <f t="shared" si="75"/>
        <v>7.5830972971668159E-2</v>
      </c>
      <c r="AA108" s="11">
        <f t="shared" si="79"/>
        <v>6.1035125705595911E-2</v>
      </c>
      <c r="AB108" s="11">
        <f t="shared" si="80"/>
        <v>5.3106202450465483E-2</v>
      </c>
      <c r="AE108" s="59">
        <f t="shared" si="83"/>
        <v>3.5236056367083782E-2</v>
      </c>
      <c r="AF108" s="61">
        <f t="shared" si="84"/>
        <v>7.5486678870915463E-3</v>
      </c>
      <c r="AG108" s="109">
        <f t="shared" si="103"/>
        <v>0</v>
      </c>
      <c r="AH108" s="59">
        <f t="shared" si="85"/>
        <v>3.3165857502017955E-2</v>
      </c>
      <c r="AI108" s="61">
        <f t="shared" si="86"/>
        <v>7.3221721650172256E-3</v>
      </c>
      <c r="AJ108" s="109">
        <f t="shared" si="86"/>
        <v>0</v>
      </c>
      <c r="AK108" s="59">
        <f t="shared" si="87"/>
        <v>2.015237772801478E-2</v>
      </c>
      <c r="AL108" s="57">
        <f t="shared" si="88"/>
        <v>1.8522531094211297E-2</v>
      </c>
      <c r="AM108" s="99">
        <f t="shared" si="89"/>
        <v>3.6498975103065621E-2</v>
      </c>
      <c r="AN108" s="99">
        <f t="shared" si="90"/>
        <v>3.6498975103065621E-2</v>
      </c>
      <c r="AO108" s="99">
        <f t="shared" si="91"/>
        <v>2.5549282572145934E-2</v>
      </c>
      <c r="AP108" s="59">
        <f t="shared" si="92"/>
        <v>2.8962774131475171E-2</v>
      </c>
      <c r="AQ108" s="57">
        <f t="shared" si="93"/>
        <v>1.8522531094211297E-2</v>
      </c>
      <c r="AR108" s="61">
        <f t="shared" si="94"/>
        <v>4.2077094025223128E-3</v>
      </c>
      <c r="AS108" s="59">
        <f t="shared" si="95"/>
        <v>3.3165857502017955E-2</v>
      </c>
      <c r="AT108" s="57">
        <f t="shared" si="96"/>
        <v>7.6041351708539626E-3</v>
      </c>
      <c r="AU108" s="61">
        <f t="shared" si="97"/>
        <v>4.2077094025223128E-3</v>
      </c>
      <c r="AW108">
        <f t="shared" si="104"/>
        <v>98</v>
      </c>
      <c r="AX108" s="11">
        <f t="shared" si="105"/>
        <v>4.278472425417533E-2</v>
      </c>
      <c r="AY108" s="11">
        <f t="shared" si="106"/>
        <v>4.0488029667035179E-2</v>
      </c>
      <c r="AZ108" s="11">
        <f t="shared" si="98"/>
        <v>7.5173883925291701E-2</v>
      </c>
      <c r="BA108" s="11">
        <f t="shared" si="99"/>
        <v>7.5173883925291701E-2</v>
      </c>
      <c r="BB108" s="11">
        <f t="shared" si="100"/>
        <v>6.4224191394372007E-2</v>
      </c>
      <c r="BC108" s="11">
        <f t="shared" si="101"/>
        <v>5.1693014628208779E-2</v>
      </c>
      <c r="BD108" s="11">
        <f t="shared" si="102"/>
        <v>4.4977702075394227E-2</v>
      </c>
    </row>
    <row r="109" spans="1:56" x14ac:dyDescent="0.25">
      <c r="A109">
        <v>99</v>
      </c>
      <c r="B109">
        <f>MAX(A109-Settings!$Y$3*voltijdfranchise/1000, 0)</f>
        <v>84</v>
      </c>
      <c r="C109" s="59">
        <f t="shared" si="108"/>
        <v>4.1604018361135066E-2</v>
      </c>
      <c r="D109" s="61">
        <f t="shared" si="108"/>
        <v>8.9128849751201385E-3</v>
      </c>
      <c r="E109" s="109">
        <f t="shared" si="108"/>
        <v>0</v>
      </c>
      <c r="F109" s="59">
        <f t="shared" si="108"/>
        <v>3.9159687171057347E-2</v>
      </c>
      <c r="G109" s="61">
        <f t="shared" si="108"/>
        <v>8.6454562912251579E-3</v>
      </c>
      <c r="H109" s="109">
        <f t="shared" si="110"/>
        <v>0</v>
      </c>
      <c r="I109" s="59">
        <f t="shared" si="108"/>
        <v>2.3794373702957207E-2</v>
      </c>
      <c r="J109" s="57">
        <f t="shared" si="109"/>
        <v>2.1830125932463314E-2</v>
      </c>
      <c r="K109" s="99">
        <f t="shared" si="109"/>
        <v>4.3016649228613049E-2</v>
      </c>
      <c r="L109" s="99">
        <f t="shared" si="109"/>
        <v>4.3016649228613049E-2</v>
      </c>
      <c r="M109" s="99">
        <f t="shared" si="109"/>
        <v>3.0111654460029138E-2</v>
      </c>
      <c r="N109" s="59">
        <f t="shared" si="108"/>
        <v>3.4197010420295985E-2</v>
      </c>
      <c r="O109" s="57">
        <f t="shared" si="81"/>
        <v>2.1830125932463314E-2</v>
      </c>
      <c r="P109" s="61">
        <f t="shared" si="108"/>
        <v>4.968138812616707E-3</v>
      </c>
      <c r="Q109" s="59">
        <f t="shared" si="108"/>
        <v>3.9159687171057347E-2</v>
      </c>
      <c r="R109" s="57">
        <f t="shared" si="82"/>
        <v>8.962016451363599E-3</v>
      </c>
      <c r="S109" s="61">
        <f t="shared" si="108"/>
        <v>4.968138812616707E-3</v>
      </c>
      <c r="U109" s="18">
        <f t="shared" si="76"/>
        <v>99</v>
      </c>
      <c r="V109" s="11">
        <f t="shared" si="77"/>
        <v>5.0516903336255206E-2</v>
      </c>
      <c r="W109" s="11">
        <f t="shared" si="78"/>
        <v>4.7805143462282505E-2</v>
      </c>
      <c r="X109" s="11">
        <f t="shared" si="73"/>
        <v>8.864114886403357E-2</v>
      </c>
      <c r="Y109" s="11">
        <f t="shared" si="74"/>
        <v>8.864114886403357E-2</v>
      </c>
      <c r="Z109" s="11">
        <f t="shared" si="75"/>
        <v>7.5736154095449662E-2</v>
      </c>
      <c r="AA109" s="11">
        <f t="shared" si="79"/>
        <v>6.0995275165376006E-2</v>
      </c>
      <c r="AB109" s="11">
        <f t="shared" si="80"/>
        <v>5.3089842435037657E-2</v>
      </c>
      <c r="AE109" s="59">
        <f t="shared" si="83"/>
        <v>3.5300379215508541E-2</v>
      </c>
      <c r="AF109" s="61">
        <f t="shared" si="84"/>
        <v>7.5624478576776935E-3</v>
      </c>
      <c r="AG109" s="109">
        <f t="shared" si="103"/>
        <v>0</v>
      </c>
      <c r="AH109" s="59">
        <f t="shared" si="85"/>
        <v>3.3226401236048662E-2</v>
      </c>
      <c r="AI109" s="61">
        <f t="shared" si="86"/>
        <v>7.3355386713425579E-3</v>
      </c>
      <c r="AJ109" s="109">
        <f t="shared" si="86"/>
        <v>0</v>
      </c>
      <c r="AK109" s="59">
        <f t="shared" si="87"/>
        <v>2.0189165566145507E-2</v>
      </c>
      <c r="AL109" s="57">
        <f t="shared" si="88"/>
        <v>1.8522531094211297E-2</v>
      </c>
      <c r="AM109" s="99">
        <f t="shared" si="89"/>
        <v>3.6498975103065621E-2</v>
      </c>
      <c r="AN109" s="99">
        <f t="shared" si="90"/>
        <v>3.6498975103065621E-2</v>
      </c>
      <c r="AO109" s="99">
        <f t="shared" si="91"/>
        <v>2.5549282572145934E-2</v>
      </c>
      <c r="AP109" s="59">
        <f t="shared" si="92"/>
        <v>2.9015645205099624E-2</v>
      </c>
      <c r="AQ109" s="57">
        <f t="shared" si="93"/>
        <v>1.8522531094211297E-2</v>
      </c>
      <c r="AR109" s="61">
        <f t="shared" si="94"/>
        <v>4.2153905076747818E-3</v>
      </c>
      <c r="AS109" s="59">
        <f t="shared" si="95"/>
        <v>3.3226401236048662E-2</v>
      </c>
      <c r="AT109" s="57">
        <f t="shared" si="96"/>
        <v>7.6041351708539626E-3</v>
      </c>
      <c r="AU109" s="61">
        <f t="shared" si="97"/>
        <v>4.2153905076747818E-3</v>
      </c>
      <c r="AW109">
        <f t="shared" si="104"/>
        <v>99</v>
      </c>
      <c r="AX109" s="11">
        <f t="shared" si="105"/>
        <v>4.2862827073186234E-2</v>
      </c>
      <c r="AY109" s="11">
        <f t="shared" si="106"/>
        <v>4.0561939907391223E-2</v>
      </c>
      <c r="AZ109" s="11">
        <f t="shared" si="98"/>
        <v>7.5210671763422415E-2</v>
      </c>
      <c r="BA109" s="11">
        <f t="shared" si="99"/>
        <v>7.5210671763422415E-2</v>
      </c>
      <c r="BB109" s="11">
        <f t="shared" si="100"/>
        <v>6.4260979232502735E-2</v>
      </c>
      <c r="BC109" s="11">
        <f t="shared" si="101"/>
        <v>5.1753566806985708E-2</v>
      </c>
      <c r="BD109" s="11">
        <f t="shared" si="102"/>
        <v>4.5045926914577407E-2</v>
      </c>
    </row>
    <row r="110" spans="1:56" x14ac:dyDescent="0.25">
      <c r="A110">
        <v>100</v>
      </c>
      <c r="B110">
        <f>MAX(A110-Settings!$Y$3*voltijdfranchise/1000, 0)</f>
        <v>85</v>
      </c>
      <c r="C110" s="59">
        <f t="shared" si="108"/>
        <v>4.1604018361135066E-2</v>
      </c>
      <c r="D110" s="61">
        <f t="shared" si="108"/>
        <v>8.9128849751201385E-3</v>
      </c>
      <c r="E110" s="109">
        <f t="shared" si="108"/>
        <v>0</v>
      </c>
      <c r="F110" s="59">
        <f t="shared" si="108"/>
        <v>3.9159687171057347E-2</v>
      </c>
      <c r="G110" s="61">
        <f t="shared" si="108"/>
        <v>8.6454562912251579E-3</v>
      </c>
      <c r="H110" s="109">
        <f t="shared" si="110"/>
        <v>0</v>
      </c>
      <c r="I110" s="59">
        <f t="shared" si="108"/>
        <v>2.3794373702957207E-2</v>
      </c>
      <c r="J110" s="57">
        <f t="shared" si="109"/>
        <v>2.179121305201329E-2</v>
      </c>
      <c r="K110" s="99">
        <f t="shared" si="109"/>
        <v>4.2939970709488968E-2</v>
      </c>
      <c r="L110" s="99">
        <f t="shared" si="109"/>
        <v>4.2939970709488968E-2</v>
      </c>
      <c r="M110" s="99">
        <f t="shared" si="109"/>
        <v>3.0057979496642278E-2</v>
      </c>
      <c r="N110" s="59">
        <f t="shared" si="108"/>
        <v>3.4197010420295985E-2</v>
      </c>
      <c r="O110" s="57">
        <f t="shared" si="81"/>
        <v>2.179121305201329E-2</v>
      </c>
      <c r="P110" s="61">
        <f t="shared" si="108"/>
        <v>4.968138812616707E-3</v>
      </c>
      <c r="Q110" s="59">
        <f t="shared" si="108"/>
        <v>3.9159687171057347E-2</v>
      </c>
      <c r="R110" s="57">
        <f t="shared" si="82"/>
        <v>8.9460413774752508E-3</v>
      </c>
      <c r="S110" s="61">
        <f t="shared" si="108"/>
        <v>4.968138812616707E-3</v>
      </c>
      <c r="U110" s="18">
        <f t="shared" si="76"/>
        <v>100</v>
      </c>
      <c r="V110" s="11">
        <f t="shared" si="77"/>
        <v>5.0516903336255206E-2</v>
      </c>
      <c r="W110" s="11">
        <f t="shared" si="78"/>
        <v>4.7805143462282505E-2</v>
      </c>
      <c r="X110" s="11">
        <f t="shared" si="73"/>
        <v>8.8525557464459476E-2</v>
      </c>
      <c r="Y110" s="11">
        <f t="shared" si="74"/>
        <v>8.8525557464459476E-2</v>
      </c>
      <c r="Z110" s="11">
        <f t="shared" si="75"/>
        <v>7.5643566251612782E-2</v>
      </c>
      <c r="AA110" s="11">
        <f t="shared" si="79"/>
        <v>6.0956362284925986E-2</v>
      </c>
      <c r="AB110" s="11">
        <f t="shared" si="80"/>
        <v>5.3073867361149302E-2</v>
      </c>
      <c r="AE110" s="59">
        <f>IFERROR(C110*$B110/$A110,NA())</f>
        <v>3.5363415606964807E-2</v>
      </c>
      <c r="AF110" s="61">
        <f>IFERROR(D110*$B110/$A110,NA())</f>
        <v>7.5759522288521173E-3</v>
      </c>
      <c r="AG110" s="109">
        <f t="shared" si="103"/>
        <v>0</v>
      </c>
      <c r="AH110" s="59">
        <f>IFERROR(F110*$B110/$A110,NA())</f>
        <v>3.3285734095398742E-2</v>
      </c>
      <c r="AI110" s="61">
        <f>IFERROR(G110*$B110/$A110,NA())</f>
        <v>7.3486378475413842E-3</v>
      </c>
      <c r="AJ110" s="109">
        <f t="shared" ref="AJ110" si="111">IFERROR(H110*$B110/$A110,NA())</f>
        <v>0</v>
      </c>
      <c r="AK110" s="59">
        <f t="shared" ref="AK110" si="112">IFERROR(I110*$B110/$A110,NA())</f>
        <v>2.0225217647513626E-2</v>
      </c>
      <c r="AL110" s="57">
        <f>IFERROR(J$6*$K$3/$K$2, NA())</f>
        <v>1.8522531094211297E-2</v>
      </c>
      <c r="AM110" s="99">
        <f t="shared" si="89"/>
        <v>3.6498975103065621E-2</v>
      </c>
      <c r="AN110" s="99">
        <f t="shared" si="90"/>
        <v>3.6498975103065621E-2</v>
      </c>
      <c r="AO110" s="99">
        <f t="shared" si="91"/>
        <v>2.5549282572145934E-2</v>
      </c>
      <c r="AP110" s="59">
        <f t="shared" si="92"/>
        <v>2.906745885725159E-2</v>
      </c>
      <c r="AQ110" s="57">
        <f t="shared" si="93"/>
        <v>1.8522531094211297E-2</v>
      </c>
      <c r="AR110" s="61">
        <f t="shared" si="94"/>
        <v>4.2229179907242011E-3</v>
      </c>
      <c r="AS110" s="59">
        <f t="shared" si="95"/>
        <v>3.3285734095398742E-2</v>
      </c>
      <c r="AT110" s="57">
        <f t="shared" si="96"/>
        <v>7.6041351708539626E-3</v>
      </c>
      <c r="AU110" s="61">
        <f t="shared" si="97"/>
        <v>4.2229179907242011E-3</v>
      </c>
      <c r="AW110">
        <f t="shared" si="104"/>
        <v>100</v>
      </c>
      <c r="AX110" s="11">
        <f t="shared" si="105"/>
        <v>4.2939367835816922E-2</v>
      </c>
      <c r="AY110" s="11">
        <f t="shared" si="106"/>
        <v>4.0634371942940124E-2</v>
      </c>
      <c r="AZ110" s="11">
        <f t="shared" si="98"/>
        <v>7.5246723844790545E-2</v>
      </c>
      <c r="BA110" s="11">
        <f t="shared" si="99"/>
        <v>7.5246723844790545E-2</v>
      </c>
      <c r="BB110" s="11">
        <f t="shared" si="100"/>
        <v>6.429703131387085E-2</v>
      </c>
      <c r="BC110" s="11">
        <f t="shared" si="101"/>
        <v>5.1812907942187091E-2</v>
      </c>
      <c r="BD110" s="11">
        <f t="shared" si="102"/>
        <v>4.5112787256976906E-2</v>
      </c>
    </row>
  </sheetData>
  <mergeCells count="2">
    <mergeCell ref="B5:AB5"/>
    <mergeCell ref="AD5:BD5"/>
  </mergeCells>
  <pageMargins left="0.7" right="0.7" top="0.75" bottom="0.75" header="0.3" footer="0.3"/>
  <pageSetup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5BAB1-DE66-4236-8BAF-E17DC0E1B8D1}">
  <dimension ref="A1:BK83"/>
  <sheetViews>
    <sheetView zoomScale="60" zoomScaleNormal="60" workbookViewId="0">
      <pane xSplit="1" ySplit="6" topLeftCell="H7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AC6" sqref="AC6"/>
    </sheetView>
  </sheetViews>
  <sheetFormatPr defaultRowHeight="15" x14ac:dyDescent="0.25"/>
  <cols>
    <col min="2" max="2" width="9.140625" style="73"/>
    <col min="3" max="5" width="9.140625" style="73" customWidth="1"/>
    <col min="9" max="10" width="9.140625" style="73"/>
    <col min="12" max="17" width="9.140625" style="5"/>
    <col min="21" max="21" width="9.140625" style="20"/>
    <col min="23" max="24" width="9.140625" style="20"/>
    <col min="27" max="27" width="9.140625" style="73"/>
    <col min="31" max="31" width="9.140625" style="73"/>
    <col min="35" max="42" width="9.140625" style="73"/>
    <col min="43" max="43" width="9.140625" style="73" customWidth="1"/>
    <col min="44" max="51" width="9.140625" style="73"/>
    <col min="53" max="53" width="9.140625" style="73"/>
    <col min="54" max="55" width="9.140625" style="20"/>
    <col min="56" max="62" width="9.140625" style="73"/>
  </cols>
  <sheetData>
    <row r="1" spans="1:63" x14ac:dyDescent="0.25">
      <c r="L1"/>
      <c r="M1" s="73"/>
      <c r="N1" s="73"/>
      <c r="O1"/>
      <c r="P1" s="73"/>
      <c r="Q1" s="73"/>
      <c r="U1" s="135" t="s">
        <v>314</v>
      </c>
      <c r="V1" s="135"/>
      <c r="W1" s="135"/>
      <c r="X1" s="135"/>
      <c r="Y1" s="135"/>
      <c r="BG1" s="13" t="s">
        <v>244</v>
      </c>
      <c r="BH1" s="6">
        <v>45</v>
      </c>
    </row>
    <row r="2" spans="1:63" x14ac:dyDescent="0.25">
      <c r="L2"/>
      <c r="M2" s="73"/>
      <c r="N2" s="73"/>
      <c r="O2"/>
      <c r="P2" s="73"/>
      <c r="Q2" s="73"/>
      <c r="T2" s="73"/>
      <c r="U2" s="136"/>
      <c r="V2" s="137"/>
      <c r="W2" s="136"/>
      <c r="X2" s="136"/>
      <c r="Y2" s="137"/>
      <c r="BG2" s="13" t="s">
        <v>245</v>
      </c>
      <c r="BH2" s="73">
        <f>BH1+geb_deeln-geb_partner</f>
        <v>45</v>
      </c>
      <c r="BK2" s="73"/>
    </row>
    <row r="3" spans="1:63" x14ac:dyDescent="0.25">
      <c r="L3"/>
      <c r="M3" s="73"/>
      <c r="N3" s="73"/>
      <c r="O3"/>
      <c r="P3" s="73"/>
      <c r="Q3" s="73"/>
      <c r="BG3" s="13" t="s">
        <v>246</v>
      </c>
      <c r="BH3" s="73">
        <f>MATCH(BH1,A7:A102,0)</f>
        <v>21</v>
      </c>
      <c r="BK3" s="73"/>
    </row>
    <row r="4" spans="1:63" x14ac:dyDescent="0.25">
      <c r="L4"/>
      <c r="M4" s="73"/>
      <c r="N4" s="73"/>
      <c r="O4"/>
      <c r="P4" s="73"/>
      <c r="Q4" s="73"/>
      <c r="AB4" s="110"/>
      <c r="BG4" s="84" t="s">
        <v>247</v>
      </c>
      <c r="BH4" s="3">
        <f>MATCH(AOWlftd, C7:C102, 0)</f>
        <v>44</v>
      </c>
      <c r="BK4" s="73"/>
    </row>
    <row r="5" spans="1:63" x14ac:dyDescent="0.25">
      <c r="M5" s="160" t="s">
        <v>174</v>
      </c>
      <c r="N5" s="160"/>
      <c r="O5" s="160"/>
      <c r="P5" s="160"/>
      <c r="Q5" s="160"/>
      <c r="R5" s="160"/>
      <c r="S5" s="160"/>
      <c r="T5" s="37"/>
      <c r="U5" s="159" t="s">
        <v>234</v>
      </c>
      <c r="V5" s="159"/>
      <c r="W5" s="159"/>
      <c r="X5" s="159"/>
      <c r="Y5" s="159"/>
      <c r="Z5" s="40"/>
      <c r="AA5" s="40"/>
      <c r="AB5" s="159" t="s">
        <v>238</v>
      </c>
      <c r="AC5" s="159"/>
      <c r="AD5" s="159"/>
      <c r="AE5" s="159"/>
      <c r="AF5" s="159"/>
      <c r="AG5" s="159"/>
      <c r="AJ5" s="157" t="s">
        <v>243</v>
      </c>
      <c r="AK5" s="157"/>
      <c r="AL5" s="157"/>
      <c r="AM5" s="157"/>
      <c r="AN5" s="157"/>
      <c r="AO5" s="157"/>
      <c r="AS5" s="157" t="s">
        <v>239</v>
      </c>
      <c r="AT5" s="157"/>
      <c r="AU5" s="157"/>
      <c r="AV5" s="157"/>
      <c r="AW5" s="157"/>
      <c r="AX5" s="157"/>
      <c r="AY5" s="33"/>
      <c r="BB5" s="85" t="str">
        <f xml:space="preserve"> "Ontwikkeling NP-uitkering na overlijden op " &amp; BH1 &amp; "-jarige leeftijd"</f>
        <v>Ontwikkeling NP-uitkering na overlijden op 45-jarige leeftijd</v>
      </c>
      <c r="BF5" s="73">
        <v>1</v>
      </c>
      <c r="BG5" s="73">
        <v>2</v>
      </c>
      <c r="BH5" s="73">
        <v>3</v>
      </c>
      <c r="BI5" s="73">
        <v>4</v>
      </c>
      <c r="BJ5" s="73">
        <v>5</v>
      </c>
    </row>
    <row r="6" spans="1:63" s="3" customFormat="1" x14ac:dyDescent="0.25">
      <c r="A6" s="3" t="s">
        <v>226</v>
      </c>
      <c r="C6" s="3" t="s">
        <v>208</v>
      </c>
      <c r="F6" s="3" t="s">
        <v>136</v>
      </c>
      <c r="G6" s="3" t="s">
        <v>229</v>
      </c>
      <c r="H6" s="3" t="s">
        <v>294</v>
      </c>
      <c r="I6" s="3" t="s">
        <v>295</v>
      </c>
      <c r="J6" s="3" t="s">
        <v>296</v>
      </c>
      <c r="K6" s="3" t="s">
        <v>22</v>
      </c>
      <c r="M6" s="43" t="s">
        <v>178</v>
      </c>
      <c r="N6" s="3" t="s">
        <v>317</v>
      </c>
      <c r="O6" s="18" t="s">
        <v>137</v>
      </c>
      <c r="P6" s="18" t="str">
        <f xml:space="preserve"> "MvT, x" &amp; Settings!I8</f>
        <v>MvT, x0</v>
      </c>
      <c r="Q6" s="18" t="s">
        <v>315</v>
      </c>
      <c r="R6" s="18" t="s">
        <v>325</v>
      </c>
      <c r="S6" s="3" t="s">
        <v>322</v>
      </c>
      <c r="U6" s="43" t="s">
        <v>178</v>
      </c>
      <c r="V6" s="3" t="s">
        <v>317</v>
      </c>
      <c r="W6" s="3" t="s">
        <v>137</v>
      </c>
      <c r="X6" s="35" t="s">
        <v>325</v>
      </c>
      <c r="Y6" s="35" t="s">
        <v>322</v>
      </c>
      <c r="Z6" s="35"/>
      <c r="AA6" s="20" t="str">
        <f>$A6</f>
        <v>leeftijd deelnemer</v>
      </c>
      <c r="AB6" s="43" t="s">
        <v>178</v>
      </c>
      <c r="AC6" s="41" t="s">
        <v>317</v>
      </c>
      <c r="AD6" s="35" t="str">
        <f xml:space="preserve"> O6</f>
        <v>MvT</v>
      </c>
      <c r="AE6" s="35" t="str">
        <f xml:space="preserve"> Q6</f>
        <v>MvT met overbrugging</v>
      </c>
      <c r="AF6" s="35" t="s">
        <v>325</v>
      </c>
      <c r="AG6" s="35" t="s">
        <v>322</v>
      </c>
      <c r="AI6" s="3" t="s">
        <v>269</v>
      </c>
      <c r="AJ6" s="3" t="str">
        <f t="shared" ref="AJ6:AO6" si="0">AB6</f>
        <v>Huidig (degr.)</v>
      </c>
      <c r="AK6" s="3" t="str">
        <f t="shared" si="0"/>
        <v>Uitkeringsregeling (DSS)</v>
      </c>
      <c r="AL6" s="3" t="str">
        <f t="shared" si="0"/>
        <v>MvT</v>
      </c>
      <c r="AM6" s="3" t="str">
        <f t="shared" si="0"/>
        <v>MvT met overbrugging</v>
      </c>
      <c r="AN6" s="3" t="str">
        <f t="shared" si="0"/>
        <v>Uitkeringsknip</v>
      </c>
      <c r="AO6" s="3" t="str">
        <f t="shared" si="0"/>
        <v>Saldomethode</v>
      </c>
      <c r="AQ6" s="20" t="str">
        <f>$A6</f>
        <v>leeftijd deelnemer</v>
      </c>
      <c r="AR6" s="20" t="s">
        <v>262</v>
      </c>
      <c r="AS6" s="18" t="str">
        <f t="shared" ref="AS6:AX6" si="1">AB6</f>
        <v>Huidig (degr.)</v>
      </c>
      <c r="AT6" s="18" t="str">
        <f t="shared" si="1"/>
        <v>Uitkeringsregeling (DSS)</v>
      </c>
      <c r="AU6" s="3" t="str">
        <f t="shared" si="1"/>
        <v>MvT</v>
      </c>
      <c r="AV6" s="3" t="str">
        <f t="shared" si="1"/>
        <v>MvT met overbrugging</v>
      </c>
      <c r="AW6" s="3" t="str">
        <f t="shared" si="1"/>
        <v>Uitkeringsknip</v>
      </c>
      <c r="AX6" s="3" t="str">
        <f t="shared" si="1"/>
        <v>Saldomethode</v>
      </c>
      <c r="AZ6" s="12" t="s">
        <v>135</v>
      </c>
      <c r="BA6" s="12"/>
      <c r="BB6" s="49" t="s">
        <v>250</v>
      </c>
      <c r="BC6" s="49" t="s">
        <v>226</v>
      </c>
      <c r="BD6" s="12" t="s">
        <v>208</v>
      </c>
      <c r="BE6" s="12" t="s">
        <v>249</v>
      </c>
      <c r="BF6" s="12" t="str">
        <f>AB6</f>
        <v>Huidig (degr.)</v>
      </c>
      <c r="BG6" s="12" t="str">
        <f>AC6</f>
        <v>Uitkeringsregeling (DSS)</v>
      </c>
      <c r="BH6" s="12" t="str">
        <f>AD6</f>
        <v>MvT</v>
      </c>
      <c r="BI6" s="12" t="str">
        <f>AF6</f>
        <v>Uitkeringsknip</v>
      </c>
      <c r="BJ6" s="12" t="str">
        <f>AG6</f>
        <v>Saldomethode</v>
      </c>
    </row>
    <row r="7" spans="1:63" x14ac:dyDescent="0.25">
      <c r="A7">
        <f>Grondslag!A2</f>
        <v>25</v>
      </c>
      <c r="C7" s="73">
        <f t="shared" ref="C7:C38" si="2">A7+(geb_deeln-geb_partner)</f>
        <v>25</v>
      </c>
      <c r="F7">
        <f>OPperjr*Grondslag!S2</f>
        <v>0.58139534883720934</v>
      </c>
      <c r="G7" cm="1">
        <f t="array" ref="G7">G8*(1+reele_index_opb)</f>
        <v>1</v>
      </c>
      <c r="H7" s="73">
        <f>SUMPRODUCT(F$7:F7, G$7:G7)/G7</f>
        <v>0.58139534883720934</v>
      </c>
      <c r="I7" s="18">
        <f xml:space="preserve"> Premie_leeftijd!Y6* Premie_leeftijd!AK6* Premie_leeftijd!AL6 /Settings!$O$10</f>
        <v>0.66680939534224071</v>
      </c>
      <c r="J7" s="18"/>
      <c r="K7">
        <f>(1+K8)/(1+0)</f>
        <v>42</v>
      </c>
      <c r="L7"/>
      <c r="M7" s="73">
        <f t="shared" ref="M7:N26" si="3">volledigAnw/1000</f>
        <v>0</v>
      </c>
      <c r="N7" s="73">
        <f t="shared" si="3"/>
        <v>0</v>
      </c>
      <c r="O7" s="18">
        <f>Settings!$I$3*Grondslag!J2</f>
        <v>25</v>
      </c>
      <c r="P7" s="18">
        <f>Settings!$I$7*MAX(Grondslag!J2 - x*voltijdfranchise/1000*(Premie_leeftijd!T6=0),0)</f>
        <v>25</v>
      </c>
      <c r="Q7" s="18">
        <f>Settings!$I$7*MAX(Grondslag!J2 - voltijdfranchise/1000*(Premie_leeftijd!T6=0),0)</f>
        <v>17.5</v>
      </c>
      <c r="R7" s="36">
        <f>Settings!$I$3*Grondslag!J2*(1-Premie_leeftijd!R6)</f>
        <v>25</v>
      </c>
      <c r="S7">
        <f>MAX(R7-Y7,0)</f>
        <v>24.53323342326043</v>
      </c>
      <c r="U7" s="20" cm="1">
        <f t="array" ref="U7">SUMPRODUCT(Premie_leeftijd!AL$6:AL6, 1/Premie_leeftijd!AJ$6:AJ6, Premie_leeftijd!Y$6:Y6, G$7:G7)/G7 + Premie_leeftijd!AN7* Premie_leeftijd!Y7</f>
        <v>17.500000000000004</v>
      </c>
      <c r="V7" s="73">
        <f t="shared" ref="V7:V49" si="4">NP_OP*(H7+K7*F7)</f>
        <v>17.5</v>
      </c>
      <c r="W7" s="31">
        <f>Premie_leeftijd!$Y6*Premie_leeftijd!CG6/Premie_leeftijd!CE6</f>
        <v>0.57299892710066491</v>
      </c>
      <c r="X7" s="31">
        <f>Premie_leeftijd!$Y6*Premie_leeftijd!BY6/Premie_leeftijd!BW6</f>
        <v>0.52575620148699376</v>
      </c>
      <c r="Y7" s="20">
        <f>Premie_leeftijd!AL6*Premie_leeftijd!$Y6/Premie_leeftijd!AJ6</f>
        <v>0.4667665767395684</v>
      </c>
      <c r="Z7" s="20"/>
      <c r="AA7" s="20">
        <f>$A7</f>
        <v>25</v>
      </c>
      <c r="AB7" s="41">
        <f t="shared" ref="AB7:AB38" si="5">U7 + ($C7&lt;AOWlftd)*volledigAnw/1000</f>
        <v>17.500000000000004</v>
      </c>
      <c r="AC7" s="41">
        <f t="shared" ref="AC7:AC38" si="6">V7 + ($C7&lt;AOWlftd)*volledigAnw/1000</f>
        <v>17.5</v>
      </c>
      <c r="AD7" s="20">
        <f>IF($A7&gt;=AOWlftd, $W7, IF( $C7&lt;AOWlftd, $O7, P7))</f>
        <v>25</v>
      </c>
      <c r="AE7" s="20">
        <f t="shared" ref="AE7:AE38" si="7">IF($A7&gt;=AOWlftd, $W7, IF( $C7&lt;AOWlftd, $O7, Q7))</f>
        <v>25</v>
      </c>
      <c r="AF7" s="20">
        <f t="shared" ref="AF7:AF49" si="8">R7</f>
        <v>25</v>
      </c>
      <c r="AG7" s="20">
        <f t="shared" ref="AG7:AG38" si="9">S7+Y7</f>
        <v>25</v>
      </c>
      <c r="AI7" s="73">
        <f t="shared" ref="AI7:AI38" si="10">MAX(0, AOWlftd-$C7-1)</f>
        <v>42</v>
      </c>
      <c r="AJ7" s="73">
        <f t="shared" ref="AJ7:AJ38" si="11">U7*(1+reele_index_opb)^$AI7 + ($C7&lt;AOWlftd)*volledigAnw/1000*(1+reele_index_ris)^$AI7</f>
        <v>17.500000000000004</v>
      </c>
      <c r="AK7" s="73">
        <f t="shared" ref="AK7:AK38" si="12">V7*(1+reele_index_opb)^$AI7 + ($C7&lt;AOWlftd)*volledigAnw/1000*(1+reele_index_ris)^$AI7</f>
        <v>17.5</v>
      </c>
      <c r="AL7" s="73">
        <f t="shared" ref="AL7:AL38" si="13">IF($A7&gt;=AOWlftd, $W7 *(1+reele_index_opb)^$AI7, AD7*(1+ reele_index_ris)^$AI7 )</f>
        <v>25</v>
      </c>
      <c r="AM7" s="73">
        <f t="shared" ref="AM7:AM38" si="14">IF($A7&gt;=AOWlftd, $W7 *(1+reele_index_opb)^$AI7, AE7*(1+ reele_index_ris)^$AI7 )</f>
        <v>25</v>
      </c>
      <c r="AN7" s="73">
        <f t="shared" ref="AN7:AN38" si="15">AF7*(1+IF($A7&lt;AOWlftd,reele_index_ris,reele_index_opb))^$AI7</f>
        <v>25</v>
      </c>
      <c r="AO7" s="73">
        <f t="shared" ref="AO7:AO38" si="16">AG7*(1+IF($A7&lt;AOWlftd,reele_index_ris,reele_index_opb))^$AI7</f>
        <v>25</v>
      </c>
      <c r="AQ7" s="20">
        <f>$A7</f>
        <v>25</v>
      </c>
      <c r="AR7" s="20">
        <f t="shared" ref="AR7:AR38" si="17">MAX(0, AOWlftd-$C7)</f>
        <v>43</v>
      </c>
      <c r="AS7" s="18">
        <f t="shared" ref="AS7:AS38" si="18">U7*(1+reele_index_opb)^$AR7</f>
        <v>17.500000000000004</v>
      </c>
      <c r="AT7" s="18">
        <f t="shared" ref="AT7:AT38" si="19">V7*(1+reele_index_opb)^$AR7</f>
        <v>17.5</v>
      </c>
      <c r="AU7" s="73">
        <f t="shared" ref="AU7:AU38" si="20">IF($A7&gt;=AOWlftd, $W7*(1+reele_index_opb)^$AR7, P7*(1+reele_index_ris)^$AR7)</f>
        <v>25</v>
      </c>
      <c r="AV7" s="73">
        <f t="shared" ref="AV7:AV38" si="21">IF($A7&gt;=AOWlftd, $W7*(1+reele_index_opb)^$AR7, Q7*(1+reele_index_ris)^$AR7)</f>
        <v>17.5</v>
      </c>
      <c r="AW7" s="18">
        <f>AS7</f>
        <v>17.500000000000004</v>
      </c>
      <c r="AX7" s="18">
        <f>AS7</f>
        <v>17.500000000000004</v>
      </c>
      <c r="AZ7" s="5">
        <f>Premie_leeftijd!J6</f>
        <v>6.0013541517056623E-4</v>
      </c>
      <c r="BA7" s="5"/>
      <c r="BB7" s="54">
        <v>0</v>
      </c>
      <c r="BC7" s="54">
        <f t="shared" ref="BC7:BC38" si="22">$BH$1+BB7</f>
        <v>45</v>
      </c>
      <c r="BD7" s="54">
        <f t="shared" ref="BD7:BD38" si="23">$BH$2+BB7</f>
        <v>45</v>
      </c>
      <c r="BE7" s="54" t="b">
        <f>BD7=AOWlftd</f>
        <v>0</v>
      </c>
      <c r="BF7" s="54">
        <f t="shared" ref="BF7:BF38" si="24" xml:space="preserve"> IF(OR($BC7=$BH$1, $BD7=AOWlftd), VLOOKUP($BH$1, IF($BE7, $AQ$7:$AX$82, $AA$7:$AG$82), 2+BF$5, FALSE), BF6*(1+reele_index_opb))</f>
        <v>17.499999999999996</v>
      </c>
      <c r="BG7" s="54">
        <f t="shared" ref="BG7:BG38" si="25" xml:space="preserve"> IF(OR($BC7=$BH$1, $BD7=AOWlftd), VLOOKUP($BH$1, IF($BE7, $AQ$7:$AX$82, $AA$7:$AG$82), 2+BG$5, FALSE), BG6*(1+reele_index_opb))</f>
        <v>25</v>
      </c>
      <c r="BH7" s="54">
        <f t="shared" ref="BH7:BH38" si="26" xml:space="preserve"> IF(OR($BC7=$BH$1, $BD7=AOWlftd), VLOOKUP($BH$1, IF($BE7, $AQ$7:$AX$82, $AA$7:$AG$82), 2+BH$5, FALSE), BH6*(1+reele_index_opb))</f>
        <v>25</v>
      </c>
      <c r="BI7" s="54">
        <f t="shared" ref="BI7:BI38" si="27" xml:space="preserve"> IF(OR($BC7=$BH$1, $BD7=AOWlftd), VLOOKUP($BH$1, IF($BE7, $AQ$7:$AX$82, $AA$7:$AG$82), 2+BI$5, FALSE), BI6*(1+reele_index_opb))</f>
        <v>25</v>
      </c>
      <c r="BJ7" s="54">
        <f t="shared" ref="BJ7:BJ38" si="28" xml:space="preserve"> IF(OR($BC7=$BH$1, $BD7=AOWlftd), VLOOKUP($BH$1, IF($BE7, $AQ$7:$AX$82, $AA$7:$AG$82), 2+BJ$5, FALSE), BJ6*(1+reele_index_opb))</f>
        <v>25</v>
      </c>
    </row>
    <row r="8" spans="1:63" x14ac:dyDescent="0.25">
      <c r="A8">
        <f>Grondslag!A3</f>
        <v>26</v>
      </c>
      <c r="C8" s="73">
        <f t="shared" si="2"/>
        <v>26</v>
      </c>
      <c r="F8">
        <f>OPperjr*Grondslag!S3</f>
        <v>0.58139534883720934</v>
      </c>
      <c r="G8" s="73" cm="1">
        <f t="array" ref="G8">G9*(1+reele_index_opb)</f>
        <v>1</v>
      </c>
      <c r="H8" s="73">
        <f>SUMPRODUCT(F$7:F8, G$7:G8)/G8</f>
        <v>1.1627906976744187</v>
      </c>
      <c r="I8" s="18">
        <f>I7*(1+reele_index_opb)+ Premie_leeftijd!Y7* Premie_leeftijd!AK7* Premie_leeftijd!AL7 /Settings!$O$10</f>
        <v>1.3283496327073849</v>
      </c>
      <c r="J8" s="18"/>
      <c r="K8">
        <f>(1+K9)/(1+Settings!I$10)</f>
        <v>41</v>
      </c>
      <c r="L8"/>
      <c r="M8" s="73">
        <f t="shared" si="3"/>
        <v>0</v>
      </c>
      <c r="N8" s="73">
        <f t="shared" si="3"/>
        <v>0</v>
      </c>
      <c r="O8" s="18">
        <f>Settings!$I$3*Grondslag!J3</f>
        <v>25</v>
      </c>
      <c r="P8" s="18">
        <f>Settings!$I$7*MAX(Grondslag!J3 - x*voltijdfranchise/1000*(Premie_leeftijd!T7=0),0)</f>
        <v>25</v>
      </c>
      <c r="Q8" s="18">
        <f>Settings!$I$7*MAX(Grondslag!J3 - voltijdfranchise/1000*(Premie_leeftijd!T7=0),0)</f>
        <v>17.5</v>
      </c>
      <c r="R8" s="18">
        <f>Settings!$I$3*Grondslag!J3*(1-Premie_leeftijd!R7)</f>
        <v>25</v>
      </c>
      <c r="S8" s="73">
        <f t="shared" ref="S8:S71" si="29">MAX(R8-Y8,0)</f>
        <v>24.07015525710483</v>
      </c>
      <c r="U8" s="20" cm="1">
        <f t="array" ref="U8">SUMPRODUCT(Premie_leeftijd!AL$6:AL7, 1/Premie_leeftijd!AJ$6:AJ7, Premie_leeftijd!Y$6:Y7, G$7:G8)/G8 + Premie_leeftijd!AN8* Premie_leeftijd!Y8</f>
        <v>17.500000000000004</v>
      </c>
      <c r="V8" s="73">
        <f t="shared" si="4"/>
        <v>17.5</v>
      </c>
      <c r="W8" s="42" cm="1">
        <f t="array" ref="W8">Premie_leeftijd!$Y7*Premie_leeftijd!CG7/Premie_leeftijd!CE7 + W7*(1+reele_index_opb)</f>
        <v>1.1367917498965299</v>
      </c>
      <c r="X8" s="31" cm="1">
        <f t="array" ref="X8">Premie_leeftijd!$Y7*Premie_leeftijd!BY7/Premie_leeftijd!BW7 + X7*(1+reele_index_opb)</f>
        <v>1.0442336114664297</v>
      </c>
      <c r="Y8" s="20" cm="1">
        <f t="array" ref="Y8">Premie_leeftijd!AL7*Premie_leeftijd!$Y7/Premie_leeftijd!AJ7 + Y7*(1+reele_index_opb)</f>
        <v>0.92984474289516927</v>
      </c>
      <c r="Z8" s="20"/>
      <c r="AA8" s="20">
        <f t="shared" ref="AA8:AA71" si="30">$A8</f>
        <v>26</v>
      </c>
      <c r="AB8" s="41">
        <f t="shared" si="5"/>
        <v>17.500000000000004</v>
      </c>
      <c r="AC8" s="41">
        <f t="shared" si="6"/>
        <v>17.5</v>
      </c>
      <c r="AD8" s="20">
        <f t="shared" ref="AD8:AD38" si="31">IF($A8&gt;=AOWlftd, $W8, IF( $C8&lt;AOWlftd, $O8, P8))</f>
        <v>25</v>
      </c>
      <c r="AE8" s="20">
        <f t="shared" si="7"/>
        <v>25</v>
      </c>
      <c r="AF8" s="20">
        <f t="shared" si="8"/>
        <v>25</v>
      </c>
      <c r="AG8" s="20">
        <f t="shared" si="9"/>
        <v>25</v>
      </c>
      <c r="AI8" s="73">
        <f t="shared" si="10"/>
        <v>41</v>
      </c>
      <c r="AJ8" s="73">
        <f t="shared" si="11"/>
        <v>17.500000000000004</v>
      </c>
      <c r="AK8" s="73">
        <f t="shared" si="12"/>
        <v>17.5</v>
      </c>
      <c r="AL8" s="73">
        <f t="shared" si="13"/>
        <v>25</v>
      </c>
      <c r="AM8" s="73">
        <f t="shared" si="14"/>
        <v>25</v>
      </c>
      <c r="AN8" s="73">
        <f t="shared" si="15"/>
        <v>25</v>
      </c>
      <c r="AO8" s="73">
        <f t="shared" si="16"/>
        <v>25</v>
      </c>
      <c r="AQ8" s="20">
        <f t="shared" ref="AQ8:AQ71" si="32">$A8</f>
        <v>26</v>
      </c>
      <c r="AR8" s="20">
        <f t="shared" si="17"/>
        <v>42</v>
      </c>
      <c r="AS8" s="18">
        <f t="shared" si="18"/>
        <v>17.500000000000004</v>
      </c>
      <c r="AT8" s="18">
        <f t="shared" si="19"/>
        <v>17.5</v>
      </c>
      <c r="AU8" s="73">
        <f t="shared" si="20"/>
        <v>25</v>
      </c>
      <c r="AV8" s="73">
        <f t="shared" si="21"/>
        <v>17.5</v>
      </c>
      <c r="AW8" s="18">
        <f t="shared" ref="AW8:AW71" si="33">AS8</f>
        <v>17.500000000000004</v>
      </c>
      <c r="AX8" s="18">
        <f t="shared" ref="AX8:AX71" si="34">AS8</f>
        <v>17.500000000000004</v>
      </c>
      <c r="AZ8" s="5">
        <f>Premie_leeftijd!J7</f>
        <v>5.2382639776915596E-4</v>
      </c>
      <c r="BA8" s="5"/>
      <c r="BB8" s="54">
        <v>1</v>
      </c>
      <c r="BC8" s="54">
        <f t="shared" si="22"/>
        <v>46</v>
      </c>
      <c r="BD8" s="54">
        <f t="shared" si="23"/>
        <v>46</v>
      </c>
      <c r="BE8" s="54" t="b">
        <f t="shared" ref="BE8:BE39" si="35">BD8&gt;=AOWlftd</f>
        <v>0</v>
      </c>
      <c r="BF8" s="54">
        <f t="shared" si="24"/>
        <v>17.499999999999996</v>
      </c>
      <c r="BG8" s="54">
        <f t="shared" si="25"/>
        <v>25</v>
      </c>
      <c r="BH8" s="54">
        <f t="shared" si="26"/>
        <v>25</v>
      </c>
      <c r="BI8" s="54">
        <f t="shared" si="27"/>
        <v>25</v>
      </c>
      <c r="BJ8" s="54">
        <f t="shared" si="28"/>
        <v>25</v>
      </c>
    </row>
    <row r="9" spans="1:63" x14ac:dyDescent="0.25">
      <c r="A9">
        <f>Grondslag!A4</f>
        <v>27</v>
      </c>
      <c r="C9" s="73">
        <f t="shared" si="2"/>
        <v>27</v>
      </c>
      <c r="F9">
        <f>OPperjr*Grondslag!S4</f>
        <v>0.58139534883720934</v>
      </c>
      <c r="G9" s="73" cm="1">
        <f t="array" ref="G9">G10*(1+reele_index_opb)</f>
        <v>1</v>
      </c>
      <c r="H9" s="73">
        <f>SUMPRODUCT(F$7:F9, G$7:G9)/G9</f>
        <v>1.7441860465116279</v>
      </c>
      <c r="I9" s="18">
        <f>I8*(1+reele_index_opb)+ Premie_leeftijd!Y8* Premie_leeftijd!AK8* Premie_leeftijd!AL8 /Settings!$O$10</f>
        <v>1.9839160289615385</v>
      </c>
      <c r="J9" s="18"/>
      <c r="K9">
        <f>(1+K10)/(1+Settings!I$10)</f>
        <v>40</v>
      </c>
      <c r="L9"/>
      <c r="M9" s="73">
        <f t="shared" si="3"/>
        <v>0</v>
      </c>
      <c r="N9" s="73">
        <f t="shared" si="3"/>
        <v>0</v>
      </c>
      <c r="O9" s="18">
        <f>Settings!$I$3*Grondslag!J4</f>
        <v>25</v>
      </c>
      <c r="P9" s="18">
        <f>Settings!$I$7*MAX(Grondslag!J4 - x*voltijdfranchise/1000*(Premie_leeftijd!T8=0),0)</f>
        <v>25</v>
      </c>
      <c r="Q9" s="18">
        <f>Settings!$I$7*MAX(Grondslag!J4 - voltijdfranchise/1000*(Premie_leeftijd!T8=0),0)</f>
        <v>17.5</v>
      </c>
      <c r="R9" s="18">
        <f>Settings!$I$3*Grondslag!J4*(1-Premie_leeftijd!R8)</f>
        <v>25</v>
      </c>
      <c r="S9" s="73">
        <f t="shared" si="29"/>
        <v>23.611258779726924</v>
      </c>
      <c r="U9" s="20" cm="1">
        <f t="array" ref="U9">SUMPRODUCT(Premie_leeftijd!AL$6:AL8, 1/Premie_leeftijd!AJ$6:AJ8, Premie_leeftijd!Y$6:Y8, G$7:G9)/G9 + Premie_leeftijd!AN9* Premie_leeftijd!Y9</f>
        <v>17.5</v>
      </c>
      <c r="V9" s="73">
        <f t="shared" si="4"/>
        <v>17.5</v>
      </c>
      <c r="W9" s="42" cm="1">
        <f t="array" ref="W9">Premie_leeftijd!$Y8*Premie_leeftijd!CG8/Premie_leeftijd!CE8 + W8*(1+reele_index_opb)</f>
        <v>1.691591597076068</v>
      </c>
      <c r="X9" s="31" cm="1">
        <f t="array" ref="X9">Premie_leeftijd!$Y8*Premie_leeftijd!BY8/Premie_leeftijd!BW8 + X8*(1+reele_index_opb)</f>
        <v>1.5554278662368288</v>
      </c>
      <c r="Y9" s="20" cm="1">
        <f t="array" ref="Y9">Premie_leeftijd!AL8*Premie_leeftijd!$Y8/Premie_leeftijd!AJ8 + Y8*(1+reele_index_opb)</f>
        <v>1.3887412202730767</v>
      </c>
      <c r="Z9" s="20"/>
      <c r="AA9" s="20">
        <f t="shared" si="30"/>
        <v>27</v>
      </c>
      <c r="AB9" s="41">
        <f t="shared" si="5"/>
        <v>17.5</v>
      </c>
      <c r="AC9" s="41">
        <f t="shared" si="6"/>
        <v>17.5</v>
      </c>
      <c r="AD9" s="20">
        <f t="shared" si="31"/>
        <v>25</v>
      </c>
      <c r="AE9" s="20">
        <f t="shared" si="7"/>
        <v>25</v>
      </c>
      <c r="AF9" s="20">
        <f t="shared" si="8"/>
        <v>25</v>
      </c>
      <c r="AG9" s="20">
        <f t="shared" si="9"/>
        <v>25</v>
      </c>
      <c r="AI9" s="73">
        <f t="shared" si="10"/>
        <v>40</v>
      </c>
      <c r="AJ9" s="73">
        <f t="shared" si="11"/>
        <v>17.5</v>
      </c>
      <c r="AK9" s="73">
        <f t="shared" si="12"/>
        <v>17.5</v>
      </c>
      <c r="AL9" s="73">
        <f t="shared" si="13"/>
        <v>25</v>
      </c>
      <c r="AM9" s="73">
        <f t="shared" si="14"/>
        <v>25</v>
      </c>
      <c r="AN9" s="73">
        <f t="shared" si="15"/>
        <v>25</v>
      </c>
      <c r="AO9" s="73">
        <f t="shared" si="16"/>
        <v>25</v>
      </c>
      <c r="AQ9" s="20">
        <f t="shared" si="32"/>
        <v>27</v>
      </c>
      <c r="AR9" s="20">
        <f t="shared" si="17"/>
        <v>41</v>
      </c>
      <c r="AS9" s="18">
        <f t="shared" si="18"/>
        <v>17.5</v>
      </c>
      <c r="AT9" s="18">
        <f t="shared" si="19"/>
        <v>17.5</v>
      </c>
      <c r="AU9" s="73">
        <f t="shared" si="20"/>
        <v>25</v>
      </c>
      <c r="AV9" s="73">
        <f t="shared" si="21"/>
        <v>17.5</v>
      </c>
      <c r="AW9" s="18">
        <f t="shared" si="33"/>
        <v>17.5</v>
      </c>
      <c r="AX9" s="18">
        <f t="shared" si="34"/>
        <v>17.5</v>
      </c>
      <c r="AZ9" s="5">
        <f>Premie_leeftijd!J8</f>
        <v>5.3923305652703313E-4</v>
      </c>
      <c r="BA9" s="5"/>
      <c r="BB9" s="54">
        <v>2</v>
      </c>
      <c r="BC9" s="54">
        <f t="shared" si="22"/>
        <v>47</v>
      </c>
      <c r="BD9" s="54">
        <f t="shared" si="23"/>
        <v>47</v>
      </c>
      <c r="BE9" s="54" t="b">
        <f t="shared" si="35"/>
        <v>0</v>
      </c>
      <c r="BF9" s="54">
        <f t="shared" si="24"/>
        <v>17.499999999999996</v>
      </c>
      <c r="BG9" s="54">
        <f t="shared" si="25"/>
        <v>25</v>
      </c>
      <c r="BH9" s="54">
        <f t="shared" si="26"/>
        <v>25</v>
      </c>
      <c r="BI9" s="54">
        <f t="shared" si="27"/>
        <v>25</v>
      </c>
      <c r="BJ9" s="54">
        <f t="shared" si="28"/>
        <v>25</v>
      </c>
    </row>
    <row r="10" spans="1:63" x14ac:dyDescent="0.25">
      <c r="A10">
        <f>Grondslag!A5</f>
        <v>28</v>
      </c>
      <c r="C10" s="73">
        <f t="shared" si="2"/>
        <v>28</v>
      </c>
      <c r="F10">
        <f>OPperjr*Grondslag!S5</f>
        <v>0.58139534883720934</v>
      </c>
      <c r="G10" s="73" cm="1">
        <f t="array" ref="G10">G11*(1+reele_index_opb)</f>
        <v>1</v>
      </c>
      <c r="H10" s="73">
        <f>SUMPRODUCT(F$7:F10, G$7:G10)/G10</f>
        <v>2.3255813953488373</v>
      </c>
      <c r="I10" s="18">
        <f>I9*(1+reele_index_opb)+ Premie_leeftijd!Y9* Premie_leeftijd!AK9* Premie_leeftijd!AL9 /Settings!$O$10</f>
        <v>2.6336225748683511</v>
      </c>
      <c r="J10" s="18"/>
      <c r="K10">
        <f>(1+K11)/(1+Settings!I$10)</f>
        <v>39</v>
      </c>
      <c r="L10"/>
      <c r="M10" s="73">
        <f t="shared" si="3"/>
        <v>0</v>
      </c>
      <c r="N10" s="73">
        <f t="shared" si="3"/>
        <v>0</v>
      </c>
      <c r="O10" s="18">
        <f>Settings!$I$3*Grondslag!J5</f>
        <v>25</v>
      </c>
      <c r="P10" s="18">
        <f>Settings!$I$7*MAX(Grondslag!J5 - x*voltijdfranchise/1000*(Premie_leeftijd!T9=0),0)</f>
        <v>25</v>
      </c>
      <c r="Q10" s="18">
        <f>Settings!$I$7*MAX(Grondslag!J5 - voltijdfranchise/1000*(Premie_leeftijd!T9=0),0)</f>
        <v>17.5</v>
      </c>
      <c r="R10" s="18">
        <f>Settings!$I$3*Grondslag!J5*(1-Premie_leeftijd!R9)</f>
        <v>25</v>
      </c>
      <c r="S10" s="73">
        <f t="shared" si="29"/>
        <v>23.156464197592154</v>
      </c>
      <c r="U10" s="20" cm="1">
        <f t="array" ref="U10">SUMPRODUCT(Premie_leeftijd!AL$6:AL9, 1/Premie_leeftijd!AJ$6:AJ9, Premie_leeftijd!Y$6:Y9, G$7:G10)/G10 + Premie_leeftijd!AN10* Premie_leeftijd!Y10</f>
        <v>17.5</v>
      </c>
      <c r="V10" s="73">
        <f t="shared" si="4"/>
        <v>17.5</v>
      </c>
      <c r="W10" s="42" cm="1">
        <f t="array" ref="W10">Premie_leeftijd!$Y9*Premie_leeftijd!CG9/Premie_leeftijd!CE9 + W9*(1+reele_index_opb)</f>
        <v>2.237578718891462</v>
      </c>
      <c r="X10" s="31" cm="1">
        <f t="array" ref="X10">Premie_leeftijd!$Y9*Premie_leeftijd!BY9/Premie_leeftijd!BW9 + X9*(1+reele_index_opb)</f>
        <v>2.0594933699207303</v>
      </c>
      <c r="Y10" s="20" cm="1">
        <f t="array" ref="Y10">Premie_leeftijd!AL9*Premie_leeftijd!$Y9/Premie_leeftijd!AJ9 + Y9*(1+reele_index_opb)</f>
        <v>1.8435358024078454</v>
      </c>
      <c r="Z10" s="20"/>
      <c r="AA10" s="20">
        <f t="shared" si="30"/>
        <v>28</v>
      </c>
      <c r="AB10" s="41">
        <f t="shared" si="5"/>
        <v>17.5</v>
      </c>
      <c r="AC10" s="41">
        <f t="shared" si="6"/>
        <v>17.5</v>
      </c>
      <c r="AD10" s="20">
        <f t="shared" si="31"/>
        <v>25</v>
      </c>
      <c r="AE10" s="20">
        <f t="shared" si="7"/>
        <v>25</v>
      </c>
      <c r="AF10" s="20">
        <f t="shared" si="8"/>
        <v>25</v>
      </c>
      <c r="AG10" s="20">
        <f t="shared" si="9"/>
        <v>25</v>
      </c>
      <c r="AI10" s="73">
        <f t="shared" si="10"/>
        <v>39</v>
      </c>
      <c r="AJ10" s="73">
        <f t="shared" si="11"/>
        <v>17.5</v>
      </c>
      <c r="AK10" s="73">
        <f t="shared" si="12"/>
        <v>17.5</v>
      </c>
      <c r="AL10" s="73">
        <f t="shared" si="13"/>
        <v>25</v>
      </c>
      <c r="AM10" s="73">
        <f t="shared" si="14"/>
        <v>25</v>
      </c>
      <c r="AN10" s="73">
        <f t="shared" si="15"/>
        <v>25</v>
      </c>
      <c r="AO10" s="73">
        <f t="shared" si="16"/>
        <v>25</v>
      </c>
      <c r="AQ10" s="20">
        <f t="shared" si="32"/>
        <v>28</v>
      </c>
      <c r="AR10" s="20">
        <f t="shared" si="17"/>
        <v>40</v>
      </c>
      <c r="AS10" s="18">
        <f t="shared" si="18"/>
        <v>17.5</v>
      </c>
      <c r="AT10" s="18">
        <f t="shared" si="19"/>
        <v>17.5</v>
      </c>
      <c r="AU10" s="73">
        <f t="shared" si="20"/>
        <v>25</v>
      </c>
      <c r="AV10" s="73">
        <f t="shared" si="21"/>
        <v>17.5</v>
      </c>
      <c r="AW10" s="18">
        <f t="shared" si="33"/>
        <v>17.5</v>
      </c>
      <c r="AX10" s="18">
        <f t="shared" si="34"/>
        <v>17.5</v>
      </c>
      <c r="AZ10" s="5">
        <f>Premie_leeftijd!J9</f>
        <v>5.3923305652703313E-4</v>
      </c>
      <c r="BA10" s="5"/>
      <c r="BB10" s="54">
        <v>3</v>
      </c>
      <c r="BC10" s="54">
        <f t="shared" si="22"/>
        <v>48</v>
      </c>
      <c r="BD10" s="54">
        <f t="shared" si="23"/>
        <v>48</v>
      </c>
      <c r="BE10" s="54" t="b">
        <f t="shared" si="35"/>
        <v>0</v>
      </c>
      <c r="BF10" s="54">
        <f t="shared" si="24"/>
        <v>17.499999999999996</v>
      </c>
      <c r="BG10" s="54">
        <f t="shared" si="25"/>
        <v>25</v>
      </c>
      <c r="BH10" s="54">
        <f t="shared" si="26"/>
        <v>25</v>
      </c>
      <c r="BI10" s="54">
        <f t="shared" si="27"/>
        <v>25</v>
      </c>
      <c r="BJ10" s="54">
        <f t="shared" si="28"/>
        <v>25</v>
      </c>
    </row>
    <row r="11" spans="1:63" x14ac:dyDescent="0.25">
      <c r="A11">
        <f>Grondslag!A6</f>
        <v>29</v>
      </c>
      <c r="C11" s="73">
        <f t="shared" si="2"/>
        <v>29</v>
      </c>
      <c r="F11">
        <f>OPperjr*Grondslag!S6</f>
        <v>0.58139534883720934</v>
      </c>
      <c r="G11" s="73" cm="1">
        <f t="array" ref="G11">G12*(1+reele_index_opb)</f>
        <v>1</v>
      </c>
      <c r="H11" s="73">
        <f>SUMPRODUCT(F$7:F11, G$7:G11)/G11</f>
        <v>2.9069767441860468</v>
      </c>
      <c r="I11" s="18">
        <f>I10*(1+reele_index_opb)+ Premie_leeftijd!Y10* Premie_leeftijd!AK10* Premie_leeftijd!AL10 /Settings!$O$10</f>
        <v>3.2775009302375024</v>
      </c>
      <c r="J11" s="18"/>
      <c r="K11">
        <f>(1+K12)/(1+Settings!I$10)</f>
        <v>38</v>
      </c>
      <c r="L11"/>
      <c r="M11" s="73">
        <f t="shared" si="3"/>
        <v>0</v>
      </c>
      <c r="N11" s="73">
        <f t="shared" si="3"/>
        <v>0</v>
      </c>
      <c r="O11" s="18">
        <f>Settings!$I$3*Grondslag!J6</f>
        <v>25</v>
      </c>
      <c r="P11" s="18">
        <f>Settings!$I$7*MAX(Grondslag!J6 - x*voltijdfranchise/1000*(Premie_leeftijd!T10=0),0)</f>
        <v>25</v>
      </c>
      <c r="Q11" s="18">
        <f>Settings!$I$7*MAX(Grondslag!J6 - voltijdfranchise/1000*(Premie_leeftijd!T10=0),0)</f>
        <v>17.5</v>
      </c>
      <c r="R11" s="18">
        <f>Settings!$I$3*Grondslag!J6*(1-Premie_leeftijd!R10)</f>
        <v>25</v>
      </c>
      <c r="S11" s="73">
        <f t="shared" si="29"/>
        <v>22.705749348833749</v>
      </c>
      <c r="U11" s="20" cm="1">
        <f t="array" ref="U11">SUMPRODUCT(Premie_leeftijd!AL$6:AL10, 1/Premie_leeftijd!AJ$6:AJ10, Premie_leeftijd!Y$6:Y10, G$7:G11)/G11 + Premie_leeftijd!AN11* Premie_leeftijd!Y11</f>
        <v>17.5</v>
      </c>
      <c r="V11" s="73">
        <f t="shared" si="4"/>
        <v>17.5</v>
      </c>
      <c r="W11" s="42" cm="1">
        <f t="array" ref="W11">Premie_leeftijd!$Y10*Premie_leeftijd!CG10/Premie_leeftijd!CE10 + W10*(1+reele_index_opb)</f>
        <v>2.7749576444662321</v>
      </c>
      <c r="X11" s="31" cm="1">
        <f t="array" ref="X11">Premie_leeftijd!$Y10*Premie_leeftijd!BY10/Premie_leeftijd!BW10 + X10*(1+reele_index_opb)</f>
        <v>2.5565864518802051</v>
      </c>
      <c r="Y11" s="20" cm="1">
        <f t="array" ref="Y11">Premie_leeftijd!AL10*Premie_leeftijd!$Y10/Premie_leeftijd!AJ10 + Y10*(1+reele_index_opb)</f>
        <v>2.2942506511662515</v>
      </c>
      <c r="Z11" s="20"/>
      <c r="AA11" s="20">
        <f t="shared" si="30"/>
        <v>29</v>
      </c>
      <c r="AB11" s="41">
        <f t="shared" si="5"/>
        <v>17.5</v>
      </c>
      <c r="AC11" s="41">
        <f t="shared" si="6"/>
        <v>17.5</v>
      </c>
      <c r="AD11" s="20">
        <f t="shared" si="31"/>
        <v>25</v>
      </c>
      <c r="AE11" s="20">
        <f t="shared" si="7"/>
        <v>25</v>
      </c>
      <c r="AF11" s="20">
        <f t="shared" si="8"/>
        <v>25</v>
      </c>
      <c r="AG11" s="20">
        <f t="shared" si="9"/>
        <v>25</v>
      </c>
      <c r="AI11" s="73">
        <f t="shared" si="10"/>
        <v>38</v>
      </c>
      <c r="AJ11" s="73">
        <f t="shared" si="11"/>
        <v>17.5</v>
      </c>
      <c r="AK11" s="73">
        <f t="shared" si="12"/>
        <v>17.5</v>
      </c>
      <c r="AL11" s="73">
        <f t="shared" si="13"/>
        <v>25</v>
      </c>
      <c r="AM11" s="73">
        <f t="shared" si="14"/>
        <v>25</v>
      </c>
      <c r="AN11" s="73">
        <f t="shared" si="15"/>
        <v>25</v>
      </c>
      <c r="AO11" s="73">
        <f t="shared" si="16"/>
        <v>25</v>
      </c>
      <c r="AQ11" s="20">
        <f t="shared" si="32"/>
        <v>29</v>
      </c>
      <c r="AR11" s="20">
        <f t="shared" si="17"/>
        <v>39</v>
      </c>
      <c r="AS11" s="18">
        <f t="shared" si="18"/>
        <v>17.5</v>
      </c>
      <c r="AT11" s="18">
        <f t="shared" si="19"/>
        <v>17.5</v>
      </c>
      <c r="AU11" s="73">
        <f t="shared" si="20"/>
        <v>25</v>
      </c>
      <c r="AV11" s="73">
        <f t="shared" si="21"/>
        <v>17.5</v>
      </c>
      <c r="AW11" s="18">
        <f t="shared" si="33"/>
        <v>17.5</v>
      </c>
      <c r="AX11" s="18">
        <f t="shared" si="34"/>
        <v>17.5</v>
      </c>
      <c r="AZ11" s="5">
        <f>Premie_leeftijd!J10</f>
        <v>4.930130802532906E-4</v>
      </c>
      <c r="BA11" s="5"/>
      <c r="BB11" s="54">
        <v>4</v>
      </c>
      <c r="BC11" s="54">
        <f t="shared" si="22"/>
        <v>49</v>
      </c>
      <c r="BD11" s="54">
        <f t="shared" si="23"/>
        <v>49</v>
      </c>
      <c r="BE11" s="54" t="b">
        <f t="shared" si="35"/>
        <v>0</v>
      </c>
      <c r="BF11" s="54">
        <f t="shared" si="24"/>
        <v>17.499999999999996</v>
      </c>
      <c r="BG11" s="54">
        <f t="shared" si="25"/>
        <v>25</v>
      </c>
      <c r="BH11" s="54">
        <f t="shared" si="26"/>
        <v>25</v>
      </c>
      <c r="BI11" s="54">
        <f t="shared" si="27"/>
        <v>25</v>
      </c>
      <c r="BJ11" s="54">
        <f t="shared" si="28"/>
        <v>25</v>
      </c>
    </row>
    <row r="12" spans="1:63" x14ac:dyDescent="0.25">
      <c r="A12">
        <f>Grondslag!A7</f>
        <v>30</v>
      </c>
      <c r="C12" s="73">
        <f t="shared" si="2"/>
        <v>30</v>
      </c>
      <c r="F12">
        <f>OPperjr*Grondslag!S7</f>
        <v>0.58139534883720934</v>
      </c>
      <c r="G12" s="73" cm="1">
        <f t="array" ref="G12">G13*(1+reele_index_opb)</f>
        <v>1</v>
      </c>
      <c r="H12" s="73">
        <f>SUMPRODUCT(F$7:F12, G$7:G12)/G12</f>
        <v>3.4883720930232562</v>
      </c>
      <c r="I12" s="18">
        <f>I11*(1+reele_index_opb)+ Premie_leeftijd!Y11* Premie_leeftijd!AK11* Premie_leeftijd!AL11 /Settings!$O$10</f>
        <v>3.9149800350785249</v>
      </c>
      <c r="J12" s="18"/>
      <c r="K12">
        <f>(1+K13)/(1+Settings!I$10)</f>
        <v>37</v>
      </c>
      <c r="L12"/>
      <c r="M12" s="73">
        <f t="shared" si="3"/>
        <v>0</v>
      </c>
      <c r="N12" s="73">
        <f t="shared" si="3"/>
        <v>0</v>
      </c>
      <c r="O12" s="18">
        <f>Settings!$I$3*Grondslag!J7</f>
        <v>25</v>
      </c>
      <c r="P12" s="18">
        <f>Settings!$I$7*MAX(Grondslag!J7 - x*voltijdfranchise/1000*(Premie_leeftijd!T11=0),0)</f>
        <v>25</v>
      </c>
      <c r="Q12" s="18">
        <f>Settings!$I$7*MAX(Grondslag!J7 - voltijdfranchise/1000*(Premie_leeftijd!T11=0),0)</f>
        <v>17.5</v>
      </c>
      <c r="R12" s="18">
        <f>Settings!$I$3*Grondslag!J7*(1-Premie_leeftijd!R11)</f>
        <v>25</v>
      </c>
      <c r="S12" s="73">
        <f t="shared" si="29"/>
        <v>22.259513975445032</v>
      </c>
      <c r="U12" s="20" cm="1">
        <f t="array" ref="U12">SUMPRODUCT(Premie_leeftijd!AL$6:AL11, 1/Premie_leeftijd!AJ$6:AJ11, Premie_leeftijd!Y$6:Y11, G$7:G12)/G12 + Premie_leeftijd!AN12* Premie_leeftijd!Y12</f>
        <v>17.5</v>
      </c>
      <c r="V12" s="73">
        <f t="shared" si="4"/>
        <v>17.5</v>
      </c>
      <c r="W12" s="42" cm="1">
        <f t="array" ref="W12">Premie_leeftijd!$Y11*Premie_leeftijd!CG11/Premie_leeftijd!CE11 + W11*(1+reele_index_opb)</f>
        <v>3.3037277636351905</v>
      </c>
      <c r="X12" s="31" cm="1">
        <f t="array" ref="X12">Premie_leeftijd!$Y11*Premie_leeftijd!BY11/Premie_leeftijd!BW11 + X11*(1+reele_index_opb)</f>
        <v>3.0465956796306339</v>
      </c>
      <c r="Y12" s="20" cm="1">
        <f t="array" ref="Y12">Premie_leeftijd!AL11*Premie_leeftijd!$Y11/Premie_leeftijd!AJ11 + Y11*(1+reele_index_opb)</f>
        <v>2.7404860245549671</v>
      </c>
      <c r="Z12" s="20"/>
      <c r="AA12" s="20">
        <f t="shared" si="30"/>
        <v>30</v>
      </c>
      <c r="AB12" s="41">
        <f t="shared" si="5"/>
        <v>17.5</v>
      </c>
      <c r="AC12" s="41">
        <f t="shared" si="6"/>
        <v>17.5</v>
      </c>
      <c r="AD12" s="20">
        <f t="shared" si="31"/>
        <v>25</v>
      </c>
      <c r="AE12" s="20">
        <f t="shared" si="7"/>
        <v>25</v>
      </c>
      <c r="AF12" s="20">
        <f t="shared" si="8"/>
        <v>25</v>
      </c>
      <c r="AG12" s="20">
        <f t="shared" si="9"/>
        <v>25</v>
      </c>
      <c r="AI12" s="73">
        <f t="shared" si="10"/>
        <v>37</v>
      </c>
      <c r="AJ12" s="73">
        <f t="shared" si="11"/>
        <v>17.5</v>
      </c>
      <c r="AK12" s="73">
        <f t="shared" si="12"/>
        <v>17.5</v>
      </c>
      <c r="AL12" s="73">
        <f t="shared" si="13"/>
        <v>25</v>
      </c>
      <c r="AM12" s="73">
        <f t="shared" si="14"/>
        <v>25</v>
      </c>
      <c r="AN12" s="73">
        <f t="shared" si="15"/>
        <v>25</v>
      </c>
      <c r="AO12" s="73">
        <f t="shared" si="16"/>
        <v>25</v>
      </c>
      <c r="AQ12" s="20">
        <f t="shared" si="32"/>
        <v>30</v>
      </c>
      <c r="AR12" s="20">
        <f t="shared" si="17"/>
        <v>38</v>
      </c>
      <c r="AS12" s="18">
        <f t="shared" si="18"/>
        <v>17.5</v>
      </c>
      <c r="AT12" s="18">
        <f t="shared" si="19"/>
        <v>17.5</v>
      </c>
      <c r="AU12" s="73">
        <f t="shared" si="20"/>
        <v>25</v>
      </c>
      <c r="AV12" s="73">
        <f t="shared" si="21"/>
        <v>17.5</v>
      </c>
      <c r="AW12" s="18">
        <f t="shared" si="33"/>
        <v>17.5</v>
      </c>
      <c r="AX12" s="18">
        <f t="shared" si="34"/>
        <v>17.5</v>
      </c>
      <c r="AZ12" s="5">
        <f>Premie_leeftijd!J11</f>
        <v>6.2653745615515177E-4</v>
      </c>
      <c r="BA12" s="5"/>
      <c r="BB12" s="54">
        <v>5</v>
      </c>
      <c r="BC12" s="54">
        <f t="shared" si="22"/>
        <v>50</v>
      </c>
      <c r="BD12" s="54">
        <f t="shared" si="23"/>
        <v>50</v>
      </c>
      <c r="BE12" s="54" t="b">
        <f t="shared" si="35"/>
        <v>0</v>
      </c>
      <c r="BF12" s="54">
        <f t="shared" si="24"/>
        <v>17.499999999999996</v>
      </c>
      <c r="BG12" s="54">
        <f t="shared" si="25"/>
        <v>25</v>
      </c>
      <c r="BH12" s="54">
        <f t="shared" si="26"/>
        <v>25</v>
      </c>
      <c r="BI12" s="54">
        <f t="shared" si="27"/>
        <v>25</v>
      </c>
      <c r="BJ12" s="54">
        <f t="shared" si="28"/>
        <v>25</v>
      </c>
    </row>
    <row r="13" spans="1:63" x14ac:dyDescent="0.25">
      <c r="A13">
        <f>Grondslag!A8</f>
        <v>31</v>
      </c>
      <c r="C13" s="73">
        <f t="shared" si="2"/>
        <v>31</v>
      </c>
      <c r="F13">
        <f>OPperjr*Grondslag!S8</f>
        <v>0.58139534883720934</v>
      </c>
      <c r="G13" s="73" cm="1">
        <f t="array" ref="G13">G14*(1+reele_index_opb)</f>
        <v>1</v>
      </c>
      <c r="H13" s="73">
        <f>SUMPRODUCT(F$7:F13, G$7:G13)/G13</f>
        <v>4.0697674418604652</v>
      </c>
      <c r="I13" s="18">
        <f>I12*(1+reele_index_opb)+ Premie_leeftijd!Y12* Premie_leeftijd!AK12* Premie_leeftijd!AL12 /Settings!$O$10</f>
        <v>4.5471502008044684</v>
      </c>
      <c r="J13" s="18"/>
      <c r="K13">
        <f>(1+K14)/(1+Settings!I$10)</f>
        <v>36</v>
      </c>
      <c r="L13"/>
      <c r="M13" s="73">
        <f t="shared" si="3"/>
        <v>0</v>
      </c>
      <c r="N13" s="73">
        <f t="shared" si="3"/>
        <v>0</v>
      </c>
      <c r="O13" s="18">
        <f>Settings!$I$3*Grondslag!J8</f>
        <v>25</v>
      </c>
      <c r="P13" s="18">
        <f>Settings!$I$7*MAX(Grondslag!J8 - x*voltijdfranchise/1000*(Premie_leeftijd!T12=0),0)</f>
        <v>25</v>
      </c>
      <c r="Q13" s="18">
        <f>Settings!$I$7*MAX(Grondslag!J8 - voltijdfranchise/1000*(Premie_leeftijd!T12=0),0)</f>
        <v>17.5</v>
      </c>
      <c r="R13" s="18">
        <f>Settings!$I$3*Grondslag!J8*(1-Premie_leeftijd!R12)</f>
        <v>25</v>
      </c>
      <c r="S13" s="73">
        <f t="shared" si="29"/>
        <v>21.816994859436871</v>
      </c>
      <c r="U13" s="20" cm="1">
        <f t="array" ref="U13">SUMPRODUCT(Premie_leeftijd!AL$6:AL12, 1/Premie_leeftijd!AJ$6:AJ12, Premie_leeftijd!Y$6:Y12, G$7:G13)/G13 + Premie_leeftijd!AN13* Premie_leeftijd!Y13</f>
        <v>17.5</v>
      </c>
      <c r="V13" s="73">
        <f t="shared" si="4"/>
        <v>17.5</v>
      </c>
      <c r="W13" s="42" cm="1">
        <f t="array" ref="W13">Premie_leeftijd!$Y12*Premie_leeftijd!CG12/Premie_leeftijd!CE12 + W12*(1+reele_index_opb)</f>
        <v>3.8240873940210758</v>
      </c>
      <c r="X13" s="31" cm="1">
        <f t="array" ref="X13">Premie_leeftijd!$Y12*Premie_leeftijd!BY12/Premie_leeftijd!BW12 + X12*(1+reele_index_opb)</f>
        <v>3.529913927488979</v>
      </c>
      <c r="Y13" s="20" cm="1">
        <f t="array" ref="Y13">Premie_leeftijd!AL12*Premie_leeftijd!$Y12/Premie_leeftijd!AJ12 + Y12*(1+reele_index_opb)</f>
        <v>3.1830051405631274</v>
      </c>
      <c r="Z13" s="20"/>
      <c r="AA13" s="20">
        <f t="shared" si="30"/>
        <v>31</v>
      </c>
      <c r="AB13" s="41">
        <f t="shared" si="5"/>
        <v>17.5</v>
      </c>
      <c r="AC13" s="41">
        <f t="shared" si="6"/>
        <v>17.5</v>
      </c>
      <c r="AD13" s="20">
        <f t="shared" si="31"/>
        <v>25</v>
      </c>
      <c r="AE13" s="20">
        <f t="shared" si="7"/>
        <v>25</v>
      </c>
      <c r="AF13" s="20">
        <f t="shared" si="8"/>
        <v>25</v>
      </c>
      <c r="AG13" s="20">
        <f t="shared" si="9"/>
        <v>25</v>
      </c>
      <c r="AI13" s="73">
        <f t="shared" si="10"/>
        <v>36</v>
      </c>
      <c r="AJ13" s="73">
        <f t="shared" si="11"/>
        <v>17.5</v>
      </c>
      <c r="AK13" s="73">
        <f t="shared" si="12"/>
        <v>17.5</v>
      </c>
      <c r="AL13" s="73">
        <f t="shared" si="13"/>
        <v>25</v>
      </c>
      <c r="AM13" s="73">
        <f t="shared" si="14"/>
        <v>25</v>
      </c>
      <c r="AN13" s="73">
        <f t="shared" si="15"/>
        <v>25</v>
      </c>
      <c r="AO13" s="73">
        <f t="shared" si="16"/>
        <v>25</v>
      </c>
      <c r="AQ13" s="20">
        <f t="shared" si="32"/>
        <v>31</v>
      </c>
      <c r="AR13" s="20">
        <f t="shared" si="17"/>
        <v>37</v>
      </c>
      <c r="AS13" s="18">
        <f t="shared" si="18"/>
        <v>17.5</v>
      </c>
      <c r="AT13" s="18">
        <f t="shared" si="19"/>
        <v>17.5</v>
      </c>
      <c r="AU13" s="73">
        <f t="shared" si="20"/>
        <v>25</v>
      </c>
      <c r="AV13" s="73">
        <f t="shared" si="21"/>
        <v>17.5</v>
      </c>
      <c r="AW13" s="18">
        <f t="shared" si="33"/>
        <v>17.5</v>
      </c>
      <c r="AX13" s="18">
        <f t="shared" si="34"/>
        <v>17.5</v>
      </c>
      <c r="AZ13" s="5">
        <f>Premie_leeftijd!J12</f>
        <v>5.7004637404289848E-4</v>
      </c>
      <c r="BA13" s="5"/>
      <c r="BB13" s="54">
        <v>6</v>
      </c>
      <c r="BC13" s="54">
        <f t="shared" si="22"/>
        <v>51</v>
      </c>
      <c r="BD13" s="54">
        <f t="shared" si="23"/>
        <v>51</v>
      </c>
      <c r="BE13" s="54" t="b">
        <f t="shared" si="35"/>
        <v>0</v>
      </c>
      <c r="BF13" s="54">
        <f t="shared" si="24"/>
        <v>17.499999999999996</v>
      </c>
      <c r="BG13" s="54">
        <f t="shared" si="25"/>
        <v>25</v>
      </c>
      <c r="BH13" s="54">
        <f t="shared" si="26"/>
        <v>25</v>
      </c>
      <c r="BI13" s="54">
        <f t="shared" si="27"/>
        <v>25</v>
      </c>
      <c r="BJ13" s="54">
        <f t="shared" si="28"/>
        <v>25</v>
      </c>
    </row>
    <row r="14" spans="1:63" x14ac:dyDescent="0.25">
      <c r="A14">
        <f>Grondslag!A9</f>
        <v>32</v>
      </c>
      <c r="C14" s="73">
        <f t="shared" si="2"/>
        <v>32</v>
      </c>
      <c r="F14">
        <f>OPperjr*Grondslag!S9</f>
        <v>0.58139534883720934</v>
      </c>
      <c r="G14" s="73" cm="1">
        <f t="array" ref="G14">G15*(1+reele_index_opb)</f>
        <v>1</v>
      </c>
      <c r="H14">
        <f>SUMPRODUCT(F$7:F14, G$7:G14)/G14</f>
        <v>4.6511627906976747</v>
      </c>
      <c r="I14" s="18">
        <f>I13*(1+reele_index_opb)+ Premie_leeftijd!Y13* Premie_leeftijd!AK13* Premie_leeftijd!AL13 /Settings!$O$10</f>
        <v>5.1735108539148333</v>
      </c>
      <c r="J14" s="18"/>
      <c r="K14">
        <f>(1+K15)/(1+Settings!I$10)</f>
        <v>35</v>
      </c>
      <c r="L14"/>
      <c r="M14" s="73">
        <f t="shared" si="3"/>
        <v>0</v>
      </c>
      <c r="N14" s="73">
        <f t="shared" si="3"/>
        <v>0</v>
      </c>
      <c r="O14" s="18">
        <f>Settings!$I$3*Grondslag!J9</f>
        <v>25</v>
      </c>
      <c r="P14" s="18">
        <f>Settings!$I$7*MAX(Grondslag!J9 - x*voltijdfranchise/1000*(Premie_leeftijd!T13=0),0)</f>
        <v>25</v>
      </c>
      <c r="Q14" s="18">
        <f>Settings!$I$7*MAX(Grondslag!J9 - voltijdfranchise/1000*(Premie_leeftijd!T13=0),0)</f>
        <v>17.5</v>
      </c>
      <c r="R14" s="18">
        <f>Settings!$I$3*Grondslag!J9*(1-Premie_leeftijd!R13)</f>
        <v>25</v>
      </c>
      <c r="S14" s="73">
        <f t="shared" si="29"/>
        <v>21.378542402259619</v>
      </c>
      <c r="U14" s="20" cm="1">
        <f t="array" ref="U14">SUMPRODUCT(Premie_leeftijd!AL$6:AL13, 1/Premie_leeftijd!AJ$6:AJ13, Premie_leeftijd!Y$6:Y13, G$7:G14)/G14 + Premie_leeftijd!AN14* Premie_leeftijd!Y14</f>
        <v>17.5</v>
      </c>
      <c r="V14" s="73">
        <f t="shared" si="4"/>
        <v>17.5</v>
      </c>
      <c r="W14" s="42" cm="1">
        <f t="array" ref="W14">Premie_leeftijd!$Y13*Premie_leeftijd!CG13/Premie_leeftijd!CE13 + W13*(1+reele_index_opb)</f>
        <v>4.3361494050913194</v>
      </c>
      <c r="X14" s="31" cm="1">
        <f t="array" ref="X14">Premie_leeftijd!$Y13*Premie_leeftijd!BY13/Premie_leeftijd!BW13 + X13*(1+reele_index_opb)</f>
        <v>4.006516891482776</v>
      </c>
      <c r="Y14" s="20" cm="1">
        <f t="array" ref="Y14">Premie_leeftijd!AL13*Premie_leeftijd!$Y13/Premie_leeftijd!AJ13 + Y13*(1+reele_index_opb)</f>
        <v>3.6214575977403829</v>
      </c>
      <c r="Z14" s="20"/>
      <c r="AA14" s="20">
        <f t="shared" si="30"/>
        <v>32</v>
      </c>
      <c r="AB14" s="41">
        <f t="shared" si="5"/>
        <v>17.5</v>
      </c>
      <c r="AC14" s="41">
        <f t="shared" si="6"/>
        <v>17.5</v>
      </c>
      <c r="AD14" s="20">
        <f t="shared" si="31"/>
        <v>25</v>
      </c>
      <c r="AE14" s="20">
        <f t="shared" si="7"/>
        <v>25</v>
      </c>
      <c r="AF14" s="20">
        <f t="shared" si="8"/>
        <v>25</v>
      </c>
      <c r="AG14" s="20">
        <f t="shared" si="9"/>
        <v>25</v>
      </c>
      <c r="AI14" s="73">
        <f t="shared" si="10"/>
        <v>35</v>
      </c>
      <c r="AJ14" s="73">
        <f t="shared" si="11"/>
        <v>17.5</v>
      </c>
      <c r="AK14" s="73">
        <f t="shared" si="12"/>
        <v>17.5</v>
      </c>
      <c r="AL14" s="73">
        <f t="shared" si="13"/>
        <v>25</v>
      </c>
      <c r="AM14" s="73">
        <f t="shared" si="14"/>
        <v>25</v>
      </c>
      <c r="AN14" s="73">
        <f t="shared" si="15"/>
        <v>25</v>
      </c>
      <c r="AO14" s="73">
        <f t="shared" si="16"/>
        <v>25</v>
      </c>
      <c r="AQ14" s="20">
        <f t="shared" si="32"/>
        <v>32</v>
      </c>
      <c r="AR14" s="20">
        <f t="shared" si="17"/>
        <v>36</v>
      </c>
      <c r="AS14" s="18">
        <f t="shared" si="18"/>
        <v>17.5</v>
      </c>
      <c r="AT14" s="18">
        <f t="shared" si="19"/>
        <v>17.5</v>
      </c>
      <c r="AU14" s="73">
        <f t="shared" si="20"/>
        <v>25</v>
      </c>
      <c r="AV14" s="73">
        <f t="shared" si="21"/>
        <v>17.5</v>
      </c>
      <c r="AW14" s="18">
        <f t="shared" si="33"/>
        <v>17.5</v>
      </c>
      <c r="AX14" s="18">
        <f t="shared" si="34"/>
        <v>17.5</v>
      </c>
      <c r="AZ14" s="5">
        <f>Premie_leeftijd!J13</f>
        <v>5.9058858572003103E-4</v>
      </c>
      <c r="BA14" s="5"/>
      <c r="BB14" s="54">
        <v>7</v>
      </c>
      <c r="BC14" s="54">
        <f t="shared" si="22"/>
        <v>52</v>
      </c>
      <c r="BD14" s="54">
        <f t="shared" si="23"/>
        <v>52</v>
      </c>
      <c r="BE14" s="54" t="b">
        <f t="shared" si="35"/>
        <v>0</v>
      </c>
      <c r="BF14" s="54">
        <f t="shared" si="24"/>
        <v>17.499999999999996</v>
      </c>
      <c r="BG14" s="54">
        <f t="shared" si="25"/>
        <v>25</v>
      </c>
      <c r="BH14" s="54">
        <f t="shared" si="26"/>
        <v>25</v>
      </c>
      <c r="BI14" s="54">
        <f t="shared" si="27"/>
        <v>25</v>
      </c>
      <c r="BJ14" s="54">
        <f t="shared" si="28"/>
        <v>25</v>
      </c>
    </row>
    <row r="15" spans="1:63" x14ac:dyDescent="0.25">
      <c r="A15">
        <f>Grondslag!A10</f>
        <v>33</v>
      </c>
      <c r="C15" s="73">
        <f t="shared" si="2"/>
        <v>33</v>
      </c>
      <c r="F15">
        <f>OPperjr*Grondslag!S10</f>
        <v>0.58139534883720934</v>
      </c>
      <c r="G15" s="73" cm="1">
        <f t="array" ref="G15">G16*(1+reele_index_opb)</f>
        <v>1</v>
      </c>
      <c r="H15" s="73">
        <f>SUMPRODUCT(F$7:F15, G$7:G15)/G15</f>
        <v>5.2325581395348841</v>
      </c>
      <c r="I15" s="18">
        <f>I14*(1+reele_index_opb)+ Premie_leeftijd!Y14* Premie_leeftijd!AK14* Premie_leeftijd!AL14 /Settings!$O$10</f>
        <v>5.7941080267090559</v>
      </c>
      <c r="J15" s="18"/>
      <c r="K15">
        <f>(1+K16)/(1+Settings!I$10)</f>
        <v>34</v>
      </c>
      <c r="L15"/>
      <c r="M15" s="73">
        <f t="shared" si="3"/>
        <v>0</v>
      </c>
      <c r="N15" s="73">
        <f t="shared" si="3"/>
        <v>0</v>
      </c>
      <c r="O15" s="18">
        <f>Settings!$I$3*Grondslag!J10</f>
        <v>25</v>
      </c>
      <c r="P15" s="18">
        <f>Settings!$I$7*MAX(Grondslag!J10 - x*voltijdfranchise/1000*(Premie_leeftijd!T14=0),0)</f>
        <v>25</v>
      </c>
      <c r="Q15" s="18">
        <f>Settings!$I$7*MAX(Grondslag!J10 - voltijdfranchise/1000*(Premie_leeftijd!T14=0),0)</f>
        <v>17.5</v>
      </c>
      <c r="R15" s="18">
        <f>Settings!$I$3*Grondslag!J10*(1-Premie_leeftijd!R14)</f>
        <v>25</v>
      </c>
      <c r="S15" s="73">
        <f t="shared" si="29"/>
        <v>20.944124381303659</v>
      </c>
      <c r="U15" s="20" cm="1">
        <f t="array" ref="U15">SUMPRODUCT(Premie_leeftijd!AL$6:AL14, 1/Premie_leeftijd!AJ$6:AJ14, Premie_leeftijd!Y$6:Y14, G$7:G15)/G15 + Premie_leeftijd!AN15* Premie_leeftijd!Y15</f>
        <v>17.5</v>
      </c>
      <c r="V15" s="73">
        <f t="shared" si="4"/>
        <v>17.5</v>
      </c>
      <c r="W15" s="42" cm="1">
        <f t="array" ref="W15">Premie_leeftijd!$Y14*Premie_leeftijd!CG14/Premie_leeftijd!CE14 + W14*(1+reele_index_opb)</f>
        <v>4.8399887200294573</v>
      </c>
      <c r="X15" s="31" cm="1">
        <f t="array" ref="X15">Premie_leeftijd!$Y14*Premie_leeftijd!BY14/Premie_leeftijd!BW14 + X14*(1+reele_index_opb)</f>
        <v>4.4764816836532528</v>
      </c>
      <c r="Y15" s="20" cm="1">
        <f t="array" ref="Y15">Premie_leeftijd!AL14*Premie_leeftijd!$Y14/Premie_leeftijd!AJ14 + Y14*(1+reele_index_opb)</f>
        <v>4.0558756186963389</v>
      </c>
      <c r="Z15" s="20"/>
      <c r="AA15" s="20">
        <f t="shared" si="30"/>
        <v>33</v>
      </c>
      <c r="AB15" s="41">
        <f t="shared" si="5"/>
        <v>17.5</v>
      </c>
      <c r="AC15" s="41">
        <f t="shared" si="6"/>
        <v>17.5</v>
      </c>
      <c r="AD15" s="20">
        <f t="shared" si="31"/>
        <v>25</v>
      </c>
      <c r="AE15" s="20">
        <f t="shared" si="7"/>
        <v>25</v>
      </c>
      <c r="AF15" s="20">
        <f t="shared" si="8"/>
        <v>25</v>
      </c>
      <c r="AG15" s="20">
        <f t="shared" si="9"/>
        <v>25</v>
      </c>
      <c r="AI15" s="73">
        <f t="shared" si="10"/>
        <v>34</v>
      </c>
      <c r="AJ15" s="73">
        <f t="shared" si="11"/>
        <v>17.5</v>
      </c>
      <c r="AK15" s="73">
        <f t="shared" si="12"/>
        <v>17.5</v>
      </c>
      <c r="AL15" s="73">
        <f t="shared" si="13"/>
        <v>25</v>
      </c>
      <c r="AM15" s="73">
        <f t="shared" si="14"/>
        <v>25</v>
      </c>
      <c r="AN15" s="73">
        <f t="shared" si="15"/>
        <v>25</v>
      </c>
      <c r="AO15" s="73">
        <f t="shared" si="16"/>
        <v>25</v>
      </c>
      <c r="AQ15" s="20">
        <f t="shared" si="32"/>
        <v>33</v>
      </c>
      <c r="AR15" s="20">
        <f t="shared" si="17"/>
        <v>35</v>
      </c>
      <c r="AS15" s="18">
        <f t="shared" si="18"/>
        <v>17.5</v>
      </c>
      <c r="AT15" s="18">
        <f t="shared" si="19"/>
        <v>17.5</v>
      </c>
      <c r="AU15" s="73">
        <f t="shared" si="20"/>
        <v>25</v>
      </c>
      <c r="AV15" s="73">
        <f t="shared" si="21"/>
        <v>17.5</v>
      </c>
      <c r="AW15" s="18">
        <f t="shared" si="33"/>
        <v>17.5</v>
      </c>
      <c r="AX15" s="18">
        <f t="shared" si="34"/>
        <v>17.5</v>
      </c>
      <c r="AZ15" s="5">
        <f>Premie_leeftijd!J14</f>
        <v>6.4707966783250637E-4</v>
      </c>
      <c r="BA15" s="5"/>
      <c r="BB15" s="54">
        <v>8</v>
      </c>
      <c r="BC15" s="54">
        <f t="shared" si="22"/>
        <v>53</v>
      </c>
      <c r="BD15" s="54">
        <f t="shared" si="23"/>
        <v>53</v>
      </c>
      <c r="BE15" s="54" t="b">
        <f t="shared" si="35"/>
        <v>0</v>
      </c>
      <c r="BF15" s="54">
        <f t="shared" si="24"/>
        <v>17.499999999999996</v>
      </c>
      <c r="BG15" s="54">
        <f t="shared" si="25"/>
        <v>25</v>
      </c>
      <c r="BH15" s="54">
        <f t="shared" si="26"/>
        <v>25</v>
      </c>
      <c r="BI15" s="54">
        <f t="shared" si="27"/>
        <v>25</v>
      </c>
      <c r="BJ15" s="54">
        <f t="shared" si="28"/>
        <v>25</v>
      </c>
    </row>
    <row r="16" spans="1:63" x14ac:dyDescent="0.25">
      <c r="A16">
        <f>Grondslag!A11</f>
        <v>34</v>
      </c>
      <c r="C16" s="73">
        <f t="shared" si="2"/>
        <v>34</v>
      </c>
      <c r="F16">
        <f>OPperjr*Grondslag!S11</f>
        <v>0.58139534883720934</v>
      </c>
      <c r="G16" s="73" cm="1">
        <f t="array" ref="G16">G17*(1+reele_index_opb)</f>
        <v>1</v>
      </c>
      <c r="H16" s="73">
        <f>SUMPRODUCT(F$7:F16, G$7:G16)/G16</f>
        <v>5.8139534883720936</v>
      </c>
      <c r="I16" s="18">
        <f>I15*(1+reele_index_opb)+ Premie_leeftijd!Y15* Premie_leeftijd!AK15* Premie_leeftijd!AL15 /Settings!$O$10</f>
        <v>6.4093006843587856</v>
      </c>
      <c r="J16" s="18"/>
      <c r="K16">
        <f>(1+K17)/(1+Settings!I$10)</f>
        <v>33</v>
      </c>
      <c r="L16"/>
      <c r="M16" s="73">
        <f t="shared" si="3"/>
        <v>0</v>
      </c>
      <c r="N16" s="73">
        <f t="shared" si="3"/>
        <v>0</v>
      </c>
      <c r="O16" s="18">
        <f>Settings!$I$3*Grondslag!J11</f>
        <v>25</v>
      </c>
      <c r="P16" s="18">
        <f>Settings!$I$7*MAX(Grondslag!J11 - x*voltijdfranchise/1000*(Premie_leeftijd!T15=0),0)</f>
        <v>25</v>
      </c>
      <c r="Q16" s="18">
        <f>Settings!$I$7*MAX(Grondslag!J11 - voltijdfranchise/1000*(Premie_leeftijd!T15=0),0)</f>
        <v>17.5</v>
      </c>
      <c r="R16" s="18">
        <f>Settings!$I$3*Grondslag!J11*(1-Premie_leeftijd!R15)</f>
        <v>25</v>
      </c>
      <c r="S16" s="73">
        <f t="shared" si="29"/>
        <v>20.513489520948852</v>
      </c>
      <c r="U16" s="20" cm="1">
        <f t="array" ref="U16">SUMPRODUCT(Premie_leeftijd!AL$6:AL15, 1/Premie_leeftijd!AJ$6:AJ15, Premie_leeftijd!Y$6:Y15, G$7:G16)/G16 + Premie_leeftijd!AN16* Premie_leeftijd!Y16</f>
        <v>17.5</v>
      </c>
      <c r="V16" s="73">
        <f t="shared" si="4"/>
        <v>17.5</v>
      </c>
      <c r="W16" s="42" cm="1">
        <f t="array" ref="W16">Premie_leeftijd!$Y15*Premie_leeftijd!CG15/Premie_leeftijd!CE15 + W15*(1+reele_index_opb)</f>
        <v>5.3357318788995869</v>
      </c>
      <c r="X16" s="31" cm="1">
        <f t="array" ref="X16">Premie_leeftijd!$Y15*Premie_leeftijd!BY15/Premie_leeftijd!BW15 + X15*(1+reele_index_opb)</f>
        <v>4.9399938961896197</v>
      </c>
      <c r="Y16" s="20" cm="1">
        <f t="array" ref="Y16">Premie_leeftijd!AL15*Premie_leeftijd!$Y15/Premie_leeftijd!AJ15 + Y15*(1+reele_index_opb)</f>
        <v>4.4865104790511499</v>
      </c>
      <c r="Z16" s="20"/>
      <c r="AA16" s="20">
        <f t="shared" si="30"/>
        <v>34</v>
      </c>
      <c r="AB16" s="41">
        <f t="shared" si="5"/>
        <v>17.5</v>
      </c>
      <c r="AC16" s="41">
        <f t="shared" si="6"/>
        <v>17.5</v>
      </c>
      <c r="AD16" s="20">
        <f t="shared" si="31"/>
        <v>25</v>
      </c>
      <c r="AE16" s="20">
        <f t="shared" si="7"/>
        <v>25</v>
      </c>
      <c r="AF16" s="20">
        <f t="shared" si="8"/>
        <v>25</v>
      </c>
      <c r="AG16" s="20">
        <f t="shared" si="9"/>
        <v>25</v>
      </c>
      <c r="AI16" s="73">
        <f t="shared" si="10"/>
        <v>33</v>
      </c>
      <c r="AJ16" s="73">
        <f t="shared" si="11"/>
        <v>17.5</v>
      </c>
      <c r="AK16" s="73">
        <f t="shared" si="12"/>
        <v>17.5</v>
      </c>
      <c r="AL16" s="73">
        <f t="shared" si="13"/>
        <v>25</v>
      </c>
      <c r="AM16" s="73">
        <f t="shared" si="14"/>
        <v>25</v>
      </c>
      <c r="AN16" s="73">
        <f t="shared" si="15"/>
        <v>25</v>
      </c>
      <c r="AO16" s="73">
        <f t="shared" si="16"/>
        <v>25</v>
      </c>
      <c r="AQ16" s="20">
        <f t="shared" si="32"/>
        <v>34</v>
      </c>
      <c r="AR16" s="20">
        <f t="shared" si="17"/>
        <v>34</v>
      </c>
      <c r="AS16" s="18">
        <f t="shared" si="18"/>
        <v>17.5</v>
      </c>
      <c r="AT16" s="18">
        <f t="shared" si="19"/>
        <v>17.5</v>
      </c>
      <c r="AU16" s="73">
        <f t="shared" si="20"/>
        <v>25</v>
      </c>
      <c r="AV16" s="73">
        <f t="shared" si="21"/>
        <v>17.5</v>
      </c>
      <c r="AW16" s="18">
        <f t="shared" si="33"/>
        <v>17.5</v>
      </c>
      <c r="AX16" s="18">
        <f t="shared" si="34"/>
        <v>17.5</v>
      </c>
      <c r="AZ16" s="5">
        <f>Premie_leeftijd!J15</f>
        <v>6.5221522075165073E-4</v>
      </c>
      <c r="BA16" s="5"/>
      <c r="BB16" s="54">
        <v>9</v>
      </c>
      <c r="BC16" s="54">
        <f t="shared" si="22"/>
        <v>54</v>
      </c>
      <c r="BD16" s="54">
        <f t="shared" si="23"/>
        <v>54</v>
      </c>
      <c r="BE16" s="54" t="b">
        <f t="shared" si="35"/>
        <v>0</v>
      </c>
      <c r="BF16" s="54">
        <f t="shared" si="24"/>
        <v>17.499999999999996</v>
      </c>
      <c r="BG16" s="54">
        <f t="shared" si="25"/>
        <v>25</v>
      </c>
      <c r="BH16" s="54">
        <f t="shared" si="26"/>
        <v>25</v>
      </c>
      <c r="BI16" s="54">
        <f t="shared" si="27"/>
        <v>25</v>
      </c>
      <c r="BJ16" s="54">
        <f t="shared" si="28"/>
        <v>25</v>
      </c>
    </row>
    <row r="17" spans="1:62" x14ac:dyDescent="0.25">
      <c r="A17">
        <f>Grondslag!A12</f>
        <v>35</v>
      </c>
      <c r="C17" s="73">
        <f t="shared" si="2"/>
        <v>35</v>
      </c>
      <c r="F17">
        <f>OPperjr*Grondslag!S12</f>
        <v>0.58139534883720934</v>
      </c>
      <c r="G17" s="73" cm="1">
        <f t="array" ref="G17">G18*(1+reele_index_opb)</f>
        <v>1</v>
      </c>
      <c r="H17" s="73">
        <f>SUMPRODUCT(F$7:F17, G$7:G17)/G17</f>
        <v>6.395348837209303</v>
      </c>
      <c r="I17" s="18">
        <f>I16*(1+reele_index_opb)+ Premie_leeftijd!Y16* Premie_leeftijd!AK16* Premie_leeftijd!AL16 /Settings!$O$10</f>
        <v>7.0190397599317746</v>
      </c>
      <c r="J17" s="18"/>
      <c r="K17">
        <f>(1+K18)/(1+Settings!I$10)</f>
        <v>32</v>
      </c>
      <c r="L17"/>
      <c r="M17" s="73">
        <f t="shared" si="3"/>
        <v>0</v>
      </c>
      <c r="N17" s="73">
        <f t="shared" si="3"/>
        <v>0</v>
      </c>
      <c r="O17" s="18">
        <f>Settings!$I$3*Grondslag!J12</f>
        <v>25</v>
      </c>
      <c r="P17" s="18">
        <f>Settings!$I$7*MAX(Grondslag!J12 - x*voltijdfranchise/1000*(Premie_leeftijd!T16=0),0)</f>
        <v>25</v>
      </c>
      <c r="Q17" s="18">
        <f>Settings!$I$7*MAX(Grondslag!J12 - voltijdfranchise/1000*(Premie_leeftijd!T16=0),0)</f>
        <v>17.5</v>
      </c>
      <c r="R17" s="18">
        <f>Settings!$I$3*Grondslag!J12*(1-Premie_leeftijd!R16)</f>
        <v>25</v>
      </c>
      <c r="S17" s="73">
        <f t="shared" si="29"/>
        <v>20.086672168047759</v>
      </c>
      <c r="U17" s="20" cm="1">
        <f t="array" ref="U17">SUMPRODUCT(Premie_leeftijd!AL$6:AL16, 1/Premie_leeftijd!AJ$6:AJ16, Premie_leeftijd!Y$6:Y16, G$7:G17)/G17 + Premie_leeftijd!AN17* Premie_leeftijd!Y17</f>
        <v>17.500000000000004</v>
      </c>
      <c r="V17" s="73">
        <f t="shared" si="4"/>
        <v>17.5</v>
      </c>
      <c r="W17" s="42" cm="1">
        <f t="array" ref="W17">Premie_leeftijd!$Y16*Premie_leeftijd!CG16/Premie_leeftijd!CE16 + W16*(1+reele_index_opb)</f>
        <v>5.8234783314588441</v>
      </c>
      <c r="X17" s="31" cm="1">
        <f t="array" ref="X17">Premie_leeftijd!$Y16*Premie_leeftijd!BY16/Premie_leeftijd!BW16 + X16*(1+reele_index_opb)</f>
        <v>5.3971246228425036</v>
      </c>
      <c r="Y17" s="20" cm="1">
        <f t="array" ref="Y17">Premie_leeftijd!AL16*Premie_leeftijd!$Y16/Premie_leeftijd!AJ16 + Y16*(1+reele_index_opb)</f>
        <v>4.913327831952242</v>
      </c>
      <c r="Z17" s="20"/>
      <c r="AA17" s="20">
        <f t="shared" si="30"/>
        <v>35</v>
      </c>
      <c r="AB17" s="41">
        <f t="shared" si="5"/>
        <v>17.500000000000004</v>
      </c>
      <c r="AC17" s="41">
        <f t="shared" si="6"/>
        <v>17.5</v>
      </c>
      <c r="AD17" s="20">
        <f t="shared" si="31"/>
        <v>25</v>
      </c>
      <c r="AE17" s="20">
        <f t="shared" si="7"/>
        <v>25</v>
      </c>
      <c r="AF17" s="20">
        <f t="shared" si="8"/>
        <v>25</v>
      </c>
      <c r="AG17" s="20">
        <f t="shared" si="9"/>
        <v>25</v>
      </c>
      <c r="AI17" s="73">
        <f t="shared" si="10"/>
        <v>32</v>
      </c>
      <c r="AJ17" s="73">
        <f t="shared" si="11"/>
        <v>17.500000000000004</v>
      </c>
      <c r="AK17" s="73">
        <f t="shared" si="12"/>
        <v>17.5</v>
      </c>
      <c r="AL17" s="73">
        <f t="shared" si="13"/>
        <v>25</v>
      </c>
      <c r="AM17" s="73">
        <f t="shared" si="14"/>
        <v>25</v>
      </c>
      <c r="AN17" s="73">
        <f t="shared" si="15"/>
        <v>25</v>
      </c>
      <c r="AO17" s="73">
        <f t="shared" si="16"/>
        <v>25</v>
      </c>
      <c r="AQ17" s="20">
        <f t="shared" si="32"/>
        <v>35</v>
      </c>
      <c r="AR17" s="20">
        <f t="shared" si="17"/>
        <v>33</v>
      </c>
      <c r="AS17" s="18">
        <f t="shared" si="18"/>
        <v>17.500000000000004</v>
      </c>
      <c r="AT17" s="18">
        <f t="shared" si="19"/>
        <v>17.5</v>
      </c>
      <c r="AU17" s="73">
        <f t="shared" si="20"/>
        <v>25</v>
      </c>
      <c r="AV17" s="73">
        <f t="shared" si="21"/>
        <v>17.5</v>
      </c>
      <c r="AW17" s="18">
        <f t="shared" si="33"/>
        <v>17.500000000000004</v>
      </c>
      <c r="AX17" s="18">
        <f t="shared" si="34"/>
        <v>17.500000000000004</v>
      </c>
      <c r="AZ17" s="5">
        <f>Premie_leeftijd!J16</f>
        <v>6.8302853826762711E-4</v>
      </c>
      <c r="BA17" s="5"/>
      <c r="BB17" s="54">
        <v>10</v>
      </c>
      <c r="BC17" s="54">
        <f t="shared" si="22"/>
        <v>55</v>
      </c>
      <c r="BD17" s="54">
        <f t="shared" si="23"/>
        <v>55</v>
      </c>
      <c r="BE17" s="54" t="b">
        <f t="shared" si="35"/>
        <v>0</v>
      </c>
      <c r="BF17" s="54">
        <f t="shared" si="24"/>
        <v>17.499999999999996</v>
      </c>
      <c r="BG17" s="54">
        <f t="shared" si="25"/>
        <v>25</v>
      </c>
      <c r="BH17" s="54">
        <f t="shared" si="26"/>
        <v>25</v>
      </c>
      <c r="BI17" s="54">
        <f t="shared" si="27"/>
        <v>25</v>
      </c>
      <c r="BJ17" s="54">
        <f t="shared" si="28"/>
        <v>25</v>
      </c>
    </row>
    <row r="18" spans="1:62" x14ac:dyDescent="0.25">
      <c r="A18">
        <f>Grondslag!A13</f>
        <v>36</v>
      </c>
      <c r="C18" s="73">
        <f t="shared" si="2"/>
        <v>36</v>
      </c>
      <c r="F18">
        <f>OPperjr*Grondslag!S13</f>
        <v>0.58139534883720934</v>
      </c>
      <c r="G18" s="73" cm="1">
        <f t="array" ref="G18">G19*(1+reele_index_opb)</f>
        <v>1</v>
      </c>
      <c r="H18" s="73">
        <f>SUMPRODUCT(F$7:F18, G$7:G18)/G18</f>
        <v>6.9767441860465125</v>
      </c>
      <c r="I18" s="18">
        <f>I17*(1+reele_index_opb)+ Premie_leeftijd!Y17* Premie_leeftijd!AK17* Premie_leeftijd!AL17 /Settings!$O$10</f>
        <v>7.6235360000356742</v>
      </c>
      <c r="J18" s="18"/>
      <c r="K18">
        <f>(1+K19)/(1+Settings!I$10)</f>
        <v>31</v>
      </c>
      <c r="L18"/>
      <c r="M18" s="73">
        <f t="shared" si="3"/>
        <v>0</v>
      </c>
      <c r="N18" s="73">
        <f t="shared" si="3"/>
        <v>0</v>
      </c>
      <c r="O18" s="18">
        <f>Settings!$I$3*Grondslag!J13</f>
        <v>25</v>
      </c>
      <c r="P18" s="18">
        <f>Settings!$I$7*MAX(Grondslag!J13 - x*voltijdfranchise/1000*(Premie_leeftijd!T17=0),0)</f>
        <v>25</v>
      </c>
      <c r="Q18" s="18">
        <f>Settings!$I$7*MAX(Grondslag!J13 - voltijdfranchise/1000*(Premie_leeftijd!T17=0),0)</f>
        <v>17.5</v>
      </c>
      <c r="R18" s="18">
        <f>Settings!$I$3*Grondslag!J13*(1-Premie_leeftijd!R17)</f>
        <v>25</v>
      </c>
      <c r="S18" s="73">
        <f t="shared" si="29"/>
        <v>19.663524799975029</v>
      </c>
      <c r="U18" s="20" cm="1">
        <f t="array" ref="U18">SUMPRODUCT(Premie_leeftijd!AL$6:AL17, 1/Premie_leeftijd!AJ$6:AJ17, Premie_leeftijd!Y$6:Y17, G$7:G18)/G18 + Premie_leeftijd!AN18* Premie_leeftijd!Y18</f>
        <v>17.5</v>
      </c>
      <c r="V18" s="73">
        <f t="shared" si="4"/>
        <v>17.5</v>
      </c>
      <c r="W18" s="42" cm="1">
        <f t="array" ref="W18">Premie_leeftijd!$Y17*Premie_leeftijd!CG17/Premie_leeftijd!CE17 + W17*(1+reele_index_opb)</f>
        <v>6.3033963110428237</v>
      </c>
      <c r="X18" s="31" cm="1">
        <f t="array" ref="X18">Premie_leeftijd!$Y17*Premie_leeftijd!BY17/Premie_leeftijd!BW17 + X17*(1+reele_index_opb)</f>
        <v>5.8480524449331934</v>
      </c>
      <c r="Y18" s="20" cm="1">
        <f t="array" ref="Y18">Premie_leeftijd!AL17*Premie_leeftijd!$Y17/Premie_leeftijd!AJ17 + Y17*(1+reele_index_opb)</f>
        <v>5.3364752000249709</v>
      </c>
      <c r="Z18" s="20"/>
      <c r="AA18" s="20">
        <f t="shared" si="30"/>
        <v>36</v>
      </c>
      <c r="AB18" s="41">
        <f t="shared" si="5"/>
        <v>17.5</v>
      </c>
      <c r="AC18" s="41">
        <f t="shared" si="6"/>
        <v>17.5</v>
      </c>
      <c r="AD18" s="20">
        <f t="shared" si="31"/>
        <v>25</v>
      </c>
      <c r="AE18" s="20">
        <f t="shared" si="7"/>
        <v>25</v>
      </c>
      <c r="AF18" s="20">
        <f t="shared" si="8"/>
        <v>25</v>
      </c>
      <c r="AG18" s="20">
        <f t="shared" si="9"/>
        <v>25</v>
      </c>
      <c r="AI18" s="73">
        <f t="shared" si="10"/>
        <v>31</v>
      </c>
      <c r="AJ18" s="73">
        <f t="shared" si="11"/>
        <v>17.5</v>
      </c>
      <c r="AK18" s="73">
        <f t="shared" si="12"/>
        <v>17.5</v>
      </c>
      <c r="AL18" s="73">
        <f t="shared" si="13"/>
        <v>25</v>
      </c>
      <c r="AM18" s="73">
        <f t="shared" si="14"/>
        <v>25</v>
      </c>
      <c r="AN18" s="73">
        <f t="shared" si="15"/>
        <v>25</v>
      </c>
      <c r="AO18" s="73">
        <f t="shared" si="16"/>
        <v>25</v>
      </c>
      <c r="AQ18" s="20">
        <f t="shared" si="32"/>
        <v>36</v>
      </c>
      <c r="AR18" s="20">
        <f t="shared" si="17"/>
        <v>32</v>
      </c>
      <c r="AS18" s="18">
        <f t="shared" si="18"/>
        <v>17.5</v>
      </c>
      <c r="AT18" s="18">
        <f t="shared" si="19"/>
        <v>17.5</v>
      </c>
      <c r="AU18" s="73">
        <f t="shared" si="20"/>
        <v>25</v>
      </c>
      <c r="AV18" s="73">
        <f t="shared" si="21"/>
        <v>17.5</v>
      </c>
      <c r="AW18" s="18">
        <f t="shared" si="33"/>
        <v>17.5</v>
      </c>
      <c r="AX18" s="18">
        <f t="shared" si="34"/>
        <v>17.5</v>
      </c>
      <c r="AZ18" s="5">
        <f>Premie_leeftijd!J17</f>
        <v>6.4194411491313996E-4</v>
      </c>
      <c r="BA18" s="5"/>
      <c r="BB18" s="54">
        <v>11</v>
      </c>
      <c r="BC18" s="54">
        <f t="shared" si="22"/>
        <v>56</v>
      </c>
      <c r="BD18" s="54">
        <f t="shared" si="23"/>
        <v>56</v>
      </c>
      <c r="BE18" s="54" t="b">
        <f t="shared" si="35"/>
        <v>0</v>
      </c>
      <c r="BF18" s="54">
        <f t="shared" si="24"/>
        <v>17.499999999999996</v>
      </c>
      <c r="BG18" s="54">
        <f t="shared" si="25"/>
        <v>25</v>
      </c>
      <c r="BH18" s="54">
        <f t="shared" si="26"/>
        <v>25</v>
      </c>
      <c r="BI18" s="54">
        <f t="shared" si="27"/>
        <v>25</v>
      </c>
      <c r="BJ18" s="54">
        <f t="shared" si="28"/>
        <v>25</v>
      </c>
    </row>
    <row r="19" spans="1:62" x14ac:dyDescent="0.25">
      <c r="A19">
        <f>Grondslag!A14</f>
        <v>37</v>
      </c>
      <c r="C19" s="73">
        <f t="shared" si="2"/>
        <v>37</v>
      </c>
      <c r="F19">
        <f>OPperjr*Grondslag!S14</f>
        <v>0.58139534883720934</v>
      </c>
      <c r="G19" s="73" cm="1">
        <f t="array" ref="G19">G20*(1+reele_index_opb)</f>
        <v>1</v>
      </c>
      <c r="H19" s="73">
        <f>SUMPRODUCT(F$7:F19, G$7:G19)/G19</f>
        <v>7.5581395348837219</v>
      </c>
      <c r="I19" s="18">
        <f>I18*(1+reele_index_opb)+ Premie_leeftijd!Y18* Premie_leeftijd!AK18* Premie_leeftijd!AL18 /Settings!$O$10</f>
        <v>8.22231678126189</v>
      </c>
      <c r="J19" s="18"/>
      <c r="K19">
        <f>(1+K20)/(1+Settings!I$10)</f>
        <v>30</v>
      </c>
      <c r="L19"/>
      <c r="M19" s="73">
        <f t="shared" si="3"/>
        <v>0</v>
      </c>
      <c r="N19" s="73">
        <f t="shared" si="3"/>
        <v>0</v>
      </c>
      <c r="O19" s="18">
        <f>Settings!$I$3*Grondslag!J14</f>
        <v>25</v>
      </c>
      <c r="P19" s="18">
        <f>Settings!$I$7*MAX(Grondslag!J14 - x*voltijdfranchise/1000*(Premie_leeftijd!T18=0),0)</f>
        <v>25</v>
      </c>
      <c r="Q19" s="18">
        <f>Settings!$I$7*MAX(Grondslag!J14 - voltijdfranchise/1000*(Premie_leeftijd!T18=0),0)</f>
        <v>17.5</v>
      </c>
      <c r="R19" s="18">
        <f>Settings!$I$3*Grondslag!J14*(1-Premie_leeftijd!R18)</f>
        <v>25</v>
      </c>
      <c r="S19" s="73">
        <f t="shared" si="29"/>
        <v>19.244378253116679</v>
      </c>
      <c r="U19" s="20" cm="1">
        <f t="array" ref="U19">SUMPRODUCT(Premie_leeftijd!AL$6:AL18, 1/Premie_leeftijd!AJ$6:AJ18, Premie_leeftijd!Y$6:Y18, G$7:G19)/G19 + Premie_leeftijd!AN19* Premie_leeftijd!Y19</f>
        <v>17.5</v>
      </c>
      <c r="V19" s="73">
        <f t="shared" si="4"/>
        <v>17.5</v>
      </c>
      <c r="W19" s="42" cm="1">
        <f t="array" ref="W19">Premie_leeftijd!$Y18*Premie_leeftijd!CG18/Premie_leeftijd!CE18 + W18*(1+reele_index_opb)</f>
        <v>6.7754889536297442</v>
      </c>
      <c r="X19" s="31" cm="1">
        <f t="array" ref="X19">Premie_leeftijd!$Y18*Premie_leeftijd!BY18/Premie_leeftijd!BW18 + X18*(1+reele_index_opb)</f>
        <v>6.2926813912649875</v>
      </c>
      <c r="Y19" s="20" cm="1">
        <f t="array" ref="Y19">Premie_leeftijd!AL18*Premie_leeftijd!$Y18/Premie_leeftijd!AJ18 + Y18*(1+reele_index_opb)</f>
        <v>5.755621746883322</v>
      </c>
      <c r="Z19" s="20"/>
      <c r="AA19" s="20">
        <f t="shared" si="30"/>
        <v>37</v>
      </c>
      <c r="AB19" s="41">
        <f t="shared" si="5"/>
        <v>17.5</v>
      </c>
      <c r="AC19" s="41">
        <f t="shared" si="6"/>
        <v>17.5</v>
      </c>
      <c r="AD19" s="20">
        <f t="shared" si="31"/>
        <v>25</v>
      </c>
      <c r="AE19" s="20">
        <f t="shared" si="7"/>
        <v>25</v>
      </c>
      <c r="AF19" s="20">
        <f t="shared" si="8"/>
        <v>25</v>
      </c>
      <c r="AG19" s="20">
        <f t="shared" si="9"/>
        <v>25</v>
      </c>
      <c r="AI19" s="73">
        <f t="shared" si="10"/>
        <v>30</v>
      </c>
      <c r="AJ19" s="73">
        <f t="shared" si="11"/>
        <v>17.5</v>
      </c>
      <c r="AK19" s="73">
        <f t="shared" si="12"/>
        <v>17.5</v>
      </c>
      <c r="AL19" s="73">
        <f t="shared" si="13"/>
        <v>25</v>
      </c>
      <c r="AM19" s="73">
        <f t="shared" si="14"/>
        <v>25</v>
      </c>
      <c r="AN19" s="73">
        <f t="shared" si="15"/>
        <v>25</v>
      </c>
      <c r="AO19" s="73">
        <f t="shared" si="16"/>
        <v>25</v>
      </c>
      <c r="AQ19" s="20">
        <f t="shared" si="32"/>
        <v>37</v>
      </c>
      <c r="AR19" s="20">
        <f t="shared" si="17"/>
        <v>31</v>
      </c>
      <c r="AS19" s="18">
        <f t="shared" si="18"/>
        <v>17.5</v>
      </c>
      <c r="AT19" s="18">
        <f t="shared" si="19"/>
        <v>17.5</v>
      </c>
      <c r="AU19" s="73">
        <f t="shared" si="20"/>
        <v>25</v>
      </c>
      <c r="AV19" s="73">
        <f t="shared" si="21"/>
        <v>17.5</v>
      </c>
      <c r="AW19" s="18">
        <f t="shared" si="33"/>
        <v>17.5</v>
      </c>
      <c r="AX19" s="18">
        <f t="shared" si="34"/>
        <v>17.5</v>
      </c>
      <c r="AZ19" s="5">
        <f>Premie_leeftijd!J18</f>
        <v>7.7033293789574575E-4</v>
      </c>
      <c r="BA19" s="5"/>
      <c r="BB19" s="54">
        <v>12</v>
      </c>
      <c r="BC19" s="54">
        <f t="shared" si="22"/>
        <v>57</v>
      </c>
      <c r="BD19" s="54">
        <f t="shared" si="23"/>
        <v>57</v>
      </c>
      <c r="BE19" s="54" t="b">
        <f t="shared" si="35"/>
        <v>0</v>
      </c>
      <c r="BF19" s="54">
        <f t="shared" si="24"/>
        <v>17.499999999999996</v>
      </c>
      <c r="BG19" s="54">
        <f t="shared" si="25"/>
        <v>25</v>
      </c>
      <c r="BH19" s="54">
        <f t="shared" si="26"/>
        <v>25</v>
      </c>
      <c r="BI19" s="54">
        <f t="shared" si="27"/>
        <v>25</v>
      </c>
      <c r="BJ19" s="54">
        <f t="shared" si="28"/>
        <v>25</v>
      </c>
    </row>
    <row r="20" spans="1:62" x14ac:dyDescent="0.25">
      <c r="A20">
        <f>Grondslag!A15</f>
        <v>38</v>
      </c>
      <c r="C20" s="73">
        <f t="shared" si="2"/>
        <v>38</v>
      </c>
      <c r="F20">
        <f>OPperjr*Grondslag!S15</f>
        <v>0.58139534883720934</v>
      </c>
      <c r="G20" s="73" cm="1">
        <f t="array" ref="G20">G21*(1+reele_index_opb)</f>
        <v>1</v>
      </c>
      <c r="H20" s="73">
        <f>SUMPRODUCT(F$7:F20, G$7:G20)/G20</f>
        <v>8.1395348837209305</v>
      </c>
      <c r="I20" s="18">
        <f>I19*(1+reele_index_opb)+ Premie_leeftijd!Y19* Premie_leeftijd!AK19* Premie_leeftijd!AL19 /Settings!$O$10</f>
        <v>8.8160719620198975</v>
      </c>
      <c r="J20" s="18"/>
      <c r="K20">
        <f>(1+K21)/(1+Settings!I$10)</f>
        <v>29</v>
      </c>
      <c r="L20"/>
      <c r="M20" s="73">
        <f t="shared" si="3"/>
        <v>0</v>
      </c>
      <c r="N20" s="73">
        <f t="shared" si="3"/>
        <v>0</v>
      </c>
      <c r="O20" s="18">
        <f>Settings!$I$3*Grondslag!J15</f>
        <v>25</v>
      </c>
      <c r="P20" s="18">
        <f>Settings!$I$7*MAX(Grondslag!J15 - x*voltijdfranchise/1000*(Premie_leeftijd!T19=0),0)</f>
        <v>25</v>
      </c>
      <c r="Q20" s="18">
        <f>Settings!$I$7*MAX(Grondslag!J15 - voltijdfranchise/1000*(Premie_leeftijd!T19=0),0)</f>
        <v>17.5</v>
      </c>
      <c r="R20" s="18">
        <f>Settings!$I$3*Grondslag!J15*(1-Premie_leeftijd!R19)</f>
        <v>25</v>
      </c>
      <c r="S20" s="73">
        <f t="shared" si="29"/>
        <v>18.828749626586074</v>
      </c>
      <c r="U20" s="20" cm="1">
        <f t="array" ref="U20">SUMPRODUCT(Premie_leeftijd!AL$6:AL19, 1/Premie_leeftijd!AJ$6:AJ19, Premie_leeftijd!Y$6:Y19, G$7:G20)/G20 + Premie_leeftijd!AN20* Premie_leeftijd!Y20</f>
        <v>17.500000000000004</v>
      </c>
      <c r="V20" s="73">
        <f t="shared" si="4"/>
        <v>17.5</v>
      </c>
      <c r="W20" s="42" cm="1">
        <f t="array" ref="W20">Premie_leeftijd!$Y19*Premie_leeftijd!CG19/Premie_leeftijd!CE19 + W19*(1+reele_index_opb)</f>
        <v>7.2398207877000749</v>
      </c>
      <c r="X20" s="31" cm="1">
        <f t="array" ref="X20">Premie_leeftijd!$Y19*Premie_leeftijd!BY19/Premie_leeftijd!BW19 + X19*(1+reele_index_opb)</f>
        <v>6.7312510904833935</v>
      </c>
      <c r="Y20" s="20" cm="1">
        <f t="array" ref="Y20">Premie_leeftijd!AL19*Premie_leeftijd!$Y19/Premie_leeftijd!AJ19 + Y19*(1+reele_index_opb)</f>
        <v>6.171250373413927</v>
      </c>
      <c r="Z20" s="20"/>
      <c r="AA20" s="20">
        <f t="shared" si="30"/>
        <v>38</v>
      </c>
      <c r="AB20" s="41">
        <f t="shared" si="5"/>
        <v>17.500000000000004</v>
      </c>
      <c r="AC20" s="41">
        <f t="shared" si="6"/>
        <v>17.5</v>
      </c>
      <c r="AD20" s="20">
        <f t="shared" si="31"/>
        <v>25</v>
      </c>
      <c r="AE20" s="20">
        <f t="shared" si="7"/>
        <v>25</v>
      </c>
      <c r="AF20" s="20">
        <f t="shared" si="8"/>
        <v>25</v>
      </c>
      <c r="AG20" s="20">
        <f t="shared" si="9"/>
        <v>25</v>
      </c>
      <c r="AI20" s="73">
        <f t="shared" si="10"/>
        <v>29</v>
      </c>
      <c r="AJ20" s="73">
        <f t="shared" si="11"/>
        <v>17.500000000000004</v>
      </c>
      <c r="AK20" s="73">
        <f t="shared" si="12"/>
        <v>17.5</v>
      </c>
      <c r="AL20" s="73">
        <f t="shared" si="13"/>
        <v>25</v>
      </c>
      <c r="AM20" s="73">
        <f t="shared" si="14"/>
        <v>25</v>
      </c>
      <c r="AN20" s="73">
        <f t="shared" si="15"/>
        <v>25</v>
      </c>
      <c r="AO20" s="73">
        <f t="shared" si="16"/>
        <v>25</v>
      </c>
      <c r="AQ20" s="20">
        <f t="shared" si="32"/>
        <v>38</v>
      </c>
      <c r="AR20" s="20">
        <f t="shared" si="17"/>
        <v>30</v>
      </c>
      <c r="AS20" s="18">
        <f t="shared" si="18"/>
        <v>17.500000000000004</v>
      </c>
      <c r="AT20" s="18">
        <f t="shared" si="19"/>
        <v>17.5</v>
      </c>
      <c r="AU20" s="73">
        <f t="shared" si="20"/>
        <v>25</v>
      </c>
      <c r="AV20" s="73">
        <f t="shared" si="21"/>
        <v>17.5</v>
      </c>
      <c r="AW20" s="18">
        <f t="shared" si="33"/>
        <v>17.500000000000004</v>
      </c>
      <c r="AX20" s="18">
        <f t="shared" si="34"/>
        <v>17.500000000000004</v>
      </c>
      <c r="AZ20" s="5">
        <f>Premie_leeftijd!J19</f>
        <v>8.3709512584673185E-4</v>
      </c>
      <c r="BA20" s="5"/>
      <c r="BB20" s="54">
        <v>13</v>
      </c>
      <c r="BC20" s="54">
        <f t="shared" si="22"/>
        <v>58</v>
      </c>
      <c r="BD20" s="54">
        <f t="shared" si="23"/>
        <v>58</v>
      </c>
      <c r="BE20" s="54" t="b">
        <f t="shared" si="35"/>
        <v>0</v>
      </c>
      <c r="BF20" s="54">
        <f t="shared" si="24"/>
        <v>17.499999999999996</v>
      </c>
      <c r="BG20" s="54">
        <f t="shared" si="25"/>
        <v>25</v>
      </c>
      <c r="BH20" s="54">
        <f t="shared" si="26"/>
        <v>25</v>
      </c>
      <c r="BI20" s="54">
        <f t="shared" si="27"/>
        <v>25</v>
      </c>
      <c r="BJ20" s="54">
        <f t="shared" si="28"/>
        <v>25</v>
      </c>
    </row>
    <row r="21" spans="1:62" x14ac:dyDescent="0.25">
      <c r="A21">
        <f>Grondslag!A16</f>
        <v>39</v>
      </c>
      <c r="C21" s="73">
        <f t="shared" si="2"/>
        <v>39</v>
      </c>
      <c r="F21">
        <f>OPperjr*Grondslag!S16</f>
        <v>0.58139534883720934</v>
      </c>
      <c r="G21" s="73" cm="1">
        <f t="array" ref="G21">G22*(1+reele_index_opb)</f>
        <v>1</v>
      </c>
      <c r="H21" s="73">
        <f>SUMPRODUCT(F$7:F21, G$7:G21)/G21</f>
        <v>8.720930232558139</v>
      </c>
      <c r="I21" s="18">
        <f>I20*(1+reele_index_opb)+ Premie_leeftijd!Y20* Premie_leeftijd!AK20* Premie_leeftijd!AL20 /Settings!$O$10</f>
        <v>9.4051912465648524</v>
      </c>
      <c r="J21" s="18"/>
      <c r="K21">
        <f>(1+K22)/(1+Settings!I$10)</f>
        <v>28</v>
      </c>
      <c r="L21"/>
      <c r="M21" s="73">
        <f t="shared" si="3"/>
        <v>0</v>
      </c>
      <c r="N21" s="73">
        <f t="shared" si="3"/>
        <v>0</v>
      </c>
      <c r="O21" s="18">
        <f>Settings!$I$3*Grondslag!J16</f>
        <v>25</v>
      </c>
      <c r="P21" s="18">
        <f>Settings!$I$7*MAX(Grondslag!J16 - x*voltijdfranchise/1000*(Premie_leeftijd!T20=0),0)</f>
        <v>25</v>
      </c>
      <c r="Q21" s="18">
        <f>Settings!$I$7*MAX(Grondslag!J16 - voltijdfranchise/1000*(Premie_leeftijd!T20=0),0)</f>
        <v>17.5</v>
      </c>
      <c r="R21" s="18">
        <f>Settings!$I$3*Grondslag!J16*(1-Premie_leeftijd!R20)</f>
        <v>25</v>
      </c>
      <c r="S21" s="73">
        <f t="shared" si="29"/>
        <v>18.416366127404604</v>
      </c>
      <c r="U21" s="20" cm="1">
        <f t="array" ref="U21">SUMPRODUCT(Premie_leeftijd!AL$6:AL20, 1/Premie_leeftijd!AJ$6:AJ20, Premie_leeftijd!Y$6:Y20, G$7:G21)/G21 + Premie_leeftijd!AN21* Premie_leeftijd!Y21</f>
        <v>17.5</v>
      </c>
      <c r="V21" s="73">
        <f t="shared" si="4"/>
        <v>17.5</v>
      </c>
      <c r="W21" s="42" cm="1">
        <f t="array" ref="W21">Premie_leeftijd!$Y20*Premie_leeftijd!CG20/Premie_leeftijd!CE20 + W20*(1+reele_index_opb)</f>
        <v>7.6965518766409007</v>
      </c>
      <c r="X21" s="31" cm="1">
        <f t="array" ref="X21">Premie_leeftijd!$Y20*Premie_leeftijd!BY20/Premie_leeftijd!BW20 + X20*(1+reele_index_opb)</f>
        <v>7.1639858391426907</v>
      </c>
      <c r="Y21" s="20" cm="1">
        <f t="array" ref="Y21">Premie_leeftijd!AL20*Premie_leeftijd!$Y20/Premie_leeftijd!AJ20 + Y20*(1+reele_index_opb)</f>
        <v>6.5836338725953958</v>
      </c>
      <c r="Z21" s="20"/>
      <c r="AA21" s="20">
        <f t="shared" si="30"/>
        <v>39</v>
      </c>
      <c r="AB21" s="41">
        <f t="shared" si="5"/>
        <v>17.5</v>
      </c>
      <c r="AC21" s="41">
        <f t="shared" si="6"/>
        <v>17.5</v>
      </c>
      <c r="AD21" s="20">
        <f t="shared" si="31"/>
        <v>25</v>
      </c>
      <c r="AE21" s="20">
        <f t="shared" si="7"/>
        <v>25</v>
      </c>
      <c r="AF21" s="20">
        <f t="shared" si="8"/>
        <v>25</v>
      </c>
      <c r="AG21" s="20">
        <f t="shared" si="9"/>
        <v>25</v>
      </c>
      <c r="AI21" s="73">
        <f t="shared" si="10"/>
        <v>28</v>
      </c>
      <c r="AJ21" s="73">
        <f t="shared" si="11"/>
        <v>17.5</v>
      </c>
      <c r="AK21" s="73">
        <f t="shared" si="12"/>
        <v>17.5</v>
      </c>
      <c r="AL21" s="73">
        <f t="shared" si="13"/>
        <v>25</v>
      </c>
      <c r="AM21" s="73">
        <f t="shared" si="14"/>
        <v>25</v>
      </c>
      <c r="AN21" s="73">
        <f t="shared" si="15"/>
        <v>25</v>
      </c>
      <c r="AO21" s="73">
        <f t="shared" si="16"/>
        <v>25</v>
      </c>
      <c r="AQ21" s="20">
        <f t="shared" si="32"/>
        <v>39</v>
      </c>
      <c r="AR21" s="20">
        <f t="shared" si="17"/>
        <v>29</v>
      </c>
      <c r="AS21" s="18">
        <f t="shared" si="18"/>
        <v>17.5</v>
      </c>
      <c r="AT21" s="18">
        <f t="shared" si="19"/>
        <v>17.5</v>
      </c>
      <c r="AU21" s="73">
        <f t="shared" si="20"/>
        <v>25</v>
      </c>
      <c r="AV21" s="73">
        <f t="shared" si="21"/>
        <v>17.5</v>
      </c>
      <c r="AW21" s="18">
        <f t="shared" si="33"/>
        <v>17.5</v>
      </c>
      <c r="AX21" s="18">
        <f t="shared" si="34"/>
        <v>17.5</v>
      </c>
      <c r="AZ21" s="5">
        <f>Premie_leeftijd!J20</f>
        <v>8.0114625541161111E-4</v>
      </c>
      <c r="BA21" s="5"/>
      <c r="BB21" s="54">
        <v>14</v>
      </c>
      <c r="BC21" s="54">
        <f t="shared" si="22"/>
        <v>59</v>
      </c>
      <c r="BD21" s="54">
        <f t="shared" si="23"/>
        <v>59</v>
      </c>
      <c r="BE21" s="54" t="b">
        <f t="shared" si="35"/>
        <v>0</v>
      </c>
      <c r="BF21" s="54">
        <f t="shared" si="24"/>
        <v>17.499999999999996</v>
      </c>
      <c r="BG21" s="54">
        <f t="shared" si="25"/>
        <v>25</v>
      </c>
      <c r="BH21" s="54">
        <f t="shared" si="26"/>
        <v>25</v>
      </c>
      <c r="BI21" s="54">
        <f t="shared" si="27"/>
        <v>25</v>
      </c>
      <c r="BJ21" s="54">
        <f t="shared" si="28"/>
        <v>25</v>
      </c>
    </row>
    <row r="22" spans="1:62" x14ac:dyDescent="0.25">
      <c r="A22">
        <f>Grondslag!A17</f>
        <v>40</v>
      </c>
      <c r="C22" s="73">
        <f t="shared" si="2"/>
        <v>40</v>
      </c>
      <c r="F22">
        <f>OPperjr*Grondslag!S17</f>
        <v>0.58139534883720934</v>
      </c>
      <c r="G22" s="73" cm="1">
        <f t="array" ref="G22">G23*(1+reele_index_opb)</f>
        <v>1</v>
      </c>
      <c r="H22" s="73">
        <f>SUMPRODUCT(F$7:F22, G$7:G22)/G22</f>
        <v>9.3023255813953476</v>
      </c>
      <c r="I22" s="18">
        <f>I21*(1+reele_index_opb)+ Premie_leeftijd!Y21* Premie_leeftijd!AK21* Premie_leeftijd!AL21 /Settings!$O$10</f>
        <v>9.9892739310673946</v>
      </c>
      <c r="J22" s="18"/>
      <c r="K22">
        <f>(1+K23)/(1+Settings!I$10)</f>
        <v>27</v>
      </c>
      <c r="L22"/>
      <c r="M22" s="73">
        <f t="shared" si="3"/>
        <v>0</v>
      </c>
      <c r="N22" s="73">
        <f t="shared" si="3"/>
        <v>0</v>
      </c>
      <c r="O22" s="18">
        <f>Settings!$I$3*Grondslag!J17</f>
        <v>25</v>
      </c>
      <c r="P22" s="18">
        <f>Settings!$I$7*MAX(Grondslag!J17 - x*voltijdfranchise/1000*(Premie_leeftijd!T21=0),0)</f>
        <v>25</v>
      </c>
      <c r="Q22" s="18">
        <f>Settings!$I$7*MAX(Grondslag!J17 - voltijdfranchise/1000*(Premie_leeftijd!T21=0),0)</f>
        <v>17.5</v>
      </c>
      <c r="R22" s="18">
        <f>Settings!$I$3*Grondslag!J17*(1-Premie_leeftijd!R21)</f>
        <v>25</v>
      </c>
      <c r="S22" s="73">
        <f t="shared" si="29"/>
        <v>18.007508248252826</v>
      </c>
      <c r="U22" s="20" cm="1">
        <f t="array" ref="U22">SUMPRODUCT(Premie_leeftijd!AL$6:AL21, 1/Premie_leeftijd!AJ$6:AJ21, Premie_leeftijd!Y$6:Y21, G$7:G22)/G22 + Premie_leeftijd!AN22* Premie_leeftijd!Y22</f>
        <v>17.500000000000004</v>
      </c>
      <c r="V22" s="73">
        <f t="shared" si="4"/>
        <v>17.5</v>
      </c>
      <c r="W22" s="42" cm="1">
        <f t="array" ref="W22">Premie_leeftijd!$Y21*Premie_leeftijd!CG21/Premie_leeftijd!CE21 + W21*(1+reele_index_opb)</f>
        <v>8.1457175232585559</v>
      </c>
      <c r="X22" s="31" cm="1">
        <f t="array" ref="X22">Premie_leeftijd!$Y21*Premie_leeftijd!BY21/Premie_leeftijd!BW21 + X21*(1+reele_index_opb)</f>
        <v>7.5908254704482614</v>
      </c>
      <c r="Y22" s="20" cm="1">
        <f t="array" ref="Y22">Premie_leeftijd!AL21*Premie_leeftijd!$Y21/Premie_leeftijd!AJ21 + Y21*(1+reele_index_opb)</f>
        <v>6.992491751747175</v>
      </c>
      <c r="Z22" s="20"/>
      <c r="AA22" s="20">
        <f t="shared" si="30"/>
        <v>40</v>
      </c>
      <c r="AB22" s="41">
        <f t="shared" si="5"/>
        <v>17.500000000000004</v>
      </c>
      <c r="AC22" s="41">
        <f t="shared" si="6"/>
        <v>17.5</v>
      </c>
      <c r="AD22" s="20">
        <f t="shared" si="31"/>
        <v>25</v>
      </c>
      <c r="AE22" s="20">
        <f t="shared" si="7"/>
        <v>25</v>
      </c>
      <c r="AF22" s="20">
        <f t="shared" si="8"/>
        <v>25</v>
      </c>
      <c r="AG22" s="20">
        <f t="shared" si="9"/>
        <v>25</v>
      </c>
      <c r="AI22" s="73">
        <f t="shared" si="10"/>
        <v>27</v>
      </c>
      <c r="AJ22" s="73">
        <f t="shared" si="11"/>
        <v>17.500000000000004</v>
      </c>
      <c r="AK22" s="73">
        <f t="shared" si="12"/>
        <v>17.5</v>
      </c>
      <c r="AL22" s="73">
        <f t="shared" si="13"/>
        <v>25</v>
      </c>
      <c r="AM22" s="73">
        <f t="shared" si="14"/>
        <v>25</v>
      </c>
      <c r="AN22" s="73">
        <f t="shared" si="15"/>
        <v>25</v>
      </c>
      <c r="AO22" s="73">
        <f t="shared" si="16"/>
        <v>25</v>
      </c>
      <c r="AQ22" s="20">
        <f t="shared" si="32"/>
        <v>40</v>
      </c>
      <c r="AR22" s="20">
        <f t="shared" si="17"/>
        <v>28</v>
      </c>
      <c r="AS22" s="18">
        <f t="shared" si="18"/>
        <v>17.500000000000004</v>
      </c>
      <c r="AT22" s="18">
        <f t="shared" si="19"/>
        <v>17.5</v>
      </c>
      <c r="AU22" s="73">
        <f t="shared" si="20"/>
        <v>25</v>
      </c>
      <c r="AV22" s="73">
        <f t="shared" si="21"/>
        <v>17.5</v>
      </c>
      <c r="AW22" s="18">
        <f t="shared" si="33"/>
        <v>17.500000000000004</v>
      </c>
      <c r="AX22" s="18">
        <f t="shared" si="34"/>
        <v>17.500000000000004</v>
      </c>
      <c r="AZ22" s="5">
        <f>Premie_leeftijd!J21</f>
        <v>8.9872176087835154E-4</v>
      </c>
      <c r="BA22" s="5"/>
      <c r="BB22" s="54">
        <v>15</v>
      </c>
      <c r="BC22" s="54">
        <f t="shared" si="22"/>
        <v>60</v>
      </c>
      <c r="BD22" s="54">
        <f t="shared" si="23"/>
        <v>60</v>
      </c>
      <c r="BE22" s="54" t="b">
        <f t="shared" si="35"/>
        <v>0</v>
      </c>
      <c r="BF22" s="54">
        <f t="shared" si="24"/>
        <v>17.499999999999996</v>
      </c>
      <c r="BG22" s="54">
        <f t="shared" si="25"/>
        <v>25</v>
      </c>
      <c r="BH22" s="54">
        <f t="shared" si="26"/>
        <v>25</v>
      </c>
      <c r="BI22" s="54">
        <f t="shared" si="27"/>
        <v>25</v>
      </c>
      <c r="BJ22" s="54">
        <f t="shared" si="28"/>
        <v>25</v>
      </c>
    </row>
    <row r="23" spans="1:62" x14ac:dyDescent="0.25">
      <c r="A23">
        <f>Grondslag!A18</f>
        <v>41</v>
      </c>
      <c r="C23" s="73">
        <f t="shared" si="2"/>
        <v>41</v>
      </c>
      <c r="F23">
        <f>OPperjr*Grondslag!S18</f>
        <v>0.58139534883720934</v>
      </c>
      <c r="G23" s="73" cm="1">
        <f t="array" ref="G23">G24*(1+reele_index_opb)</f>
        <v>1</v>
      </c>
      <c r="H23" s="73">
        <f>SUMPRODUCT(F$7:F23, G$7:G23)/G23</f>
        <v>9.8837209302325562</v>
      </c>
      <c r="I23" s="18">
        <f>I22*(1+reele_index_opb)+ Premie_leeftijd!Y22* Premie_leeftijd!AK22* Premie_leeftijd!AL22 /Settings!$O$10</f>
        <v>10.56869875973228</v>
      </c>
      <c r="J23" s="18"/>
      <c r="K23">
        <f>(1+K24)/(1+Settings!I$10)</f>
        <v>26</v>
      </c>
      <c r="L23"/>
      <c r="M23" s="73">
        <f t="shared" si="3"/>
        <v>0</v>
      </c>
      <c r="N23" s="73">
        <f t="shared" si="3"/>
        <v>0</v>
      </c>
      <c r="O23" s="18">
        <f>Settings!$I$3*Grondslag!J18</f>
        <v>25</v>
      </c>
      <c r="P23" s="18">
        <f>Settings!$I$7*MAX(Grondslag!J18 - x*voltijdfranchise/1000*(Premie_leeftijd!T22=0),0)</f>
        <v>25</v>
      </c>
      <c r="Q23" s="18">
        <f>Settings!$I$7*MAX(Grondslag!J18 - voltijdfranchise/1000*(Premie_leeftijd!T22=0),0)</f>
        <v>17.5</v>
      </c>
      <c r="R23" s="18">
        <f>Settings!$I$3*Grondslag!J18*(1-Premie_leeftijd!R22)</f>
        <v>25</v>
      </c>
      <c r="S23" s="73">
        <f t="shared" si="29"/>
        <v>17.601910868187403</v>
      </c>
      <c r="U23" s="20" cm="1">
        <f t="array" ref="U23">SUMPRODUCT(Premie_leeftijd!AL$6:AL22, 1/Premie_leeftijd!AJ$6:AJ22, Premie_leeftijd!Y$6:Y22, G$7:G23)/G23 + Premie_leeftijd!AN23* Premie_leeftijd!Y23</f>
        <v>17.5</v>
      </c>
      <c r="V23" s="73">
        <f t="shared" si="4"/>
        <v>17.5</v>
      </c>
      <c r="W23" s="42" cm="1">
        <f t="array" ref="W23">Premie_leeftijd!$Y22*Premie_leeftijd!CG22/Premie_leeftijd!CE22 + W22*(1+reele_index_opb)</f>
        <v>8.5873505983387464</v>
      </c>
      <c r="X23" s="31" cm="1">
        <f t="array" ref="X23">Premie_leeftijd!$Y22*Premie_leeftijd!BY22/Premie_leeftijd!BW22 + X22*(1+reele_index_opb)</f>
        <v>8.0119196614219579</v>
      </c>
      <c r="Y23" s="20" cm="1">
        <f t="array" ref="Y23">Premie_leeftijd!AL22*Premie_leeftijd!$Y22/Premie_leeftijd!AJ22 + Y22*(1+reele_index_opb)</f>
        <v>7.3980891318125952</v>
      </c>
      <c r="Z23" s="20"/>
      <c r="AA23" s="20">
        <f t="shared" si="30"/>
        <v>41</v>
      </c>
      <c r="AB23" s="41">
        <f t="shared" si="5"/>
        <v>17.5</v>
      </c>
      <c r="AC23" s="41">
        <f t="shared" si="6"/>
        <v>17.5</v>
      </c>
      <c r="AD23" s="20">
        <f t="shared" si="31"/>
        <v>25</v>
      </c>
      <c r="AE23" s="20">
        <f t="shared" si="7"/>
        <v>25</v>
      </c>
      <c r="AF23" s="20">
        <f t="shared" si="8"/>
        <v>25</v>
      </c>
      <c r="AG23" s="20">
        <f t="shared" si="9"/>
        <v>25</v>
      </c>
      <c r="AI23" s="73">
        <f t="shared" si="10"/>
        <v>26</v>
      </c>
      <c r="AJ23" s="73">
        <f t="shared" si="11"/>
        <v>17.5</v>
      </c>
      <c r="AK23" s="73">
        <f t="shared" si="12"/>
        <v>17.5</v>
      </c>
      <c r="AL23" s="73">
        <f t="shared" si="13"/>
        <v>25</v>
      </c>
      <c r="AM23" s="73">
        <f t="shared" si="14"/>
        <v>25</v>
      </c>
      <c r="AN23" s="73">
        <f t="shared" si="15"/>
        <v>25</v>
      </c>
      <c r="AO23" s="73">
        <f t="shared" si="16"/>
        <v>25</v>
      </c>
      <c r="AQ23" s="20">
        <f t="shared" si="32"/>
        <v>41</v>
      </c>
      <c r="AR23" s="20">
        <f t="shared" si="17"/>
        <v>27</v>
      </c>
      <c r="AS23" s="18">
        <f t="shared" si="18"/>
        <v>17.5</v>
      </c>
      <c r="AT23" s="18">
        <f t="shared" si="19"/>
        <v>17.5</v>
      </c>
      <c r="AU23" s="73">
        <f t="shared" si="20"/>
        <v>25</v>
      </c>
      <c r="AV23" s="73">
        <f t="shared" si="21"/>
        <v>17.5</v>
      </c>
      <c r="AW23" s="18">
        <f t="shared" si="33"/>
        <v>17.5</v>
      </c>
      <c r="AX23" s="18">
        <f t="shared" si="34"/>
        <v>17.5</v>
      </c>
      <c r="AZ23" s="5">
        <f>Premie_leeftijd!J22</f>
        <v>1.0014328192644584E-3</v>
      </c>
      <c r="BA23" s="5"/>
      <c r="BB23" s="54">
        <v>16</v>
      </c>
      <c r="BC23" s="54">
        <f t="shared" si="22"/>
        <v>61</v>
      </c>
      <c r="BD23" s="54">
        <f t="shared" si="23"/>
        <v>61</v>
      </c>
      <c r="BE23" s="54" t="b">
        <f t="shared" si="35"/>
        <v>0</v>
      </c>
      <c r="BF23" s="54">
        <f t="shared" si="24"/>
        <v>17.499999999999996</v>
      </c>
      <c r="BG23" s="54">
        <f t="shared" si="25"/>
        <v>25</v>
      </c>
      <c r="BH23" s="54">
        <f t="shared" si="26"/>
        <v>25</v>
      </c>
      <c r="BI23" s="54">
        <f t="shared" si="27"/>
        <v>25</v>
      </c>
      <c r="BJ23" s="54">
        <f t="shared" si="28"/>
        <v>25</v>
      </c>
    </row>
    <row r="24" spans="1:62" x14ac:dyDescent="0.25">
      <c r="A24">
        <f>Grondslag!A19</f>
        <v>42</v>
      </c>
      <c r="C24" s="73">
        <f t="shared" si="2"/>
        <v>42</v>
      </c>
      <c r="F24">
        <f>OPperjr*Grondslag!S19</f>
        <v>0.58139534883720934</v>
      </c>
      <c r="G24" s="73" cm="1">
        <f t="array" ref="G24">G25*(1+reele_index_opb)</f>
        <v>1</v>
      </c>
      <c r="H24" s="73">
        <f>SUMPRODUCT(F$7:F24, G$7:G24)/G24</f>
        <v>10.465116279069765</v>
      </c>
      <c r="I24" s="18">
        <f>I23*(1+reele_index_opb)+ Premie_leeftijd!Y23* Premie_leeftijd!AK23* Premie_leeftijd!AL23 /Settings!$O$10</f>
        <v>11.143838026823932</v>
      </c>
      <c r="J24" s="18"/>
      <c r="K24">
        <f>(1+K25)/(1+Settings!I$10)</f>
        <v>25</v>
      </c>
      <c r="L24"/>
      <c r="M24" s="73">
        <f t="shared" si="3"/>
        <v>0</v>
      </c>
      <c r="N24" s="73">
        <f t="shared" si="3"/>
        <v>0</v>
      </c>
      <c r="O24" s="18">
        <f>Settings!$I$3*Grondslag!J19</f>
        <v>25</v>
      </c>
      <c r="P24" s="18">
        <f>Settings!$I$7*MAX(Grondslag!J19 - x*voltijdfranchise/1000*(Premie_leeftijd!T23=0),0)</f>
        <v>25</v>
      </c>
      <c r="Q24" s="18">
        <f>Settings!$I$7*MAX(Grondslag!J19 - voltijdfranchise/1000*(Premie_leeftijd!T23=0),0)</f>
        <v>17.5</v>
      </c>
      <c r="R24" s="18">
        <f>Settings!$I$3*Grondslag!J19*(1-Premie_leeftijd!R23)</f>
        <v>25</v>
      </c>
      <c r="S24" s="73">
        <f t="shared" si="29"/>
        <v>17.199313381223249</v>
      </c>
      <c r="U24" s="20" cm="1">
        <f t="array" ref="U24">SUMPRODUCT(Premie_leeftijd!AL$6:AL23, 1/Premie_leeftijd!AJ$6:AJ23, Premie_leeftijd!Y$6:Y23, G$7:G24)/G24 + Premie_leeftijd!AN24* Premie_leeftijd!Y24</f>
        <v>17.500000000000004</v>
      </c>
      <c r="V24" s="73">
        <f t="shared" si="4"/>
        <v>17.5</v>
      </c>
      <c r="W24" s="42" cm="1">
        <f t="array" ref="W24">Premie_leeftijd!$Y23*Premie_leeftijd!CG23/Premie_leeftijd!CE23 + W23*(1+reele_index_opb)</f>
        <v>9.0214817596592756</v>
      </c>
      <c r="X24" s="31" cm="1">
        <f t="array" ref="X24">Premie_leeftijd!$Y23*Premie_leeftijd!BY23/Premie_leeftijd!BW23 + X23*(1+reele_index_opb)</f>
        <v>8.4274191530663671</v>
      </c>
      <c r="Y24" s="20" cm="1">
        <f t="array" ref="Y24">Premie_leeftijd!AL23*Premie_leeftijd!$Y23/Premie_leeftijd!AJ23 + Y23*(1+reele_index_opb)</f>
        <v>7.8006866187767514</v>
      </c>
      <c r="Z24" s="20"/>
      <c r="AA24" s="20">
        <f t="shared" si="30"/>
        <v>42</v>
      </c>
      <c r="AB24" s="41">
        <f t="shared" si="5"/>
        <v>17.500000000000004</v>
      </c>
      <c r="AC24" s="41">
        <f t="shared" si="6"/>
        <v>17.5</v>
      </c>
      <c r="AD24" s="20">
        <f t="shared" si="31"/>
        <v>25</v>
      </c>
      <c r="AE24" s="20">
        <f t="shared" si="7"/>
        <v>25</v>
      </c>
      <c r="AF24" s="20">
        <f t="shared" si="8"/>
        <v>25</v>
      </c>
      <c r="AG24" s="20">
        <f t="shared" si="9"/>
        <v>25</v>
      </c>
      <c r="AI24" s="73">
        <f t="shared" si="10"/>
        <v>25</v>
      </c>
      <c r="AJ24" s="73">
        <f t="shared" si="11"/>
        <v>17.500000000000004</v>
      </c>
      <c r="AK24" s="73">
        <f t="shared" si="12"/>
        <v>17.5</v>
      </c>
      <c r="AL24" s="73">
        <f t="shared" si="13"/>
        <v>25</v>
      </c>
      <c r="AM24" s="73">
        <f t="shared" si="14"/>
        <v>25</v>
      </c>
      <c r="AN24" s="73">
        <f t="shared" si="15"/>
        <v>25</v>
      </c>
      <c r="AO24" s="73">
        <f t="shared" si="16"/>
        <v>25</v>
      </c>
      <c r="AQ24" s="20">
        <f t="shared" si="32"/>
        <v>42</v>
      </c>
      <c r="AR24" s="20">
        <f t="shared" si="17"/>
        <v>26</v>
      </c>
      <c r="AS24" s="18">
        <f t="shared" si="18"/>
        <v>17.500000000000004</v>
      </c>
      <c r="AT24" s="18">
        <f t="shared" si="19"/>
        <v>17.5</v>
      </c>
      <c r="AU24" s="73">
        <f t="shared" si="20"/>
        <v>25</v>
      </c>
      <c r="AV24" s="73">
        <f t="shared" si="21"/>
        <v>17.5</v>
      </c>
      <c r="AW24" s="18">
        <f t="shared" si="33"/>
        <v>17.500000000000004</v>
      </c>
      <c r="AX24" s="18">
        <f t="shared" si="34"/>
        <v>17.500000000000004</v>
      </c>
      <c r="AZ24" s="5">
        <f>Premie_leeftijd!J23</f>
        <v>1.1092794305699316E-3</v>
      </c>
      <c r="BA24" s="5"/>
      <c r="BB24" s="54">
        <v>17</v>
      </c>
      <c r="BC24" s="54">
        <f t="shared" si="22"/>
        <v>62</v>
      </c>
      <c r="BD24" s="54">
        <f t="shared" si="23"/>
        <v>62</v>
      </c>
      <c r="BE24" s="54" t="b">
        <f t="shared" si="35"/>
        <v>0</v>
      </c>
      <c r="BF24" s="54">
        <f t="shared" si="24"/>
        <v>17.499999999999996</v>
      </c>
      <c r="BG24" s="54">
        <f t="shared" si="25"/>
        <v>25</v>
      </c>
      <c r="BH24" s="54">
        <f t="shared" si="26"/>
        <v>25</v>
      </c>
      <c r="BI24" s="54">
        <f t="shared" si="27"/>
        <v>25</v>
      </c>
      <c r="BJ24" s="54">
        <f t="shared" si="28"/>
        <v>25</v>
      </c>
    </row>
    <row r="25" spans="1:62" x14ac:dyDescent="0.25">
      <c r="A25">
        <f>Grondslag!A20</f>
        <v>43</v>
      </c>
      <c r="C25" s="73">
        <f t="shared" si="2"/>
        <v>43</v>
      </c>
      <c r="F25">
        <f>OPperjr*Grondslag!S20</f>
        <v>0.58139534883720934</v>
      </c>
      <c r="G25" s="73" cm="1">
        <f t="array" ref="G25">G26*(1+reele_index_opb)</f>
        <v>1</v>
      </c>
      <c r="H25" s="73">
        <f>SUMPRODUCT(F$7:F25, G$7:G25)/G25</f>
        <v>11.046511627906973</v>
      </c>
      <c r="I25" s="18">
        <f>I24*(1+reele_index_opb)+ Premie_leeftijd!Y24* Premie_leeftijd!AK24* Premie_leeftijd!AL24 /Settings!$O$10</f>
        <v>11.715378552734817</v>
      </c>
      <c r="J25" s="18"/>
      <c r="K25">
        <f>(1+K26)/(1+Settings!I$10)</f>
        <v>24</v>
      </c>
      <c r="L25"/>
      <c r="M25" s="73">
        <f t="shared" si="3"/>
        <v>0</v>
      </c>
      <c r="N25" s="73">
        <f t="shared" si="3"/>
        <v>0</v>
      </c>
      <c r="O25" s="18">
        <f>Settings!$I$3*Grondslag!J20</f>
        <v>25</v>
      </c>
      <c r="P25" s="18">
        <f>Settings!$I$7*MAX(Grondslag!J20 - x*voltijdfranchise/1000*(Premie_leeftijd!T24=0),0)</f>
        <v>25</v>
      </c>
      <c r="Q25" s="18">
        <f>Settings!$I$7*MAX(Grondslag!J20 - voltijdfranchise/1000*(Premie_leeftijd!T24=0),0)</f>
        <v>17.5</v>
      </c>
      <c r="R25" s="18">
        <f>Settings!$I$3*Grondslag!J20*(1-Premie_leeftijd!R24)</f>
        <v>25</v>
      </c>
      <c r="S25" s="73">
        <f t="shared" si="29"/>
        <v>16.799235013085628</v>
      </c>
      <c r="U25" s="20" cm="1">
        <f t="array" ref="U25">SUMPRODUCT(Premie_leeftijd!AL$6:AL24, 1/Premie_leeftijd!AJ$6:AJ24, Premie_leeftijd!Y$6:Y24, G$7:G25)/G25 + Premie_leeftijd!AN25* Premie_leeftijd!Y25</f>
        <v>17.500000000000004</v>
      </c>
      <c r="V25" s="73">
        <f t="shared" si="4"/>
        <v>17.499999999999996</v>
      </c>
      <c r="W25" s="42" cm="1">
        <f t="array" ref="W25">Premie_leeftijd!$Y24*Premie_leeftijd!CG24/Premie_leeftijd!CE24 + W24*(1+reele_index_opb)</f>
        <v>9.4483794929006848</v>
      </c>
      <c r="X25" s="31" cm="1">
        <f t="array" ref="X25">Premie_leeftijd!$Y24*Premie_leeftijd!BY24/Premie_leeftijd!BW24 + X24*(1+reele_index_opb)</f>
        <v>8.8377063742505548</v>
      </c>
      <c r="Y25" s="20" cm="1">
        <f t="array" ref="Y25">Premie_leeftijd!AL24*Premie_leeftijd!$Y24/Premie_leeftijd!AJ24 + Y24*(1+reele_index_opb)</f>
        <v>8.2007649869143719</v>
      </c>
      <c r="Z25" s="20"/>
      <c r="AA25" s="20">
        <f t="shared" si="30"/>
        <v>43</v>
      </c>
      <c r="AB25" s="41">
        <f t="shared" si="5"/>
        <v>17.500000000000004</v>
      </c>
      <c r="AC25" s="41">
        <f t="shared" si="6"/>
        <v>17.499999999999996</v>
      </c>
      <c r="AD25" s="20">
        <f t="shared" si="31"/>
        <v>25</v>
      </c>
      <c r="AE25" s="20">
        <f t="shared" si="7"/>
        <v>25</v>
      </c>
      <c r="AF25" s="20">
        <f t="shared" si="8"/>
        <v>25</v>
      </c>
      <c r="AG25" s="20">
        <f t="shared" si="9"/>
        <v>25</v>
      </c>
      <c r="AI25" s="73">
        <f t="shared" si="10"/>
        <v>24</v>
      </c>
      <c r="AJ25" s="73">
        <f t="shared" si="11"/>
        <v>17.500000000000004</v>
      </c>
      <c r="AK25" s="73">
        <f t="shared" si="12"/>
        <v>17.499999999999996</v>
      </c>
      <c r="AL25" s="73">
        <f t="shared" si="13"/>
        <v>25</v>
      </c>
      <c r="AM25" s="73">
        <f t="shared" si="14"/>
        <v>25</v>
      </c>
      <c r="AN25" s="73">
        <f t="shared" si="15"/>
        <v>25</v>
      </c>
      <c r="AO25" s="73">
        <f t="shared" si="16"/>
        <v>25</v>
      </c>
      <c r="AQ25" s="20">
        <f t="shared" si="32"/>
        <v>43</v>
      </c>
      <c r="AR25" s="20">
        <f t="shared" si="17"/>
        <v>25</v>
      </c>
      <c r="AS25" s="18">
        <f t="shared" si="18"/>
        <v>17.500000000000004</v>
      </c>
      <c r="AT25" s="18">
        <f t="shared" si="19"/>
        <v>17.499999999999996</v>
      </c>
      <c r="AU25" s="73">
        <f t="shared" si="20"/>
        <v>25</v>
      </c>
      <c r="AV25" s="73">
        <f t="shared" si="21"/>
        <v>17.5</v>
      </c>
      <c r="AW25" s="18">
        <f t="shared" si="33"/>
        <v>17.500000000000004</v>
      </c>
      <c r="AX25" s="18">
        <f t="shared" si="34"/>
        <v>17.500000000000004</v>
      </c>
      <c r="AZ25" s="5">
        <f>Premie_leeftijd!J24</f>
        <v>9.4494173715209406E-4</v>
      </c>
      <c r="BA25" s="5"/>
      <c r="BB25" s="54">
        <v>18</v>
      </c>
      <c r="BC25" s="54">
        <f t="shared" si="22"/>
        <v>63</v>
      </c>
      <c r="BD25" s="54">
        <f t="shared" si="23"/>
        <v>63</v>
      </c>
      <c r="BE25" s="54" t="b">
        <f t="shared" si="35"/>
        <v>0</v>
      </c>
      <c r="BF25" s="54">
        <f t="shared" si="24"/>
        <v>17.499999999999996</v>
      </c>
      <c r="BG25" s="54">
        <f t="shared" si="25"/>
        <v>25</v>
      </c>
      <c r="BH25" s="54">
        <f t="shared" si="26"/>
        <v>25</v>
      </c>
      <c r="BI25" s="54">
        <f t="shared" si="27"/>
        <v>25</v>
      </c>
      <c r="BJ25" s="54">
        <f t="shared" si="28"/>
        <v>25</v>
      </c>
    </row>
    <row r="26" spans="1:62" x14ac:dyDescent="0.25">
      <c r="A26">
        <f>Grondslag!A21</f>
        <v>44</v>
      </c>
      <c r="C26" s="73">
        <f t="shared" si="2"/>
        <v>44</v>
      </c>
      <c r="F26">
        <f>OPperjr*Grondslag!S21</f>
        <v>0.58139534883720934</v>
      </c>
      <c r="G26" s="73" cm="1">
        <f t="array" ref="G26">G27*(1+reele_index_opb)</f>
        <v>1</v>
      </c>
      <c r="H26" s="73">
        <f>SUMPRODUCT(F$7:F26, G$7:G26)/G26</f>
        <v>11.627906976744182</v>
      </c>
      <c r="I26" s="18">
        <f>I25*(1+reele_index_opb)+ Premie_leeftijd!Y25* Premie_leeftijd!AK25* Premie_leeftijd!AL25 /Settings!$O$10</f>
        <v>12.282039476280515</v>
      </c>
      <c r="J26" s="18"/>
      <c r="K26">
        <f>(1+K27)/(1+Settings!I$10)</f>
        <v>23</v>
      </c>
      <c r="L26"/>
      <c r="M26" s="73">
        <f t="shared" si="3"/>
        <v>0</v>
      </c>
      <c r="N26" s="73">
        <f t="shared" si="3"/>
        <v>0</v>
      </c>
      <c r="O26" s="18">
        <f>Settings!$I$3*Grondslag!J21</f>
        <v>25</v>
      </c>
      <c r="P26" s="18">
        <f>Settings!$I$7*MAX(Grondslag!J21 - x*voltijdfranchise/1000*(Premie_leeftijd!T25=0),0)</f>
        <v>25</v>
      </c>
      <c r="Q26" s="18">
        <f>Settings!$I$7*MAX(Grondslag!J21 - voltijdfranchise/1000*(Premie_leeftijd!T25=0),0)</f>
        <v>17.5</v>
      </c>
      <c r="R26" s="18">
        <f>Settings!$I$3*Grondslag!J21*(1-Premie_leeftijd!R25)</f>
        <v>25</v>
      </c>
      <c r="S26" s="73">
        <f t="shared" si="29"/>
        <v>16.402572366603639</v>
      </c>
      <c r="U26" s="20" cm="1">
        <f t="array" ref="U26">SUMPRODUCT(Premie_leeftijd!AL$6:AL25, 1/Premie_leeftijd!AJ$6:AJ25, Premie_leeftijd!Y$6:Y25, G$7:G26)/G26 + Premie_leeftijd!AN26* Premie_leeftijd!Y26</f>
        <v>17.500000000000004</v>
      </c>
      <c r="V26" s="73">
        <f t="shared" si="4"/>
        <v>17.499999999999996</v>
      </c>
      <c r="W26" s="42" cm="1">
        <f t="array" ref="W26">Premie_leeftijd!$Y25*Premie_leeftijd!CG25/Premie_leeftijd!CE25 + W25*(1+reele_index_opb)</f>
        <v>9.8679362354713032</v>
      </c>
      <c r="X26" s="31" cm="1">
        <f t="array" ref="X26">Premie_leeftijd!$Y25*Premie_leeftijd!BY25/Premie_leeftijd!BW25 + X25*(1+reele_index_opb)</f>
        <v>9.2423818455834912</v>
      </c>
      <c r="Y26" s="20" cm="1">
        <f t="array" ref="Y26">Premie_leeftijd!AL25*Premie_leeftijd!$Y25/Premie_leeftijd!AJ25 + Y25*(1+reele_index_opb)</f>
        <v>8.5974276333963608</v>
      </c>
      <c r="Z26" s="20"/>
      <c r="AA26" s="20">
        <f t="shared" si="30"/>
        <v>44</v>
      </c>
      <c r="AB26" s="41">
        <f t="shared" si="5"/>
        <v>17.500000000000004</v>
      </c>
      <c r="AC26" s="41">
        <f t="shared" si="6"/>
        <v>17.499999999999996</v>
      </c>
      <c r="AD26" s="20">
        <f t="shared" si="31"/>
        <v>25</v>
      </c>
      <c r="AE26" s="20">
        <f t="shared" si="7"/>
        <v>25</v>
      </c>
      <c r="AF26" s="20">
        <f t="shared" si="8"/>
        <v>25</v>
      </c>
      <c r="AG26" s="20">
        <f t="shared" si="9"/>
        <v>25</v>
      </c>
      <c r="AI26" s="73">
        <f t="shared" si="10"/>
        <v>23</v>
      </c>
      <c r="AJ26" s="73">
        <f t="shared" si="11"/>
        <v>17.500000000000004</v>
      </c>
      <c r="AK26" s="73">
        <f t="shared" si="12"/>
        <v>17.499999999999996</v>
      </c>
      <c r="AL26" s="73">
        <f t="shared" si="13"/>
        <v>25</v>
      </c>
      <c r="AM26" s="73">
        <f t="shared" si="14"/>
        <v>25</v>
      </c>
      <c r="AN26" s="73">
        <f t="shared" si="15"/>
        <v>25</v>
      </c>
      <c r="AO26" s="73">
        <f t="shared" si="16"/>
        <v>25</v>
      </c>
      <c r="AQ26" s="20">
        <f t="shared" si="32"/>
        <v>44</v>
      </c>
      <c r="AR26" s="20">
        <f t="shared" si="17"/>
        <v>24</v>
      </c>
      <c r="AS26" s="18">
        <f t="shared" si="18"/>
        <v>17.500000000000004</v>
      </c>
      <c r="AT26" s="18">
        <f t="shared" si="19"/>
        <v>17.499999999999996</v>
      </c>
      <c r="AU26" s="73">
        <f t="shared" si="20"/>
        <v>25</v>
      </c>
      <c r="AV26" s="73">
        <f t="shared" si="21"/>
        <v>17.5</v>
      </c>
      <c r="AW26" s="18">
        <f t="shared" si="33"/>
        <v>17.500000000000004</v>
      </c>
      <c r="AX26" s="18">
        <f t="shared" si="34"/>
        <v>17.500000000000004</v>
      </c>
      <c r="AZ26" s="5">
        <f>Premie_leeftijd!J25</f>
        <v>1.2119904889560384E-3</v>
      </c>
      <c r="BA26" s="5"/>
      <c r="BB26" s="54">
        <v>19</v>
      </c>
      <c r="BC26" s="54">
        <f t="shared" si="22"/>
        <v>64</v>
      </c>
      <c r="BD26" s="54">
        <f t="shared" si="23"/>
        <v>64</v>
      </c>
      <c r="BE26" s="54" t="b">
        <f t="shared" si="35"/>
        <v>0</v>
      </c>
      <c r="BF26" s="54">
        <f t="shared" si="24"/>
        <v>17.499999999999996</v>
      </c>
      <c r="BG26" s="54">
        <f t="shared" si="25"/>
        <v>25</v>
      </c>
      <c r="BH26" s="54">
        <f t="shared" si="26"/>
        <v>25</v>
      </c>
      <c r="BI26" s="54">
        <f t="shared" si="27"/>
        <v>25</v>
      </c>
      <c r="BJ26" s="54">
        <f t="shared" si="28"/>
        <v>25</v>
      </c>
    </row>
    <row r="27" spans="1:62" x14ac:dyDescent="0.25">
      <c r="A27">
        <f>Grondslag!A22</f>
        <v>45</v>
      </c>
      <c r="C27" s="73">
        <f t="shared" si="2"/>
        <v>45</v>
      </c>
      <c r="F27">
        <f>OPperjr*Grondslag!S22</f>
        <v>0.58139534883720934</v>
      </c>
      <c r="G27" s="73" cm="1">
        <f t="array" ref="G27">G28*(1+reele_index_opb)</f>
        <v>1</v>
      </c>
      <c r="H27" s="73">
        <f>SUMPRODUCT(F$7:F27, G$7:G27)/G27</f>
        <v>12.20930232558139</v>
      </c>
      <c r="I27" s="18">
        <f>I26*(1+reele_index_opb)+ Premie_leeftijd!Y26* Premie_leeftijd!AK26* Premie_leeftijd!AL26 /Settings!$O$10</f>
        <v>12.84489309445221</v>
      </c>
      <c r="J27" s="18"/>
      <c r="K27">
        <f>(1+K28)/(1+Settings!I$10)</f>
        <v>22</v>
      </c>
      <c r="L27"/>
      <c r="M27" s="73">
        <f t="shared" ref="M27:N46" si="36">volledigAnw/1000</f>
        <v>0</v>
      </c>
      <c r="N27" s="73">
        <f t="shared" si="36"/>
        <v>0</v>
      </c>
      <c r="O27" s="18">
        <f>Settings!$I$3*Grondslag!J22</f>
        <v>25</v>
      </c>
      <c r="P27" s="18">
        <f>Settings!$I$7*MAX(Grondslag!J22 - x*voltijdfranchise/1000*(Premie_leeftijd!T26=0),0)</f>
        <v>25</v>
      </c>
      <c r="Q27" s="18">
        <f>Settings!$I$7*MAX(Grondslag!J22 - voltijdfranchise/1000*(Premie_leeftijd!T26=0),0)</f>
        <v>17.5</v>
      </c>
      <c r="R27" s="18">
        <f>Settings!$I$3*Grondslag!J22*(1-Premie_leeftijd!R26)</f>
        <v>25</v>
      </c>
      <c r="S27" s="73">
        <f t="shared" si="29"/>
        <v>16.008574833883451</v>
      </c>
      <c r="U27" s="20" cm="1">
        <f t="array" ref="U27">SUMPRODUCT(Premie_leeftijd!AL$6:AL26, 1/Premie_leeftijd!AJ$6:AJ26, Premie_leeftijd!Y$6:Y26, G$7:G27)/G27 + Premie_leeftijd!AN27* Premie_leeftijd!Y27</f>
        <v>17.500000000000004</v>
      </c>
      <c r="V27" s="73">
        <f t="shared" si="4"/>
        <v>17.499999999999996</v>
      </c>
      <c r="W27" s="42" cm="1">
        <f t="array" ref="W27">Premie_leeftijd!$Y26*Premie_leeftijd!CG26/Premie_leeftijd!CE26 + W26*(1+reele_index_opb)</f>
        <v>10.280117857134528</v>
      </c>
      <c r="X27" s="31" cm="1">
        <f t="array" ref="X27">Premie_leeftijd!$Y26*Premie_leeftijd!BY26/Premie_leeftijd!BW26 + X26*(1+reele_index_opb)</f>
        <v>9.6417772489832902</v>
      </c>
      <c r="Y27" s="20" cm="1">
        <f t="array" ref="Y27">Premie_leeftijd!AL26*Premie_leeftijd!$Y26/Premie_leeftijd!AJ26 + Y26*(1+reele_index_opb)</f>
        <v>8.9914251661165476</v>
      </c>
      <c r="Z27" s="20"/>
      <c r="AA27" s="20">
        <f t="shared" si="30"/>
        <v>45</v>
      </c>
      <c r="AB27" s="41">
        <f t="shared" si="5"/>
        <v>17.500000000000004</v>
      </c>
      <c r="AC27" s="41">
        <f t="shared" si="6"/>
        <v>17.499999999999996</v>
      </c>
      <c r="AD27" s="20">
        <f t="shared" si="31"/>
        <v>25</v>
      </c>
      <c r="AE27" s="20">
        <f t="shared" si="7"/>
        <v>25</v>
      </c>
      <c r="AF27" s="20">
        <f t="shared" si="8"/>
        <v>25</v>
      </c>
      <c r="AG27" s="20">
        <f t="shared" si="9"/>
        <v>25</v>
      </c>
      <c r="AI27" s="73">
        <f t="shared" si="10"/>
        <v>22</v>
      </c>
      <c r="AJ27" s="73">
        <f t="shared" si="11"/>
        <v>17.500000000000004</v>
      </c>
      <c r="AK27" s="73">
        <f t="shared" si="12"/>
        <v>17.499999999999996</v>
      </c>
      <c r="AL27" s="73">
        <f t="shared" si="13"/>
        <v>25</v>
      </c>
      <c r="AM27" s="73">
        <f t="shared" si="14"/>
        <v>25</v>
      </c>
      <c r="AN27" s="73">
        <f t="shared" si="15"/>
        <v>25</v>
      </c>
      <c r="AO27" s="73">
        <f t="shared" si="16"/>
        <v>25</v>
      </c>
      <c r="AQ27" s="20">
        <f t="shared" si="32"/>
        <v>45</v>
      </c>
      <c r="AR27" s="20">
        <f t="shared" si="17"/>
        <v>23</v>
      </c>
      <c r="AS27" s="18">
        <f t="shared" si="18"/>
        <v>17.500000000000004</v>
      </c>
      <c r="AT27" s="18">
        <f t="shared" si="19"/>
        <v>17.499999999999996</v>
      </c>
      <c r="AU27" s="73">
        <f t="shared" si="20"/>
        <v>25</v>
      </c>
      <c r="AV27" s="73">
        <f t="shared" si="21"/>
        <v>17.5</v>
      </c>
      <c r="AW27" s="18">
        <f t="shared" si="33"/>
        <v>17.500000000000004</v>
      </c>
      <c r="AX27" s="18">
        <f t="shared" si="34"/>
        <v>17.500000000000004</v>
      </c>
      <c r="AZ27" s="5">
        <f>Premie_leeftijd!J26</f>
        <v>1.4020059469702639E-3</v>
      </c>
      <c r="BA27" s="5"/>
      <c r="BB27" s="54">
        <v>20</v>
      </c>
      <c r="BC27" s="54">
        <f t="shared" si="22"/>
        <v>65</v>
      </c>
      <c r="BD27" s="54">
        <f t="shared" si="23"/>
        <v>65</v>
      </c>
      <c r="BE27" s="54" t="b">
        <f t="shared" si="35"/>
        <v>0</v>
      </c>
      <c r="BF27" s="54">
        <f t="shared" si="24"/>
        <v>17.499999999999996</v>
      </c>
      <c r="BG27" s="54">
        <f t="shared" si="25"/>
        <v>25</v>
      </c>
      <c r="BH27" s="54">
        <f t="shared" si="26"/>
        <v>25</v>
      </c>
      <c r="BI27" s="54">
        <f t="shared" si="27"/>
        <v>25</v>
      </c>
      <c r="BJ27" s="54">
        <f t="shared" si="28"/>
        <v>25</v>
      </c>
    </row>
    <row r="28" spans="1:62" x14ac:dyDescent="0.25">
      <c r="A28">
        <f>Grondslag!A23</f>
        <v>46</v>
      </c>
      <c r="C28" s="73">
        <f t="shared" si="2"/>
        <v>46</v>
      </c>
      <c r="F28">
        <f>OPperjr*Grondslag!S23</f>
        <v>0.58139534883720934</v>
      </c>
      <c r="G28" s="73" cm="1">
        <f t="array" ref="G28">G29*(1+reele_index_opb)</f>
        <v>1</v>
      </c>
      <c r="H28" s="73">
        <f>SUMPRODUCT(F$7:F28, G$7:G28)/G28</f>
        <v>12.790697674418599</v>
      </c>
      <c r="I28" s="18">
        <f>I27*(1+reele_index_opb)+ Premie_leeftijd!Y27* Premie_leeftijd!AK27* Premie_leeftijd!AL27 /Settings!$O$10</f>
        <v>13.404780301371851</v>
      </c>
      <c r="J28" s="18"/>
      <c r="K28">
        <f>(1+K29)/(1+Settings!I$10)</f>
        <v>21</v>
      </c>
      <c r="L28"/>
      <c r="M28" s="73">
        <f t="shared" si="36"/>
        <v>0</v>
      </c>
      <c r="N28" s="73">
        <f t="shared" si="36"/>
        <v>0</v>
      </c>
      <c r="O28" s="18">
        <f>Settings!$I$3*Grondslag!J23</f>
        <v>25</v>
      </c>
      <c r="P28" s="18">
        <f>Settings!$I$7*MAX(Grondslag!J23 - x*voltijdfranchise/1000*(Premie_leeftijd!T27=0),0)</f>
        <v>25</v>
      </c>
      <c r="Q28" s="18">
        <f>Settings!$I$7*MAX(Grondslag!J23 - voltijdfranchise/1000*(Premie_leeftijd!T27=0),0)</f>
        <v>17.5</v>
      </c>
      <c r="R28" s="18">
        <f>Settings!$I$3*Grondslag!J23*(1-Premie_leeftijd!R27)</f>
        <v>25</v>
      </c>
      <c r="S28" s="73">
        <f t="shared" si="29"/>
        <v>15.616653789039704</v>
      </c>
      <c r="U28" s="20" cm="1">
        <f t="array" ref="U28">SUMPRODUCT(Premie_leeftijd!AL$6:AL27, 1/Premie_leeftijd!AJ$6:AJ27, Premie_leeftijd!Y$6:Y27, G$7:G28)/G28 + Premie_leeftijd!AN28* Premie_leeftijd!Y28</f>
        <v>17.500000000000004</v>
      </c>
      <c r="V28" s="73">
        <f t="shared" si="4"/>
        <v>17.499999999999993</v>
      </c>
      <c r="W28" s="42" cm="1">
        <f t="array" ref="W28">Premie_leeftijd!$Y27*Premie_leeftijd!CG27/Premie_leeftijd!CE27 + W27*(1+reele_index_opb)</f>
        <v>10.685056588652143</v>
      </c>
      <c r="X28" s="31" cm="1">
        <f t="array" ref="X28">Premie_leeftijd!$Y27*Premie_leeftijd!BY27/Premie_leeftijd!BW27 + X27*(1+reele_index_opb)</f>
        <v>10.036258513210809</v>
      </c>
      <c r="Y28" s="20" cm="1">
        <f t="array" ref="Y28">Premie_leeftijd!AL27*Premie_leeftijd!$Y27/Premie_leeftijd!AJ27 + Y27*(1+reele_index_opb)</f>
        <v>9.3833462109602959</v>
      </c>
      <c r="Z28" s="20"/>
      <c r="AA28" s="20">
        <f t="shared" si="30"/>
        <v>46</v>
      </c>
      <c r="AB28" s="41">
        <f t="shared" si="5"/>
        <v>17.500000000000004</v>
      </c>
      <c r="AC28" s="41">
        <f t="shared" si="6"/>
        <v>17.499999999999993</v>
      </c>
      <c r="AD28" s="20">
        <f t="shared" si="31"/>
        <v>25</v>
      </c>
      <c r="AE28" s="20">
        <f t="shared" si="7"/>
        <v>25</v>
      </c>
      <c r="AF28" s="20">
        <f t="shared" si="8"/>
        <v>25</v>
      </c>
      <c r="AG28" s="20">
        <f t="shared" si="9"/>
        <v>25</v>
      </c>
      <c r="AI28" s="73">
        <f t="shared" si="10"/>
        <v>21</v>
      </c>
      <c r="AJ28" s="73">
        <f t="shared" si="11"/>
        <v>17.500000000000004</v>
      </c>
      <c r="AK28" s="73">
        <f t="shared" si="12"/>
        <v>17.499999999999993</v>
      </c>
      <c r="AL28" s="73">
        <f t="shared" si="13"/>
        <v>25</v>
      </c>
      <c r="AM28" s="73">
        <f t="shared" si="14"/>
        <v>25</v>
      </c>
      <c r="AN28" s="73">
        <f t="shared" si="15"/>
        <v>25</v>
      </c>
      <c r="AO28" s="73">
        <f t="shared" si="16"/>
        <v>25</v>
      </c>
      <c r="AQ28" s="20">
        <f t="shared" si="32"/>
        <v>46</v>
      </c>
      <c r="AR28" s="20">
        <f t="shared" si="17"/>
        <v>22</v>
      </c>
      <c r="AS28" s="18">
        <f t="shared" si="18"/>
        <v>17.500000000000004</v>
      </c>
      <c r="AT28" s="18">
        <f t="shared" si="19"/>
        <v>17.499999999999993</v>
      </c>
      <c r="AU28" s="73">
        <f t="shared" si="20"/>
        <v>25</v>
      </c>
      <c r="AV28" s="73">
        <f t="shared" si="21"/>
        <v>17.5</v>
      </c>
      <c r="AW28" s="18">
        <f t="shared" si="33"/>
        <v>17.500000000000004</v>
      </c>
      <c r="AX28" s="18">
        <f t="shared" si="34"/>
        <v>17.500000000000004</v>
      </c>
      <c r="AZ28" s="5">
        <f>Premie_leeftijd!J27</f>
        <v>1.3968703940510085E-3</v>
      </c>
      <c r="BA28" s="5"/>
      <c r="BB28" s="54">
        <v>21</v>
      </c>
      <c r="BC28" s="54">
        <f t="shared" si="22"/>
        <v>66</v>
      </c>
      <c r="BD28" s="54">
        <f t="shared" si="23"/>
        <v>66</v>
      </c>
      <c r="BE28" s="54" t="b">
        <f t="shared" si="35"/>
        <v>0</v>
      </c>
      <c r="BF28" s="54">
        <f t="shared" si="24"/>
        <v>17.499999999999996</v>
      </c>
      <c r="BG28" s="54">
        <f t="shared" si="25"/>
        <v>25</v>
      </c>
      <c r="BH28" s="54">
        <f t="shared" si="26"/>
        <v>25</v>
      </c>
      <c r="BI28" s="54">
        <f t="shared" si="27"/>
        <v>25</v>
      </c>
      <c r="BJ28" s="54">
        <f t="shared" si="28"/>
        <v>25</v>
      </c>
    </row>
    <row r="29" spans="1:62" x14ac:dyDescent="0.25">
      <c r="A29">
        <f>Grondslag!A24</f>
        <v>47</v>
      </c>
      <c r="C29" s="73">
        <f t="shared" si="2"/>
        <v>47</v>
      </c>
      <c r="F29">
        <f>OPperjr*Grondslag!S24</f>
        <v>0.58139534883720934</v>
      </c>
      <c r="G29" s="73" cm="1">
        <f t="array" ref="G29">G30*(1+reele_index_opb)</f>
        <v>1</v>
      </c>
      <c r="H29" s="73">
        <f>SUMPRODUCT(F$7:F29, G$7:G29)/G29</f>
        <v>13.372093023255808</v>
      </c>
      <c r="I29" s="18">
        <f>I28*(1+reele_index_opb)+ Premie_leeftijd!Y28* Premie_leeftijd!AK28* Premie_leeftijd!AL28 /Settings!$O$10</f>
        <v>13.961421500621505</v>
      </c>
      <c r="J29" s="18"/>
      <c r="K29">
        <f>(1+K30)/(1+Settings!I$10)</f>
        <v>20</v>
      </c>
      <c r="L29"/>
      <c r="M29" s="73">
        <f t="shared" si="36"/>
        <v>0</v>
      </c>
      <c r="N29" s="73">
        <f t="shared" si="36"/>
        <v>0</v>
      </c>
      <c r="O29" s="18">
        <f>Settings!$I$3*Grondslag!J24</f>
        <v>25</v>
      </c>
      <c r="P29" s="18">
        <f>Settings!$I$7*MAX(Grondslag!J24 - x*voltijdfranchise/1000*(Premie_leeftijd!T28=0),0)</f>
        <v>25</v>
      </c>
      <c r="Q29" s="18">
        <f>Settings!$I$7*MAX(Grondslag!J24 - voltijdfranchise/1000*(Premie_leeftijd!T28=0),0)</f>
        <v>17.5</v>
      </c>
      <c r="R29" s="18">
        <f>Settings!$I$3*Grondslag!J24*(1-Premie_leeftijd!R28)</f>
        <v>25</v>
      </c>
      <c r="S29" s="73">
        <f t="shared" si="29"/>
        <v>15.227004949564947</v>
      </c>
      <c r="U29" s="20" cm="1">
        <f t="array" ref="U29">SUMPRODUCT(Premie_leeftijd!AL$6:AL28, 1/Premie_leeftijd!AJ$6:AJ28, Premie_leeftijd!Y$6:Y28, G$7:G29)/G29 + Premie_leeftijd!AN29* Premie_leeftijd!Y29</f>
        <v>17.500000000000004</v>
      </c>
      <c r="V29" s="73">
        <f t="shared" si="4"/>
        <v>17.499999999999993</v>
      </c>
      <c r="W29" s="42" cm="1">
        <f t="array" ref="W29">Premie_leeftijd!$Y28*Premie_leeftijd!CG28/Premie_leeftijd!CE28 + W28*(1+reele_index_opb)</f>
        <v>11.082790696286777</v>
      </c>
      <c r="X29" s="31" cm="1">
        <f t="array" ref="X29">Premie_leeftijd!$Y28*Premie_leeftijd!BY28/Premie_leeftijd!BW28 + X28*(1+reele_index_opb)</f>
        <v>10.425802444185507</v>
      </c>
      <c r="Y29" s="20" cm="1">
        <f t="array" ref="Y29">Premie_leeftijd!AL28*Premie_leeftijd!$Y28/Premie_leeftijd!AJ28 + Y28*(1+reele_index_opb)</f>
        <v>9.7729950504350533</v>
      </c>
      <c r="Z29" s="20"/>
      <c r="AA29" s="20">
        <f t="shared" si="30"/>
        <v>47</v>
      </c>
      <c r="AB29" s="41">
        <f t="shared" si="5"/>
        <v>17.500000000000004</v>
      </c>
      <c r="AC29" s="41">
        <f t="shared" si="6"/>
        <v>17.499999999999993</v>
      </c>
      <c r="AD29" s="20">
        <f t="shared" si="31"/>
        <v>25</v>
      </c>
      <c r="AE29" s="20">
        <f t="shared" si="7"/>
        <v>25</v>
      </c>
      <c r="AF29" s="20">
        <f t="shared" si="8"/>
        <v>25</v>
      </c>
      <c r="AG29" s="20">
        <f t="shared" si="9"/>
        <v>25</v>
      </c>
      <c r="AI29" s="73">
        <f t="shared" si="10"/>
        <v>20</v>
      </c>
      <c r="AJ29" s="73">
        <f t="shared" si="11"/>
        <v>17.500000000000004</v>
      </c>
      <c r="AK29" s="73">
        <f t="shared" si="12"/>
        <v>17.499999999999993</v>
      </c>
      <c r="AL29" s="73">
        <f t="shared" si="13"/>
        <v>25</v>
      </c>
      <c r="AM29" s="73">
        <f t="shared" si="14"/>
        <v>25</v>
      </c>
      <c r="AN29" s="73">
        <f t="shared" si="15"/>
        <v>25</v>
      </c>
      <c r="AO29" s="73">
        <f t="shared" si="16"/>
        <v>25</v>
      </c>
      <c r="AQ29" s="20">
        <f t="shared" si="32"/>
        <v>47</v>
      </c>
      <c r="AR29" s="20">
        <f t="shared" si="17"/>
        <v>21</v>
      </c>
      <c r="AS29" s="18">
        <f t="shared" si="18"/>
        <v>17.500000000000004</v>
      </c>
      <c r="AT29" s="18">
        <f t="shared" si="19"/>
        <v>17.499999999999993</v>
      </c>
      <c r="AU29" s="73">
        <f t="shared" si="20"/>
        <v>25</v>
      </c>
      <c r="AV29" s="73">
        <f t="shared" si="21"/>
        <v>17.5</v>
      </c>
      <c r="AW29" s="18">
        <f t="shared" si="33"/>
        <v>17.500000000000004</v>
      </c>
      <c r="AX29" s="18">
        <f t="shared" si="34"/>
        <v>17.500000000000004</v>
      </c>
      <c r="AZ29" s="5">
        <f>Premie_leeftijd!J28</f>
        <v>1.5047170053563708E-3</v>
      </c>
      <c r="BA29" s="5"/>
      <c r="BB29" s="54">
        <v>22</v>
      </c>
      <c r="BC29" s="54">
        <f t="shared" si="22"/>
        <v>67</v>
      </c>
      <c r="BD29" s="54">
        <f t="shared" si="23"/>
        <v>67</v>
      </c>
      <c r="BE29" s="54" t="b">
        <f t="shared" si="35"/>
        <v>0</v>
      </c>
      <c r="BF29" s="54">
        <f t="shared" si="24"/>
        <v>17.499999999999996</v>
      </c>
      <c r="BG29" s="54">
        <f t="shared" si="25"/>
        <v>25</v>
      </c>
      <c r="BH29" s="54">
        <f t="shared" si="26"/>
        <v>25</v>
      </c>
      <c r="BI29" s="54">
        <f t="shared" si="27"/>
        <v>25</v>
      </c>
      <c r="BJ29" s="54">
        <f t="shared" si="28"/>
        <v>25</v>
      </c>
    </row>
    <row r="30" spans="1:62" x14ac:dyDescent="0.25">
      <c r="A30">
        <f>Grondslag!A25</f>
        <v>48</v>
      </c>
      <c r="C30" s="73">
        <f t="shared" si="2"/>
        <v>48</v>
      </c>
      <c r="F30">
        <f>OPperjr*Grondslag!S25</f>
        <v>0.58139534883720934</v>
      </c>
      <c r="G30" s="73" cm="1">
        <f t="array" ref="G30">G31*(1+reele_index_opb)</f>
        <v>1</v>
      </c>
      <c r="H30" s="73">
        <f>SUMPRODUCT(F$7:F30, G$7:G30)/G30</f>
        <v>13.953488372093016</v>
      </c>
      <c r="I30" s="18">
        <f>I29*(1+reele_index_opb)+ Premie_leeftijd!Y29* Premie_leeftijd!AK29* Premie_leeftijd!AL29 /Settings!$O$10</f>
        <v>14.514840808934249</v>
      </c>
      <c r="J30" s="18"/>
      <c r="K30">
        <f>(1+K31)/(1+Settings!I$10)</f>
        <v>19</v>
      </c>
      <c r="L30"/>
      <c r="M30" s="73">
        <f t="shared" si="36"/>
        <v>0</v>
      </c>
      <c r="N30" s="73">
        <f t="shared" si="36"/>
        <v>0</v>
      </c>
      <c r="O30" s="18">
        <f>Settings!$I$3*Grondslag!J25</f>
        <v>25</v>
      </c>
      <c r="P30" s="18">
        <f>Settings!$I$7*MAX(Grondslag!J25 - x*voltijdfranchise/1000*(Premie_leeftijd!T29=0),0)</f>
        <v>25</v>
      </c>
      <c r="Q30" s="18">
        <f>Settings!$I$7*MAX(Grondslag!J25 - voltijdfranchise/1000*(Premie_leeftijd!T29=0),0)</f>
        <v>17.5</v>
      </c>
      <c r="R30" s="18">
        <f>Settings!$I$3*Grondslag!J25*(1-Premie_leeftijd!R29)</f>
        <v>25</v>
      </c>
      <c r="S30" s="73">
        <f t="shared" si="29"/>
        <v>14.839611433746025</v>
      </c>
      <c r="U30" s="20" cm="1">
        <f t="array" ref="U30">SUMPRODUCT(Premie_leeftijd!AL$6:AL29, 1/Premie_leeftijd!AJ$6:AJ29, Premie_leeftijd!Y$6:Y29, G$7:G30)/G30 + Premie_leeftijd!AN30* Premie_leeftijd!Y30</f>
        <v>17.500000000000004</v>
      </c>
      <c r="V30" s="73">
        <f t="shared" si="4"/>
        <v>17.499999999999993</v>
      </c>
      <c r="W30" s="42" cm="1">
        <f t="array" ref="W30">Premie_leeftijd!$Y29*Premie_leeftijd!CG29/Premie_leeftijd!CE29 + W29*(1+reele_index_opb)</f>
        <v>11.473196840287033</v>
      </c>
      <c r="X30" s="31" cm="1">
        <f t="array" ref="X30">Premie_leeftijd!$Y29*Premie_leeftijd!BY29/Premie_leeftijd!BW29 + X29*(1+reele_index_opb)</f>
        <v>10.810394365885278</v>
      </c>
      <c r="Y30" s="20" cm="1">
        <f t="array" ref="Y30">Premie_leeftijd!AL29*Premie_leeftijd!$Y29/Premie_leeftijd!AJ29 + Y29*(1+reele_index_opb)</f>
        <v>10.160388566253975</v>
      </c>
      <c r="Z30" s="20"/>
      <c r="AA30" s="20">
        <f t="shared" si="30"/>
        <v>48</v>
      </c>
      <c r="AB30" s="41">
        <f t="shared" si="5"/>
        <v>17.500000000000004</v>
      </c>
      <c r="AC30" s="41">
        <f t="shared" si="6"/>
        <v>17.499999999999993</v>
      </c>
      <c r="AD30" s="20">
        <f t="shared" si="31"/>
        <v>25</v>
      </c>
      <c r="AE30" s="20">
        <f t="shared" si="7"/>
        <v>25</v>
      </c>
      <c r="AF30" s="20">
        <f t="shared" si="8"/>
        <v>25</v>
      </c>
      <c r="AG30" s="20">
        <f t="shared" si="9"/>
        <v>25</v>
      </c>
      <c r="AI30" s="73">
        <f t="shared" si="10"/>
        <v>19</v>
      </c>
      <c r="AJ30" s="73">
        <f t="shared" si="11"/>
        <v>17.500000000000004</v>
      </c>
      <c r="AK30" s="73">
        <f t="shared" si="12"/>
        <v>17.499999999999993</v>
      </c>
      <c r="AL30" s="73">
        <f t="shared" si="13"/>
        <v>25</v>
      </c>
      <c r="AM30" s="73">
        <f t="shared" si="14"/>
        <v>25</v>
      </c>
      <c r="AN30" s="73">
        <f t="shared" si="15"/>
        <v>25</v>
      </c>
      <c r="AO30" s="73">
        <f t="shared" si="16"/>
        <v>25</v>
      </c>
      <c r="AQ30" s="20">
        <f t="shared" si="32"/>
        <v>48</v>
      </c>
      <c r="AR30" s="20">
        <f t="shared" si="17"/>
        <v>20</v>
      </c>
      <c r="AS30" s="18">
        <f t="shared" si="18"/>
        <v>17.500000000000004</v>
      </c>
      <c r="AT30" s="18">
        <f t="shared" si="19"/>
        <v>17.499999999999993</v>
      </c>
      <c r="AU30" s="73">
        <f t="shared" si="20"/>
        <v>25</v>
      </c>
      <c r="AV30" s="73">
        <f t="shared" si="21"/>
        <v>17.5</v>
      </c>
      <c r="AW30" s="18">
        <f t="shared" si="33"/>
        <v>17.500000000000004</v>
      </c>
      <c r="AX30" s="18">
        <f t="shared" si="34"/>
        <v>17.500000000000004</v>
      </c>
      <c r="AZ30" s="5">
        <f>Premie_leeftijd!J29</f>
        <v>1.8179857334339466E-3</v>
      </c>
      <c r="BA30" s="5"/>
      <c r="BB30" s="54">
        <v>23</v>
      </c>
      <c r="BC30" s="54">
        <f t="shared" si="22"/>
        <v>68</v>
      </c>
      <c r="BD30" s="54">
        <f t="shared" si="23"/>
        <v>68</v>
      </c>
      <c r="BE30" s="54" t="b">
        <f t="shared" si="35"/>
        <v>1</v>
      </c>
      <c r="BF30" s="54">
        <f t="shared" si="24"/>
        <v>17.500000000000004</v>
      </c>
      <c r="BG30" s="54">
        <f t="shared" si="25"/>
        <v>17.499999999999996</v>
      </c>
      <c r="BH30" s="54">
        <f t="shared" si="26"/>
        <v>25</v>
      </c>
      <c r="BI30" s="54">
        <f t="shared" si="27"/>
        <v>17.5</v>
      </c>
      <c r="BJ30" s="54">
        <f t="shared" si="28"/>
        <v>17.500000000000004</v>
      </c>
    </row>
    <row r="31" spans="1:62" x14ac:dyDescent="0.25">
      <c r="A31">
        <f>Grondslag!A26</f>
        <v>49</v>
      </c>
      <c r="C31" s="73">
        <f t="shared" si="2"/>
        <v>49</v>
      </c>
      <c r="F31">
        <f>OPperjr*Grondslag!S26</f>
        <v>0.58139534883720934</v>
      </c>
      <c r="G31" s="73" cm="1">
        <f t="array" ref="G31">G32*(1+reele_index_opb)</f>
        <v>1</v>
      </c>
      <c r="H31" s="73">
        <f>SUMPRODUCT(F$7:F31, G$7:G31)/G31</f>
        <v>14.534883720930225</v>
      </c>
      <c r="I31" s="18">
        <f>I30*(1+reele_index_opb)+ Premie_leeftijd!Y30* Premie_leeftijd!AK30* Premie_leeftijd!AL30 /Settings!$O$10</f>
        <v>15.066420293395868</v>
      </c>
      <c r="J31" s="18"/>
      <c r="K31">
        <f>(1+K32)/(1+Settings!I$10)</f>
        <v>18</v>
      </c>
      <c r="L31"/>
      <c r="M31" s="73">
        <f t="shared" si="36"/>
        <v>0</v>
      </c>
      <c r="N31" s="73">
        <f t="shared" si="36"/>
        <v>0</v>
      </c>
      <c r="O31" s="18">
        <f>Settings!$I$3*Grondslag!J26</f>
        <v>25</v>
      </c>
      <c r="P31" s="18">
        <f>Settings!$I$7*MAX(Grondslag!J26 - x*voltijdfranchise/1000*(Premie_leeftijd!T30=0),0)</f>
        <v>25</v>
      </c>
      <c r="Q31" s="18">
        <f>Settings!$I$7*MAX(Grondslag!J26 - voltijdfranchise/1000*(Premie_leeftijd!T30=0),0)</f>
        <v>17.5</v>
      </c>
      <c r="R31" s="18">
        <f>Settings!$I$3*Grondslag!J26*(1-Premie_leeftijd!R30)</f>
        <v>25</v>
      </c>
      <c r="S31" s="73">
        <f t="shared" si="29"/>
        <v>14.453505794622892</v>
      </c>
      <c r="U31" s="20" cm="1">
        <f t="array" ref="U31">SUMPRODUCT(Premie_leeftijd!AL$6:AL30, 1/Premie_leeftijd!AJ$6:AJ30, Premie_leeftijd!Y$6:Y30, G$7:G31)/G31 + Premie_leeftijd!AN31* Premie_leeftijd!Y31</f>
        <v>17.500000000000004</v>
      </c>
      <c r="V31" s="73">
        <f t="shared" si="4"/>
        <v>17.499999999999993</v>
      </c>
      <c r="W31" s="42" cm="1">
        <f t="array" ref="W31">Premie_leeftijd!$Y30*Premie_leeftijd!CG30/Premie_leeftijd!CE30 + W30*(1+reele_index_opb)</f>
        <v>11.856463741257336</v>
      </c>
      <c r="X31" s="31" cm="1">
        <f t="array" ref="X31">Premie_leeftijd!$Y30*Premie_leeftijd!BY30/Premie_leeftijd!BW30 + X30*(1+reele_index_opb)</f>
        <v>11.190625786453888</v>
      </c>
      <c r="Y31" s="20" cm="1">
        <f t="array" ref="Y31">Premie_leeftijd!AL30*Premie_leeftijd!$Y30/Premie_leeftijd!AJ30 + Y30*(1+reele_index_opb)</f>
        <v>10.546494205377108</v>
      </c>
      <c r="Z31" s="20"/>
      <c r="AA31" s="20">
        <f t="shared" si="30"/>
        <v>49</v>
      </c>
      <c r="AB31" s="41">
        <f t="shared" si="5"/>
        <v>17.500000000000004</v>
      </c>
      <c r="AC31" s="41">
        <f t="shared" si="6"/>
        <v>17.499999999999993</v>
      </c>
      <c r="AD31" s="20">
        <f t="shared" si="31"/>
        <v>25</v>
      </c>
      <c r="AE31" s="20">
        <f t="shared" si="7"/>
        <v>25</v>
      </c>
      <c r="AF31" s="20">
        <f t="shared" si="8"/>
        <v>25</v>
      </c>
      <c r="AG31" s="20">
        <f t="shared" si="9"/>
        <v>25</v>
      </c>
      <c r="AI31" s="73">
        <f t="shared" si="10"/>
        <v>18</v>
      </c>
      <c r="AJ31" s="73">
        <f t="shared" si="11"/>
        <v>17.500000000000004</v>
      </c>
      <c r="AK31" s="73">
        <f t="shared" si="12"/>
        <v>17.499999999999993</v>
      </c>
      <c r="AL31" s="73">
        <f t="shared" si="13"/>
        <v>25</v>
      </c>
      <c r="AM31" s="73">
        <f t="shared" si="14"/>
        <v>25</v>
      </c>
      <c r="AN31" s="73">
        <f t="shared" si="15"/>
        <v>25</v>
      </c>
      <c r="AO31" s="73">
        <f t="shared" si="16"/>
        <v>25</v>
      </c>
      <c r="AQ31" s="20">
        <f t="shared" si="32"/>
        <v>49</v>
      </c>
      <c r="AR31" s="20">
        <f t="shared" si="17"/>
        <v>19</v>
      </c>
      <c r="AS31" s="18">
        <f t="shared" si="18"/>
        <v>17.500000000000004</v>
      </c>
      <c r="AT31" s="18">
        <f t="shared" si="19"/>
        <v>17.499999999999993</v>
      </c>
      <c r="AU31" s="73">
        <f t="shared" si="20"/>
        <v>25</v>
      </c>
      <c r="AV31" s="73">
        <f t="shared" si="21"/>
        <v>17.5</v>
      </c>
      <c r="AW31" s="18">
        <f t="shared" si="33"/>
        <v>17.500000000000004</v>
      </c>
      <c r="AX31" s="18">
        <f t="shared" si="34"/>
        <v>17.500000000000004</v>
      </c>
      <c r="AZ31" s="5">
        <f>Premie_leeftijd!J30</f>
        <v>1.7460879925637052E-3</v>
      </c>
      <c r="BA31" s="5"/>
      <c r="BB31" s="54">
        <v>24</v>
      </c>
      <c r="BC31" s="54">
        <f t="shared" si="22"/>
        <v>69</v>
      </c>
      <c r="BD31" s="54">
        <f t="shared" si="23"/>
        <v>69</v>
      </c>
      <c r="BE31" s="54" t="b">
        <f t="shared" si="35"/>
        <v>1</v>
      </c>
      <c r="BF31" s="54">
        <f t="shared" si="24"/>
        <v>17.500000000000004</v>
      </c>
      <c r="BG31" s="54">
        <f t="shared" si="25"/>
        <v>17.499999999999996</v>
      </c>
      <c r="BH31" s="54">
        <f t="shared" si="26"/>
        <v>25</v>
      </c>
      <c r="BI31" s="54">
        <f t="shared" si="27"/>
        <v>17.5</v>
      </c>
      <c r="BJ31" s="54">
        <f t="shared" si="28"/>
        <v>17.500000000000004</v>
      </c>
    </row>
    <row r="32" spans="1:62" x14ac:dyDescent="0.25">
      <c r="A32">
        <f>Grondslag!A27</f>
        <v>50</v>
      </c>
      <c r="C32" s="73">
        <f t="shared" si="2"/>
        <v>50</v>
      </c>
      <c r="F32">
        <f>OPperjr*Grondslag!S27</f>
        <v>0.58139534883720934</v>
      </c>
      <c r="G32" s="73" cm="1">
        <f t="array" ref="G32">G33*(1+reele_index_opb)</f>
        <v>1</v>
      </c>
      <c r="H32" s="73">
        <f>SUMPRODUCT(F$7:F32, G$7:G32)/G32</f>
        <v>15.116279069767433</v>
      </c>
      <c r="I32" s="18">
        <f>I31*(1+reele_index_opb)+ Premie_leeftijd!Y31* Premie_leeftijd!AK31* Premie_leeftijd!AL31 /Settings!$O$10</f>
        <v>15.615411051639729</v>
      </c>
      <c r="J32" s="18"/>
      <c r="K32">
        <f>(1+K33)/(1+Settings!I$10)</f>
        <v>17</v>
      </c>
      <c r="L32"/>
      <c r="M32" s="73">
        <f t="shared" si="36"/>
        <v>0</v>
      </c>
      <c r="N32" s="73">
        <f t="shared" si="36"/>
        <v>0</v>
      </c>
      <c r="O32" s="18">
        <f>Settings!$I$3*Grondslag!J27</f>
        <v>25</v>
      </c>
      <c r="P32" s="18">
        <f>Settings!$I$7*MAX(Grondslag!J27 - x*voltijdfranchise/1000*(Premie_leeftijd!T31=0),0)</f>
        <v>25</v>
      </c>
      <c r="Q32" s="18">
        <f>Settings!$I$7*MAX(Grondslag!J27 - voltijdfranchise/1000*(Premie_leeftijd!T31=0),0)</f>
        <v>17.5</v>
      </c>
      <c r="R32" s="18">
        <f>Settings!$I$3*Grondslag!J27*(1-Premie_leeftijd!R31)</f>
        <v>25</v>
      </c>
      <c r="S32" s="73">
        <f t="shared" si="29"/>
        <v>14.06921226385219</v>
      </c>
      <c r="U32" s="20" cm="1">
        <f t="array" ref="U32">SUMPRODUCT(Premie_leeftijd!AL$6:AL31, 1/Premie_leeftijd!AJ$6:AJ31, Premie_leeftijd!Y$6:Y31, G$7:G32)/G32 + Premie_leeftijd!AN32* Premie_leeftijd!Y32</f>
        <v>17.500000000000004</v>
      </c>
      <c r="V32" s="73">
        <f t="shared" si="4"/>
        <v>17.499999999999993</v>
      </c>
      <c r="W32" s="42" cm="1">
        <f t="array" ref="W32">Premie_leeftijd!$Y31*Premie_leeftijd!CG31/Premie_leeftijd!CE31 + W31*(1+reele_index_opb)</f>
        <v>12.232541448987636</v>
      </c>
      <c r="X32" s="31" cm="1">
        <f t="array" ref="X32">Premie_leeftijd!$Y31*Premie_leeftijd!BY31/Premie_leeftijd!BW31 + X31*(1+reele_index_opb)</f>
        <v>11.566278904680356</v>
      </c>
      <c r="Y32" s="20" cm="1">
        <f t="array" ref="Y32">Premie_leeftijd!AL31*Premie_leeftijd!$Y31/Premie_leeftijd!AJ31 + Y31*(1+reele_index_opb)</f>
        <v>10.93078773614781</v>
      </c>
      <c r="Z32" s="20"/>
      <c r="AA32" s="20">
        <f t="shared" si="30"/>
        <v>50</v>
      </c>
      <c r="AB32" s="41">
        <f t="shared" si="5"/>
        <v>17.500000000000004</v>
      </c>
      <c r="AC32" s="41">
        <f t="shared" si="6"/>
        <v>17.499999999999993</v>
      </c>
      <c r="AD32" s="20">
        <f t="shared" si="31"/>
        <v>25</v>
      </c>
      <c r="AE32" s="20">
        <f t="shared" si="7"/>
        <v>25</v>
      </c>
      <c r="AF32" s="20">
        <f t="shared" si="8"/>
        <v>25</v>
      </c>
      <c r="AG32" s="20">
        <f t="shared" si="9"/>
        <v>25</v>
      </c>
      <c r="AI32" s="73">
        <f t="shared" si="10"/>
        <v>17</v>
      </c>
      <c r="AJ32" s="73">
        <f t="shared" si="11"/>
        <v>17.500000000000004</v>
      </c>
      <c r="AK32" s="73">
        <f t="shared" si="12"/>
        <v>17.499999999999993</v>
      </c>
      <c r="AL32" s="73">
        <f t="shared" si="13"/>
        <v>25</v>
      </c>
      <c r="AM32" s="73">
        <f t="shared" si="14"/>
        <v>25</v>
      </c>
      <c r="AN32" s="73">
        <f t="shared" si="15"/>
        <v>25</v>
      </c>
      <c r="AO32" s="73">
        <f t="shared" si="16"/>
        <v>25</v>
      </c>
      <c r="AQ32" s="20">
        <f t="shared" si="32"/>
        <v>50</v>
      </c>
      <c r="AR32" s="20">
        <f t="shared" si="17"/>
        <v>18</v>
      </c>
      <c r="AS32" s="18">
        <f t="shared" si="18"/>
        <v>17.500000000000004</v>
      </c>
      <c r="AT32" s="18">
        <f t="shared" si="19"/>
        <v>17.499999999999993</v>
      </c>
      <c r="AU32" s="73">
        <f t="shared" si="20"/>
        <v>25</v>
      </c>
      <c r="AV32" s="73">
        <f t="shared" si="21"/>
        <v>17.5</v>
      </c>
      <c r="AW32" s="18">
        <f t="shared" si="33"/>
        <v>17.500000000000004</v>
      </c>
      <c r="AX32" s="18">
        <f t="shared" si="34"/>
        <v>17.500000000000004</v>
      </c>
      <c r="AZ32" s="5">
        <f>Premie_leeftijd!J31</f>
        <v>1.9771878739325288E-3</v>
      </c>
      <c r="BA32" s="5"/>
      <c r="BB32" s="54">
        <v>25</v>
      </c>
      <c r="BC32" s="54">
        <f t="shared" si="22"/>
        <v>70</v>
      </c>
      <c r="BD32" s="54">
        <f t="shared" si="23"/>
        <v>70</v>
      </c>
      <c r="BE32" s="54" t="b">
        <f t="shared" si="35"/>
        <v>1</v>
      </c>
      <c r="BF32" s="54">
        <f t="shared" si="24"/>
        <v>17.500000000000004</v>
      </c>
      <c r="BG32" s="54">
        <f t="shared" si="25"/>
        <v>17.499999999999996</v>
      </c>
      <c r="BH32" s="54">
        <f t="shared" si="26"/>
        <v>25</v>
      </c>
      <c r="BI32" s="54">
        <f t="shared" si="27"/>
        <v>17.5</v>
      </c>
      <c r="BJ32" s="54">
        <f t="shared" si="28"/>
        <v>17.500000000000004</v>
      </c>
    </row>
    <row r="33" spans="1:62" x14ac:dyDescent="0.25">
      <c r="A33">
        <f>Grondslag!A28</f>
        <v>51</v>
      </c>
      <c r="C33" s="73">
        <f t="shared" si="2"/>
        <v>51</v>
      </c>
      <c r="F33">
        <f>OPperjr*Grondslag!S28</f>
        <v>0.58139534883720934</v>
      </c>
      <c r="G33" s="73" cm="1">
        <f t="array" ref="G33">G34*(1+reele_index_opb)</f>
        <v>1</v>
      </c>
      <c r="H33" s="73">
        <f>SUMPRODUCT(F$7:F33, G$7:G33)/G33</f>
        <v>15.697674418604642</v>
      </c>
      <c r="I33" s="18">
        <f>I32*(1+reele_index_opb)+ Premie_leeftijd!Y32* Premie_leeftijd!AK32* Premie_leeftijd!AL32 /Settings!$O$10</f>
        <v>16.162397135414551</v>
      </c>
      <c r="J33" s="18"/>
      <c r="K33">
        <f>(1+K34)/(1+Settings!I$10)</f>
        <v>16</v>
      </c>
      <c r="L33"/>
      <c r="M33" s="73">
        <f t="shared" si="36"/>
        <v>0</v>
      </c>
      <c r="N33" s="73">
        <f t="shared" si="36"/>
        <v>0</v>
      </c>
      <c r="O33" s="18">
        <f>Settings!$I$3*Grondslag!J28</f>
        <v>25</v>
      </c>
      <c r="P33" s="18">
        <f>Settings!$I$7*MAX(Grondslag!J28 - x*voltijdfranchise/1000*(Premie_leeftijd!T32=0),0)</f>
        <v>25</v>
      </c>
      <c r="Q33" s="18">
        <f>Settings!$I$7*MAX(Grondslag!J28 - voltijdfranchise/1000*(Premie_leeftijd!T32=0),0)</f>
        <v>17.5</v>
      </c>
      <c r="R33" s="18">
        <f>Settings!$I$3*Grondslag!J28*(1-Premie_leeftijd!R32)</f>
        <v>25</v>
      </c>
      <c r="S33" s="73">
        <f t="shared" si="29"/>
        <v>13.686322005209814</v>
      </c>
      <c r="U33" s="20" cm="1">
        <f t="array" ref="U33">SUMPRODUCT(Premie_leeftijd!AL$6:AL32, 1/Premie_leeftijd!AJ$6:AJ32, Premie_leeftijd!Y$6:Y32, G$7:G33)/G33 + Premie_leeftijd!AN33* Premie_leeftijd!Y33</f>
        <v>17.500000000000004</v>
      </c>
      <c r="V33" s="73">
        <f t="shared" si="4"/>
        <v>17.499999999999993</v>
      </c>
      <c r="W33" s="42" cm="1">
        <f t="array" ref="W33">Premie_leeftijd!$Y32*Premie_leeftijd!CG32/Premie_leeftijd!CE32 + W32*(1+reele_index_opb)</f>
        <v>12.601382821465085</v>
      </c>
      <c r="X33" s="31" cm="1">
        <f t="array" ref="X33">Premie_leeftijd!$Y32*Premie_leeftijd!BY32/Premie_leeftijd!BW32 + X32*(1+reele_index_opb)</f>
        <v>11.937581214641593</v>
      </c>
      <c r="Y33" s="20" cm="1">
        <f t="array" ref="Y33">Premie_leeftijd!AL32*Premie_leeftijd!$Y32/Premie_leeftijd!AJ32 + Y32*(1+reele_index_opb)</f>
        <v>11.313677994790186</v>
      </c>
      <c r="Z33" s="20"/>
      <c r="AA33" s="20">
        <f t="shared" si="30"/>
        <v>51</v>
      </c>
      <c r="AB33" s="41">
        <f t="shared" si="5"/>
        <v>17.500000000000004</v>
      </c>
      <c r="AC33" s="41">
        <f t="shared" si="6"/>
        <v>17.499999999999993</v>
      </c>
      <c r="AD33" s="20">
        <f t="shared" si="31"/>
        <v>25</v>
      </c>
      <c r="AE33" s="20">
        <f t="shared" si="7"/>
        <v>25</v>
      </c>
      <c r="AF33" s="20">
        <f t="shared" si="8"/>
        <v>25</v>
      </c>
      <c r="AG33" s="20">
        <f t="shared" si="9"/>
        <v>25</v>
      </c>
      <c r="AI33" s="73">
        <f t="shared" si="10"/>
        <v>16</v>
      </c>
      <c r="AJ33" s="73">
        <f t="shared" si="11"/>
        <v>17.500000000000004</v>
      </c>
      <c r="AK33" s="73">
        <f t="shared" si="12"/>
        <v>17.499999999999993</v>
      </c>
      <c r="AL33" s="73">
        <f t="shared" si="13"/>
        <v>25</v>
      </c>
      <c r="AM33" s="73">
        <f t="shared" si="14"/>
        <v>25</v>
      </c>
      <c r="AN33" s="73">
        <f t="shared" si="15"/>
        <v>25</v>
      </c>
      <c r="AO33" s="73">
        <f t="shared" si="16"/>
        <v>25</v>
      </c>
      <c r="AQ33" s="20">
        <f t="shared" si="32"/>
        <v>51</v>
      </c>
      <c r="AR33" s="20">
        <f t="shared" si="17"/>
        <v>17</v>
      </c>
      <c r="AS33" s="18">
        <f t="shared" si="18"/>
        <v>17.500000000000004</v>
      </c>
      <c r="AT33" s="18">
        <f t="shared" si="19"/>
        <v>17.499999999999993</v>
      </c>
      <c r="AU33" s="73">
        <f t="shared" si="20"/>
        <v>25</v>
      </c>
      <c r="AV33" s="73">
        <f t="shared" si="21"/>
        <v>17.5</v>
      </c>
      <c r="AW33" s="18">
        <f t="shared" si="33"/>
        <v>17.500000000000004</v>
      </c>
      <c r="AX33" s="18">
        <f t="shared" si="34"/>
        <v>17.500000000000004</v>
      </c>
      <c r="AZ33" s="5">
        <f>Premie_leeftijd!J32</f>
        <v>2.2134233082203858E-3</v>
      </c>
      <c r="BA33" s="5"/>
      <c r="BB33" s="54">
        <v>26</v>
      </c>
      <c r="BC33" s="54">
        <f t="shared" si="22"/>
        <v>71</v>
      </c>
      <c r="BD33" s="54">
        <f t="shared" si="23"/>
        <v>71</v>
      </c>
      <c r="BE33" s="54" t="b">
        <f t="shared" si="35"/>
        <v>1</v>
      </c>
      <c r="BF33" s="54">
        <f t="shared" si="24"/>
        <v>17.500000000000004</v>
      </c>
      <c r="BG33" s="54">
        <f t="shared" si="25"/>
        <v>17.499999999999996</v>
      </c>
      <c r="BH33" s="54">
        <f t="shared" si="26"/>
        <v>25</v>
      </c>
      <c r="BI33" s="54">
        <f t="shared" si="27"/>
        <v>17.5</v>
      </c>
      <c r="BJ33" s="54">
        <f t="shared" si="28"/>
        <v>17.500000000000004</v>
      </c>
    </row>
    <row r="34" spans="1:62" x14ac:dyDescent="0.25">
      <c r="A34">
        <f>Grondslag!A29</f>
        <v>52</v>
      </c>
      <c r="C34" s="73">
        <f t="shared" si="2"/>
        <v>52</v>
      </c>
      <c r="F34">
        <f>OPperjr*Grondslag!S29</f>
        <v>0.58139534883720934</v>
      </c>
      <c r="G34" s="73" cm="1">
        <f t="array" ref="G34">G35*(1+reele_index_opb)</f>
        <v>1</v>
      </c>
      <c r="H34" s="73">
        <f>SUMPRODUCT(F$7:F34, G$7:G34)/G34</f>
        <v>16.27906976744185</v>
      </c>
      <c r="I34" s="18">
        <f>I33*(1+reele_index_opb)+ Premie_leeftijd!Y33* Premie_leeftijd!AK33* Premie_leeftijd!AL33 /Settings!$O$10</f>
        <v>16.708157930934203</v>
      </c>
      <c r="J34" s="18"/>
      <c r="K34">
        <f>(1+K35)/(1+Settings!I$10)</f>
        <v>15</v>
      </c>
      <c r="L34"/>
      <c r="M34" s="73">
        <f t="shared" si="36"/>
        <v>0</v>
      </c>
      <c r="N34" s="73">
        <f t="shared" si="36"/>
        <v>0</v>
      </c>
      <c r="O34" s="18">
        <f>Settings!$I$3*Grondslag!J29</f>
        <v>25</v>
      </c>
      <c r="P34" s="18">
        <f>Settings!$I$7*MAX(Grondslag!J29 - x*voltijdfranchise/1000*(Premie_leeftijd!T33=0),0)</f>
        <v>25</v>
      </c>
      <c r="Q34" s="18">
        <f>Settings!$I$7*MAX(Grondslag!J29 - voltijdfranchise/1000*(Premie_leeftijd!T33=0),0)</f>
        <v>17.5</v>
      </c>
      <c r="R34" s="18">
        <f>Settings!$I$3*Grondslag!J29*(1-Premie_leeftijd!R33)</f>
        <v>25</v>
      </c>
      <c r="S34" s="73">
        <f t="shared" si="29"/>
        <v>13.304289448346058</v>
      </c>
      <c r="U34" s="20" cm="1">
        <f t="array" ref="U34">SUMPRODUCT(Premie_leeftijd!AL$6:AL33, 1/Premie_leeftijd!AJ$6:AJ33, Premie_leeftijd!Y$6:Y33, G$7:G34)/G34 + Premie_leeftijd!AN34* Premie_leeftijd!Y34</f>
        <v>17.500000000000004</v>
      </c>
      <c r="V34" s="73">
        <f t="shared" si="4"/>
        <v>17.499999999999993</v>
      </c>
      <c r="W34" s="42" cm="1">
        <f t="array" ref="W34">Premie_leeftijd!$Y33*Premie_leeftijd!CG33/Premie_leeftijd!CE33 + W33*(1+reele_index_opb)</f>
        <v>12.963088945711926</v>
      </c>
      <c r="X34" s="31" cm="1">
        <f t="array" ref="X34">Premie_leeftijd!$Y33*Premie_leeftijd!BY33/Premie_leeftijd!BW33 + X33*(1+reele_index_opb)</f>
        <v>12.304911451643948</v>
      </c>
      <c r="Y34" s="20" cm="1">
        <f t="array" ref="Y34">Premie_leeftijd!AL33*Premie_leeftijd!$Y33/Premie_leeftijd!AJ33 + Y33*(1+reele_index_opb)</f>
        <v>11.695710551653942</v>
      </c>
      <c r="Z34" s="20"/>
      <c r="AA34" s="20">
        <f t="shared" si="30"/>
        <v>52</v>
      </c>
      <c r="AB34" s="41">
        <f t="shared" si="5"/>
        <v>17.500000000000004</v>
      </c>
      <c r="AC34" s="41">
        <f t="shared" si="6"/>
        <v>17.499999999999993</v>
      </c>
      <c r="AD34" s="20">
        <f t="shared" si="31"/>
        <v>25</v>
      </c>
      <c r="AE34" s="20">
        <f t="shared" si="7"/>
        <v>25</v>
      </c>
      <c r="AF34" s="20">
        <f t="shared" si="8"/>
        <v>25</v>
      </c>
      <c r="AG34" s="20">
        <f t="shared" si="9"/>
        <v>25</v>
      </c>
      <c r="AI34" s="73">
        <f t="shared" si="10"/>
        <v>15</v>
      </c>
      <c r="AJ34" s="73">
        <f t="shared" si="11"/>
        <v>17.500000000000004</v>
      </c>
      <c r="AK34" s="73">
        <f t="shared" si="12"/>
        <v>17.499999999999993</v>
      </c>
      <c r="AL34" s="73">
        <f t="shared" si="13"/>
        <v>25</v>
      </c>
      <c r="AM34" s="73">
        <f t="shared" si="14"/>
        <v>25</v>
      </c>
      <c r="AN34" s="73">
        <f t="shared" si="15"/>
        <v>25</v>
      </c>
      <c r="AO34" s="73">
        <f t="shared" si="16"/>
        <v>25</v>
      </c>
      <c r="AQ34" s="20">
        <f t="shared" si="32"/>
        <v>52</v>
      </c>
      <c r="AR34" s="20">
        <f t="shared" si="17"/>
        <v>16</v>
      </c>
      <c r="AS34" s="18">
        <f t="shared" si="18"/>
        <v>17.500000000000004</v>
      </c>
      <c r="AT34" s="18">
        <f t="shared" si="19"/>
        <v>17.499999999999993</v>
      </c>
      <c r="AU34" s="73">
        <f t="shared" si="20"/>
        <v>25</v>
      </c>
      <c r="AV34" s="73">
        <f t="shared" si="21"/>
        <v>17.5</v>
      </c>
      <c r="AW34" s="18">
        <f t="shared" si="33"/>
        <v>17.500000000000004</v>
      </c>
      <c r="AX34" s="18">
        <f t="shared" si="34"/>
        <v>17.500000000000004</v>
      </c>
      <c r="AZ34" s="5">
        <f>Premie_leeftijd!J33</f>
        <v>2.2596432844942393E-3</v>
      </c>
      <c r="BA34" s="5"/>
      <c r="BB34" s="54">
        <v>27</v>
      </c>
      <c r="BC34" s="54">
        <f t="shared" si="22"/>
        <v>72</v>
      </c>
      <c r="BD34" s="54">
        <f t="shared" si="23"/>
        <v>72</v>
      </c>
      <c r="BE34" s="54" t="b">
        <f t="shared" si="35"/>
        <v>1</v>
      </c>
      <c r="BF34" s="54">
        <f t="shared" si="24"/>
        <v>17.500000000000004</v>
      </c>
      <c r="BG34" s="54">
        <f t="shared" si="25"/>
        <v>17.499999999999996</v>
      </c>
      <c r="BH34" s="54">
        <f t="shared" si="26"/>
        <v>25</v>
      </c>
      <c r="BI34" s="54">
        <f t="shared" si="27"/>
        <v>17.5</v>
      </c>
      <c r="BJ34" s="54">
        <f t="shared" si="28"/>
        <v>17.500000000000004</v>
      </c>
    </row>
    <row r="35" spans="1:62" x14ac:dyDescent="0.25">
      <c r="A35">
        <f>Grondslag!A30</f>
        <v>53</v>
      </c>
      <c r="C35" s="73">
        <f t="shared" si="2"/>
        <v>53</v>
      </c>
      <c r="F35">
        <f>OPperjr*Grondslag!S30</f>
        <v>0.58139534883720934</v>
      </c>
      <c r="G35" s="73" cm="1">
        <f t="array" ref="G35">G36*(1+reele_index_opb)</f>
        <v>1</v>
      </c>
      <c r="H35" s="73">
        <f>SUMPRODUCT(F$7:F35, G$7:G35)/G35</f>
        <v>16.860465116279059</v>
      </c>
      <c r="I35" s="18">
        <f>I34*(1+reele_index_opb)+ Premie_leeftijd!Y34* Premie_leeftijd!AK34* Premie_leeftijd!AL34 /Settings!$O$10</f>
        <v>17.252710326771812</v>
      </c>
      <c r="J35" s="18"/>
      <c r="K35">
        <f>(1+K36)/(1+Settings!I$10)</f>
        <v>14</v>
      </c>
      <c r="L35"/>
      <c r="M35" s="73">
        <f t="shared" si="36"/>
        <v>0</v>
      </c>
      <c r="N35" s="73">
        <f t="shared" si="36"/>
        <v>0</v>
      </c>
      <c r="O35" s="18">
        <f>Settings!$I$3*Grondslag!J30</f>
        <v>25</v>
      </c>
      <c r="P35" s="18">
        <f>Settings!$I$7*MAX(Grondslag!J30 - x*voltijdfranchise/1000*(Premie_leeftijd!T34=0),0)</f>
        <v>25</v>
      </c>
      <c r="Q35" s="18">
        <f>Settings!$I$7*MAX(Grondslag!J30 - voltijdfranchise/1000*(Premie_leeftijd!T34=0),0)</f>
        <v>17.5</v>
      </c>
      <c r="R35" s="18">
        <f>Settings!$I$3*Grondslag!J30*(1-Premie_leeftijd!R34)</f>
        <v>25</v>
      </c>
      <c r="S35" s="73">
        <f t="shared" si="29"/>
        <v>12.923102771259732</v>
      </c>
      <c r="U35" s="20" cm="1">
        <f t="array" ref="U35">SUMPRODUCT(Premie_leeftijd!AL$6:AL34, 1/Premie_leeftijd!AJ$6:AJ34, Premie_leeftijd!Y$6:Y34, G$7:G35)/G35 + Premie_leeftijd!AN35* Premie_leeftijd!Y35</f>
        <v>17.500000000000004</v>
      </c>
      <c r="V35" s="73">
        <f t="shared" si="4"/>
        <v>17.499999999999993</v>
      </c>
      <c r="W35" s="42" cm="1">
        <f t="array" ref="W35">Premie_leeftijd!$Y34*Premie_leeftijd!CG34/Premie_leeftijd!CE34 + W34*(1+reele_index_opb)</f>
        <v>13.317805291638347</v>
      </c>
      <c r="X35" s="31" cm="1">
        <f t="array" ref="X35">Premie_leeftijd!$Y34*Premie_leeftijd!BY34/Premie_leeftijd!BW34 + X34*(1+reele_index_opb)</f>
        <v>12.668415342108306</v>
      </c>
      <c r="Y35" s="20" cm="1">
        <f t="array" ref="Y35">Premie_leeftijd!AL34*Premie_leeftijd!$Y34/Premie_leeftijd!AJ34 + Y34*(1+reele_index_opb)</f>
        <v>12.076897228740268</v>
      </c>
      <c r="Z35" s="20"/>
      <c r="AA35" s="20">
        <f t="shared" si="30"/>
        <v>53</v>
      </c>
      <c r="AB35" s="41">
        <f t="shared" si="5"/>
        <v>17.500000000000004</v>
      </c>
      <c r="AC35" s="41">
        <f t="shared" si="6"/>
        <v>17.499999999999993</v>
      </c>
      <c r="AD35" s="20">
        <f t="shared" si="31"/>
        <v>25</v>
      </c>
      <c r="AE35" s="20">
        <f t="shared" si="7"/>
        <v>25</v>
      </c>
      <c r="AF35" s="20">
        <f t="shared" si="8"/>
        <v>25</v>
      </c>
      <c r="AG35" s="20">
        <f t="shared" si="9"/>
        <v>25</v>
      </c>
      <c r="AI35" s="73">
        <f t="shared" si="10"/>
        <v>14</v>
      </c>
      <c r="AJ35" s="73">
        <f t="shared" si="11"/>
        <v>17.500000000000004</v>
      </c>
      <c r="AK35" s="73">
        <f t="shared" si="12"/>
        <v>17.499999999999993</v>
      </c>
      <c r="AL35" s="73">
        <f t="shared" si="13"/>
        <v>25</v>
      </c>
      <c r="AM35" s="73">
        <f t="shared" si="14"/>
        <v>25</v>
      </c>
      <c r="AN35" s="73">
        <f t="shared" si="15"/>
        <v>25</v>
      </c>
      <c r="AO35" s="73">
        <f t="shared" si="16"/>
        <v>25</v>
      </c>
      <c r="AQ35" s="20">
        <f t="shared" si="32"/>
        <v>53</v>
      </c>
      <c r="AR35" s="20">
        <f t="shared" si="17"/>
        <v>15</v>
      </c>
      <c r="AS35" s="18">
        <f t="shared" si="18"/>
        <v>17.500000000000004</v>
      </c>
      <c r="AT35" s="18">
        <f t="shared" si="19"/>
        <v>17.499999999999993</v>
      </c>
      <c r="AU35" s="73">
        <f t="shared" si="20"/>
        <v>25</v>
      </c>
      <c r="AV35" s="73">
        <f t="shared" si="21"/>
        <v>17.5</v>
      </c>
      <c r="AW35" s="18">
        <f t="shared" si="33"/>
        <v>17.500000000000004</v>
      </c>
      <c r="AX35" s="18">
        <f t="shared" si="34"/>
        <v>17.500000000000004</v>
      </c>
      <c r="AZ35" s="5">
        <f>Premie_leeftijd!J34</f>
        <v>2.2442366257363622E-3</v>
      </c>
      <c r="BA35" s="5"/>
      <c r="BB35" s="54">
        <v>28</v>
      </c>
      <c r="BC35" s="54">
        <f t="shared" si="22"/>
        <v>73</v>
      </c>
      <c r="BD35" s="54">
        <f t="shared" si="23"/>
        <v>73</v>
      </c>
      <c r="BE35" s="54" t="b">
        <f t="shared" si="35"/>
        <v>1</v>
      </c>
      <c r="BF35" s="54">
        <f t="shared" si="24"/>
        <v>17.500000000000004</v>
      </c>
      <c r="BG35" s="54">
        <f t="shared" si="25"/>
        <v>17.499999999999996</v>
      </c>
      <c r="BH35" s="54">
        <f t="shared" si="26"/>
        <v>25</v>
      </c>
      <c r="BI35" s="54">
        <f t="shared" si="27"/>
        <v>17.5</v>
      </c>
      <c r="BJ35" s="54">
        <f t="shared" si="28"/>
        <v>17.500000000000004</v>
      </c>
    </row>
    <row r="36" spans="1:62" x14ac:dyDescent="0.25">
      <c r="A36">
        <f>Grondslag!A31</f>
        <v>54</v>
      </c>
      <c r="C36" s="73">
        <f t="shared" si="2"/>
        <v>54</v>
      </c>
      <c r="F36">
        <f>OPperjr*Grondslag!S31</f>
        <v>0.58139534883720934</v>
      </c>
      <c r="G36" s="73" cm="1">
        <f t="array" ref="G36">G37*(1+reele_index_opb)</f>
        <v>1</v>
      </c>
      <c r="H36" s="73">
        <f>SUMPRODUCT(F$7:F36, G$7:G36)/G36</f>
        <v>17.441860465116267</v>
      </c>
      <c r="I36" s="18">
        <f>I35*(1+reele_index_opb)+ Premie_leeftijd!Y35* Premie_leeftijd!AK35* Premie_leeftijd!AL35 /Settings!$O$10</f>
        <v>17.795559988347215</v>
      </c>
      <c r="J36" s="18"/>
      <c r="K36">
        <f>(1+K37)/(1+Settings!I$10)</f>
        <v>13</v>
      </c>
      <c r="L36"/>
      <c r="M36" s="73">
        <f t="shared" si="36"/>
        <v>0</v>
      </c>
      <c r="N36" s="73">
        <f t="shared" si="36"/>
        <v>0</v>
      </c>
      <c r="O36" s="18">
        <f>Settings!$I$3*Grondslag!J31</f>
        <v>25</v>
      </c>
      <c r="P36" s="18">
        <f>Settings!$I$7*MAX(Grondslag!J31 - x*voltijdfranchise/1000*(Premie_leeftijd!T35=0),0)</f>
        <v>25</v>
      </c>
      <c r="Q36" s="18">
        <f>Settings!$I$7*MAX(Grondslag!J31 - voltijdfranchise/1000*(Premie_leeftijd!T35=0),0)</f>
        <v>17.5</v>
      </c>
      <c r="R36" s="18">
        <f>Settings!$I$3*Grondslag!J31*(1-Premie_leeftijd!R35)</f>
        <v>25</v>
      </c>
      <c r="S36" s="73">
        <f t="shared" si="29"/>
        <v>12.543108008156951</v>
      </c>
      <c r="U36" s="20" cm="1">
        <f t="array" ref="U36">SUMPRODUCT(Premie_leeftijd!AL$6:AL35, 1/Premie_leeftijd!AJ$6:AJ35, Premie_leeftijd!Y$6:Y35, G$7:G36)/G36 + Premie_leeftijd!AN36* Premie_leeftijd!Y36</f>
        <v>17.500000000000004</v>
      </c>
      <c r="V36" s="73">
        <f t="shared" si="4"/>
        <v>17.499999999999993</v>
      </c>
      <c r="W36" s="42" cm="1">
        <f t="array" ref="W36">Premie_leeftijd!$Y35*Premie_leeftijd!CG35/Premie_leeftijd!CE35 + W35*(1+reele_index_opb)</f>
        <v>13.665515444099029</v>
      </c>
      <c r="X36" s="31" cm="1">
        <f t="array" ref="X36">Premie_leeftijd!$Y35*Premie_leeftijd!BY35/Premie_leeftijd!BW35 + X35*(1+reele_index_opb)</f>
        <v>13.027983322106246</v>
      </c>
      <c r="Y36" s="20" cm="1">
        <f t="array" ref="Y36">Premie_leeftijd!AL35*Premie_leeftijd!$Y35/Premie_leeftijd!AJ35 + Y35*(1+reele_index_opb)</f>
        <v>12.456891991843049</v>
      </c>
      <c r="Z36" s="20"/>
      <c r="AA36" s="20">
        <f t="shared" si="30"/>
        <v>54</v>
      </c>
      <c r="AB36" s="41">
        <f t="shared" si="5"/>
        <v>17.500000000000004</v>
      </c>
      <c r="AC36" s="41">
        <f t="shared" si="6"/>
        <v>17.499999999999993</v>
      </c>
      <c r="AD36" s="20">
        <f t="shared" si="31"/>
        <v>25</v>
      </c>
      <c r="AE36" s="20">
        <f t="shared" si="7"/>
        <v>25</v>
      </c>
      <c r="AF36" s="20">
        <f t="shared" si="8"/>
        <v>25</v>
      </c>
      <c r="AG36" s="20">
        <f t="shared" si="9"/>
        <v>25</v>
      </c>
      <c r="AI36" s="73">
        <f t="shared" si="10"/>
        <v>13</v>
      </c>
      <c r="AJ36" s="73">
        <f t="shared" si="11"/>
        <v>17.500000000000004</v>
      </c>
      <c r="AK36" s="73">
        <f t="shared" si="12"/>
        <v>17.499999999999993</v>
      </c>
      <c r="AL36" s="73">
        <f t="shared" si="13"/>
        <v>25</v>
      </c>
      <c r="AM36" s="73">
        <f t="shared" si="14"/>
        <v>25</v>
      </c>
      <c r="AN36" s="73">
        <f t="shared" si="15"/>
        <v>25</v>
      </c>
      <c r="AO36" s="73">
        <f t="shared" si="16"/>
        <v>25</v>
      </c>
      <c r="AQ36" s="20">
        <f t="shared" si="32"/>
        <v>54</v>
      </c>
      <c r="AR36" s="20">
        <f t="shared" si="17"/>
        <v>14</v>
      </c>
      <c r="AS36" s="18">
        <f t="shared" si="18"/>
        <v>17.500000000000004</v>
      </c>
      <c r="AT36" s="18">
        <f t="shared" si="19"/>
        <v>17.499999999999993</v>
      </c>
      <c r="AU36" s="73">
        <f t="shared" si="20"/>
        <v>25</v>
      </c>
      <c r="AV36" s="73">
        <f t="shared" si="21"/>
        <v>17.5</v>
      </c>
      <c r="AW36" s="18">
        <f t="shared" si="33"/>
        <v>17.500000000000004</v>
      </c>
      <c r="AX36" s="18">
        <f t="shared" si="34"/>
        <v>17.500000000000004</v>
      </c>
      <c r="AZ36" s="5">
        <f>Premie_leeftijd!J35</f>
        <v>2.4496587425084648E-3</v>
      </c>
      <c r="BA36" s="5"/>
      <c r="BB36" s="54">
        <v>29</v>
      </c>
      <c r="BC36" s="54">
        <f t="shared" si="22"/>
        <v>74</v>
      </c>
      <c r="BD36" s="54">
        <f t="shared" si="23"/>
        <v>74</v>
      </c>
      <c r="BE36" s="54" t="b">
        <f t="shared" si="35"/>
        <v>1</v>
      </c>
      <c r="BF36" s="54">
        <f t="shared" si="24"/>
        <v>17.500000000000004</v>
      </c>
      <c r="BG36" s="54">
        <f t="shared" si="25"/>
        <v>17.499999999999996</v>
      </c>
      <c r="BH36" s="54">
        <f t="shared" si="26"/>
        <v>25</v>
      </c>
      <c r="BI36" s="54">
        <f t="shared" si="27"/>
        <v>17.5</v>
      </c>
      <c r="BJ36" s="54">
        <f t="shared" si="28"/>
        <v>17.500000000000004</v>
      </c>
    </row>
    <row r="37" spans="1:62" x14ac:dyDescent="0.25">
      <c r="A37">
        <f>Grondslag!A32</f>
        <v>55</v>
      </c>
      <c r="C37" s="73">
        <f t="shared" si="2"/>
        <v>55</v>
      </c>
      <c r="F37">
        <f>OPperjr*Grondslag!S32</f>
        <v>0.58139534883720934</v>
      </c>
      <c r="G37" s="73" cm="1">
        <f t="array" ref="G37">G38*(1+reele_index_opb)</f>
        <v>1</v>
      </c>
      <c r="H37" s="73">
        <f>SUMPRODUCT(F$7:F37, G$7:G37)/G37</f>
        <v>18.023255813953476</v>
      </c>
      <c r="I37" s="18">
        <f>I36*(1+reele_index_opb)+ Premie_leeftijd!Y36* Premie_leeftijd!AK36* Premie_leeftijd!AL36 /Settings!$O$10</f>
        <v>18.337049015621727</v>
      </c>
      <c r="J37" s="18"/>
      <c r="K37">
        <f>(1+K38)/(1+Settings!I$10)</f>
        <v>12</v>
      </c>
      <c r="L37"/>
      <c r="M37" s="73">
        <f t="shared" si="36"/>
        <v>0</v>
      </c>
      <c r="N37" s="73">
        <f t="shared" si="36"/>
        <v>0</v>
      </c>
      <c r="O37" s="18">
        <f>Settings!$I$3*Grondslag!J32</f>
        <v>25</v>
      </c>
      <c r="P37" s="18">
        <f>Settings!$I$7*MAX(Grondslag!J32 - x*voltijdfranchise/1000*(Premie_leeftijd!T36=0),0)</f>
        <v>25</v>
      </c>
      <c r="Q37" s="18">
        <f>Settings!$I$7*MAX(Grondslag!J32 - voltijdfranchise/1000*(Premie_leeftijd!T36=0),0)</f>
        <v>17.5</v>
      </c>
      <c r="R37" s="18">
        <f>Settings!$I$3*Grondslag!J32*(1-Premie_leeftijd!R36)</f>
        <v>25</v>
      </c>
      <c r="S37" s="73">
        <f t="shared" si="29"/>
        <v>12.164065689064794</v>
      </c>
      <c r="U37" s="20" cm="1">
        <f t="array" ref="U37">SUMPRODUCT(Premie_leeftijd!AL$6:AL36, 1/Premie_leeftijd!AJ$6:AJ36, Premie_leeftijd!Y$6:Y36, G$7:G37)/G37 + Premie_leeftijd!AN37* Premie_leeftijd!Y37</f>
        <v>17.500000000000004</v>
      </c>
      <c r="V37" s="73">
        <f t="shared" si="4"/>
        <v>17.499999999999989</v>
      </c>
      <c r="W37" s="42" cm="1">
        <f t="array" ref="W37">Premie_leeftijd!$Y36*Premie_leeftijd!CG36/Premie_leeftijd!CE36 + W36*(1+reele_index_opb)</f>
        <v>14.006182831600132</v>
      </c>
      <c r="X37" s="31" cm="1">
        <f t="array" ref="X37">Premie_leeftijd!$Y36*Premie_leeftijd!BY36/Premie_leeftijd!BW36 + X36*(1+reele_index_opb)</f>
        <v>13.383803351698051</v>
      </c>
      <c r="Y37" s="20" cm="1">
        <f t="array" ref="Y37">Premie_leeftijd!AL36*Premie_leeftijd!$Y36/Premie_leeftijd!AJ36 + Y36*(1+reele_index_opb)</f>
        <v>12.835934310935206</v>
      </c>
      <c r="Z37" s="20"/>
      <c r="AA37" s="20">
        <f t="shared" si="30"/>
        <v>55</v>
      </c>
      <c r="AB37" s="41">
        <f t="shared" si="5"/>
        <v>17.500000000000004</v>
      </c>
      <c r="AC37" s="41">
        <f t="shared" si="6"/>
        <v>17.499999999999989</v>
      </c>
      <c r="AD37" s="20">
        <f t="shared" si="31"/>
        <v>25</v>
      </c>
      <c r="AE37" s="20">
        <f t="shared" si="7"/>
        <v>25</v>
      </c>
      <c r="AF37" s="20">
        <f t="shared" si="8"/>
        <v>25</v>
      </c>
      <c r="AG37" s="20">
        <f t="shared" si="9"/>
        <v>25</v>
      </c>
      <c r="AI37" s="73">
        <f t="shared" si="10"/>
        <v>12</v>
      </c>
      <c r="AJ37" s="73">
        <f t="shared" si="11"/>
        <v>17.500000000000004</v>
      </c>
      <c r="AK37" s="73">
        <f t="shared" si="12"/>
        <v>17.499999999999989</v>
      </c>
      <c r="AL37" s="73">
        <f t="shared" si="13"/>
        <v>25</v>
      </c>
      <c r="AM37" s="73">
        <f t="shared" si="14"/>
        <v>25</v>
      </c>
      <c r="AN37" s="73">
        <f t="shared" si="15"/>
        <v>25</v>
      </c>
      <c r="AO37" s="73">
        <f t="shared" si="16"/>
        <v>25</v>
      </c>
      <c r="AQ37" s="20">
        <f t="shared" si="32"/>
        <v>55</v>
      </c>
      <c r="AR37" s="20">
        <f t="shared" si="17"/>
        <v>13</v>
      </c>
      <c r="AS37" s="18">
        <f t="shared" si="18"/>
        <v>17.500000000000004</v>
      </c>
      <c r="AT37" s="18">
        <f t="shared" si="19"/>
        <v>17.499999999999989</v>
      </c>
      <c r="AU37" s="73">
        <f t="shared" si="20"/>
        <v>25</v>
      </c>
      <c r="AV37" s="73">
        <f t="shared" si="21"/>
        <v>17.5</v>
      </c>
      <c r="AW37" s="18">
        <f t="shared" si="33"/>
        <v>17.500000000000004</v>
      </c>
      <c r="AX37" s="18">
        <f t="shared" si="34"/>
        <v>17.500000000000004</v>
      </c>
      <c r="AZ37" s="5">
        <f>Premie_leeftijd!J36</f>
        <v>2.6910297297159103E-3</v>
      </c>
      <c r="BA37" s="5"/>
      <c r="BB37" s="54">
        <v>30</v>
      </c>
      <c r="BC37" s="54">
        <f t="shared" si="22"/>
        <v>75</v>
      </c>
      <c r="BD37" s="54">
        <f t="shared" si="23"/>
        <v>75</v>
      </c>
      <c r="BE37" s="54" t="b">
        <f t="shared" si="35"/>
        <v>1</v>
      </c>
      <c r="BF37" s="54">
        <f t="shared" si="24"/>
        <v>17.500000000000004</v>
      </c>
      <c r="BG37" s="54">
        <f t="shared" si="25"/>
        <v>17.499999999999996</v>
      </c>
      <c r="BH37" s="54">
        <f t="shared" si="26"/>
        <v>25</v>
      </c>
      <c r="BI37" s="54">
        <f t="shared" si="27"/>
        <v>17.5</v>
      </c>
      <c r="BJ37" s="54">
        <f t="shared" si="28"/>
        <v>17.500000000000004</v>
      </c>
    </row>
    <row r="38" spans="1:62" x14ac:dyDescent="0.25">
      <c r="A38">
        <f>Grondslag!A33</f>
        <v>56</v>
      </c>
      <c r="C38" s="73">
        <f t="shared" si="2"/>
        <v>56</v>
      </c>
      <c r="F38">
        <f>OPperjr*Grondslag!S33</f>
        <v>0.58139534883720934</v>
      </c>
      <c r="G38" s="73" cm="1">
        <f t="array" ref="G38">G39*(1+reele_index_opb)</f>
        <v>1</v>
      </c>
      <c r="H38" s="73">
        <f>SUMPRODUCT(F$7:F38, G$7:G38)/G38</f>
        <v>18.604651162790685</v>
      </c>
      <c r="I38" s="18">
        <f>I37*(1+reele_index_opb)+ Premie_leeftijd!Y37* Premie_leeftijd!AK37* Premie_leeftijd!AL37 /Settings!$O$10</f>
        <v>18.876967948925266</v>
      </c>
      <c r="J38" s="18"/>
      <c r="K38">
        <f>(1+K39)/(1+Settings!I$10)</f>
        <v>11</v>
      </c>
      <c r="L38"/>
      <c r="M38" s="73">
        <f t="shared" si="36"/>
        <v>0</v>
      </c>
      <c r="N38" s="73">
        <f t="shared" si="36"/>
        <v>0</v>
      </c>
      <c r="O38" s="18">
        <f>Settings!$I$3*Grondslag!J33</f>
        <v>25</v>
      </c>
      <c r="P38" s="18">
        <f>Settings!$I$7*MAX(Grondslag!J33 - x*voltijdfranchise/1000*(Premie_leeftijd!T37=0),0)</f>
        <v>25</v>
      </c>
      <c r="Q38" s="18">
        <f>Settings!$I$7*MAX(Grondslag!J33 - voltijdfranchise/1000*(Premie_leeftijd!T37=0),0)</f>
        <v>17.5</v>
      </c>
      <c r="R38" s="18">
        <f>Settings!$I$3*Grondslag!J33*(1-Premie_leeftijd!R37)</f>
        <v>25</v>
      </c>
      <c r="S38" s="73">
        <f t="shared" si="29"/>
        <v>11.786122435752317</v>
      </c>
      <c r="U38" s="20" cm="1">
        <f t="array" ref="U38">SUMPRODUCT(Premie_leeftijd!AL$6:AL37, 1/Premie_leeftijd!AJ$6:AJ37, Premie_leeftijd!Y$6:Y37, G$7:G38)/G38 + Premie_leeftijd!AN38* Premie_leeftijd!Y38</f>
        <v>17.500000000000004</v>
      </c>
      <c r="V38" s="73">
        <f t="shared" si="4"/>
        <v>17.499999999999989</v>
      </c>
      <c r="W38" s="42" cm="1">
        <f t="array" ref="W38">Premie_leeftijd!$Y37*Premie_leeftijd!CG37/Premie_leeftijd!CE37 + W37*(1+reele_index_opb)</f>
        <v>14.339371611494276</v>
      </c>
      <c r="X38" s="31" cm="1">
        <f t="array" ref="X38">Premie_leeftijd!$Y37*Premie_leeftijd!BY37/Premie_leeftijd!BW37 + X37*(1+reele_index_opb)</f>
        <v>13.735690046703798</v>
      </c>
      <c r="Y38" s="20" cm="1">
        <f t="array" ref="Y38">Premie_leeftijd!AL37*Premie_leeftijd!$Y37/Premie_leeftijd!AJ37 + Y37*(1+reele_index_opb)</f>
        <v>13.213877564247683</v>
      </c>
      <c r="Z38" s="20"/>
      <c r="AA38" s="20">
        <f t="shared" si="30"/>
        <v>56</v>
      </c>
      <c r="AB38" s="41">
        <f t="shared" si="5"/>
        <v>17.500000000000004</v>
      </c>
      <c r="AC38" s="41">
        <f t="shared" si="6"/>
        <v>17.499999999999989</v>
      </c>
      <c r="AD38" s="20">
        <f t="shared" si="31"/>
        <v>25</v>
      </c>
      <c r="AE38" s="20">
        <f t="shared" si="7"/>
        <v>25</v>
      </c>
      <c r="AF38" s="20">
        <f t="shared" si="8"/>
        <v>25</v>
      </c>
      <c r="AG38" s="20">
        <f t="shared" si="9"/>
        <v>25</v>
      </c>
      <c r="AI38" s="73">
        <f t="shared" si="10"/>
        <v>11</v>
      </c>
      <c r="AJ38" s="73">
        <f t="shared" si="11"/>
        <v>17.500000000000004</v>
      </c>
      <c r="AK38" s="73">
        <f t="shared" si="12"/>
        <v>17.499999999999989</v>
      </c>
      <c r="AL38" s="73">
        <f t="shared" si="13"/>
        <v>25</v>
      </c>
      <c r="AM38" s="73">
        <f t="shared" si="14"/>
        <v>25</v>
      </c>
      <c r="AN38" s="73">
        <f t="shared" si="15"/>
        <v>25</v>
      </c>
      <c r="AO38" s="73">
        <f t="shared" si="16"/>
        <v>25</v>
      </c>
      <c r="AQ38" s="20">
        <f t="shared" si="32"/>
        <v>56</v>
      </c>
      <c r="AR38" s="20">
        <f t="shared" si="17"/>
        <v>12</v>
      </c>
      <c r="AS38" s="18">
        <f t="shared" si="18"/>
        <v>17.500000000000004</v>
      </c>
      <c r="AT38" s="18">
        <f t="shared" si="19"/>
        <v>17.499999999999989</v>
      </c>
      <c r="AU38" s="73">
        <f t="shared" si="20"/>
        <v>25</v>
      </c>
      <c r="AV38" s="73">
        <f t="shared" si="21"/>
        <v>17.5</v>
      </c>
      <c r="AW38" s="18">
        <f t="shared" si="33"/>
        <v>17.500000000000004</v>
      </c>
      <c r="AX38" s="18">
        <f t="shared" si="34"/>
        <v>17.500000000000004</v>
      </c>
      <c r="AZ38" s="5">
        <f>Premie_leeftijd!J37</f>
        <v>3.5355490772601694E-3</v>
      </c>
      <c r="BA38" s="5"/>
      <c r="BB38" s="54">
        <v>31</v>
      </c>
      <c r="BC38" s="54">
        <f t="shared" si="22"/>
        <v>76</v>
      </c>
      <c r="BD38" s="54">
        <f t="shared" si="23"/>
        <v>76</v>
      </c>
      <c r="BE38" s="54" t="b">
        <f t="shared" si="35"/>
        <v>1</v>
      </c>
      <c r="BF38" s="54">
        <f t="shared" si="24"/>
        <v>17.500000000000004</v>
      </c>
      <c r="BG38" s="54">
        <f t="shared" si="25"/>
        <v>17.499999999999996</v>
      </c>
      <c r="BH38" s="54">
        <f t="shared" si="26"/>
        <v>25</v>
      </c>
      <c r="BI38" s="54">
        <f t="shared" si="27"/>
        <v>17.5</v>
      </c>
      <c r="BJ38" s="54">
        <f t="shared" si="28"/>
        <v>17.500000000000004</v>
      </c>
    </row>
    <row r="39" spans="1:62" x14ac:dyDescent="0.25">
      <c r="A39">
        <f>Grondslag!A34</f>
        <v>57</v>
      </c>
      <c r="C39" s="73">
        <f t="shared" ref="C39:C70" si="37">A39+(geb_deeln-geb_partner)</f>
        <v>57</v>
      </c>
      <c r="F39">
        <f>OPperjr*Grondslag!S34</f>
        <v>0.58139534883720934</v>
      </c>
      <c r="G39" s="73" cm="1">
        <f t="array" ref="G39">G40*(1+reele_index_opb)</f>
        <v>1</v>
      </c>
      <c r="H39" s="73">
        <f>SUMPRODUCT(F$7:F39, G$7:G39)/G39</f>
        <v>19.186046511627893</v>
      </c>
      <c r="I39" s="18">
        <f>I38*(1+reele_index_opb)+ Premie_leeftijd!Y38* Premie_leeftijd!AK38* Premie_leeftijd!AL38 /Settings!$O$10</f>
        <v>19.418006869961282</v>
      </c>
      <c r="J39" s="18"/>
      <c r="K39">
        <f>(1+K40)/(1+Settings!I$10)</f>
        <v>10</v>
      </c>
      <c r="L39"/>
      <c r="M39" s="73">
        <f t="shared" si="36"/>
        <v>0</v>
      </c>
      <c r="N39" s="73">
        <f t="shared" si="36"/>
        <v>0</v>
      </c>
      <c r="O39" s="18">
        <f>Settings!$I$3*Grondslag!J34</f>
        <v>25</v>
      </c>
      <c r="P39" s="18">
        <f>Settings!$I$7*MAX(Grondslag!J34 - x*voltijdfranchise/1000*(Premie_leeftijd!T38=0),0)</f>
        <v>25</v>
      </c>
      <c r="Q39" s="18">
        <f>Settings!$I$7*MAX(Grondslag!J34 - voltijdfranchise/1000*(Premie_leeftijd!T38=0),0)</f>
        <v>17.5</v>
      </c>
      <c r="R39" s="18">
        <f>Settings!$I$3*Grondslag!J34*(1-Premie_leeftijd!R38)</f>
        <v>25</v>
      </c>
      <c r="S39" s="73">
        <f t="shared" si="29"/>
        <v>11.407395191027106</v>
      </c>
      <c r="U39" s="20" cm="1">
        <f t="array" ref="U39">SUMPRODUCT(Premie_leeftijd!AL$6:AL38, 1/Premie_leeftijd!AJ$6:AJ38, Premie_leeftijd!Y$6:Y38, G$7:G39)/G39 + Premie_leeftijd!AN39* Premie_leeftijd!Y39</f>
        <v>17.500000000000004</v>
      </c>
      <c r="V39" s="73">
        <f t="shared" si="4"/>
        <v>17.499999999999989</v>
      </c>
      <c r="W39" s="42" cm="1">
        <f t="array" ref="W39">Premie_leeftijd!$Y38*Premie_leeftijd!CG38/Premie_leeftijd!CE38 + W38*(1+reele_index_opb)</f>
        <v>14.665063513901901</v>
      </c>
      <c r="X39" s="31" cm="1">
        <f t="array" ref="X39">Premie_leeftijd!$Y38*Premie_leeftijd!BY38/Premie_leeftijd!BW38 + X38*(1+reele_index_opb)</f>
        <v>14.08476514980036</v>
      </c>
      <c r="Y39" s="20" cm="1">
        <f t="array" ref="Y39">Premie_leeftijd!AL38*Premie_leeftijd!$Y38/Premie_leeftijd!AJ38 + Y38*(1+reele_index_opb)</f>
        <v>13.592604808972894</v>
      </c>
      <c r="Z39" s="20"/>
      <c r="AA39" s="20">
        <f t="shared" si="30"/>
        <v>57</v>
      </c>
      <c r="AB39" s="41">
        <f t="shared" ref="AB39:AB70" si="38">U39 + ($C39&lt;AOWlftd)*volledigAnw/1000</f>
        <v>17.500000000000004</v>
      </c>
      <c r="AC39" s="41">
        <f t="shared" ref="AC39:AC70" si="39">V39 + ($C39&lt;AOWlftd)*volledigAnw/1000</f>
        <v>17.499999999999989</v>
      </c>
      <c r="AD39" s="20">
        <f t="shared" ref="AD39:AD70" si="40">IF($A39&gt;=AOWlftd, $W39, IF( $C39&lt;AOWlftd, $O39, P39))</f>
        <v>25</v>
      </c>
      <c r="AE39" s="20">
        <f t="shared" ref="AE39:AE70" si="41">IF($A39&gt;=AOWlftd, $W39, IF( $C39&lt;AOWlftd, $O39, Q39))</f>
        <v>25</v>
      </c>
      <c r="AF39" s="20">
        <f t="shared" si="8"/>
        <v>25</v>
      </c>
      <c r="AG39" s="20">
        <f t="shared" ref="AG39:AG70" si="42">S39+Y39</f>
        <v>25</v>
      </c>
      <c r="AI39" s="73">
        <f t="shared" ref="AI39:AI70" si="43">MAX(0, AOWlftd-$C39-1)</f>
        <v>10</v>
      </c>
      <c r="AJ39" s="73">
        <f t="shared" ref="AJ39:AJ70" si="44">U39*(1+reele_index_opb)^$AI39 + ($C39&lt;AOWlftd)*volledigAnw/1000*(1+reele_index_ris)^$AI39</f>
        <v>17.500000000000004</v>
      </c>
      <c r="AK39" s="73">
        <f t="shared" ref="AK39:AK70" si="45">V39*(1+reele_index_opb)^$AI39 + ($C39&lt;AOWlftd)*volledigAnw/1000*(1+reele_index_ris)^$AI39</f>
        <v>17.499999999999989</v>
      </c>
      <c r="AL39" s="73">
        <f t="shared" ref="AL39:AL70" si="46">IF($A39&gt;=AOWlftd, $W39 *(1+reele_index_opb)^$AI39, AD39*(1+ reele_index_ris)^$AI39 )</f>
        <v>25</v>
      </c>
      <c r="AM39" s="73">
        <f t="shared" ref="AM39:AM70" si="47">IF($A39&gt;=AOWlftd, $W39 *(1+reele_index_opb)^$AI39, AE39*(1+ reele_index_ris)^$AI39 )</f>
        <v>25</v>
      </c>
      <c r="AN39" s="73">
        <f t="shared" ref="AN39:AN70" si="48">AF39*(1+IF($A39&lt;AOWlftd,reele_index_ris,reele_index_opb))^$AI39</f>
        <v>25</v>
      </c>
      <c r="AO39" s="73">
        <f t="shared" ref="AO39:AO70" si="49">AG39*(1+IF($A39&lt;AOWlftd,reele_index_ris,reele_index_opb))^$AI39</f>
        <v>25</v>
      </c>
      <c r="AQ39" s="20">
        <f t="shared" si="32"/>
        <v>57</v>
      </c>
      <c r="AR39" s="20">
        <f t="shared" ref="AR39:AR70" si="50">MAX(0, AOWlftd-$C39)</f>
        <v>11</v>
      </c>
      <c r="AS39" s="18">
        <f t="shared" ref="AS39:AS70" si="51">U39*(1+reele_index_opb)^$AR39</f>
        <v>17.500000000000004</v>
      </c>
      <c r="AT39" s="18">
        <f t="shared" ref="AT39:AT70" si="52">V39*(1+reele_index_opb)^$AR39</f>
        <v>17.499999999999989</v>
      </c>
      <c r="AU39" s="73">
        <f t="shared" ref="AU39:AU70" si="53">IF($A39&gt;=AOWlftd, $W39*(1+reele_index_opb)^$AR39, P39*(1+reele_index_ris)^$AR39)</f>
        <v>25</v>
      </c>
      <c r="AV39" s="73">
        <f t="shared" ref="AV39:AV70" si="54">IF($A39&gt;=AOWlftd, $W39*(1+reele_index_opb)^$AR39, Q39*(1+reele_index_ris)^$AR39)</f>
        <v>17.5</v>
      </c>
      <c r="AW39" s="18">
        <f t="shared" si="33"/>
        <v>17.500000000000004</v>
      </c>
      <c r="AX39" s="18">
        <f t="shared" si="34"/>
        <v>17.500000000000004</v>
      </c>
      <c r="AZ39" s="5">
        <f>Premie_leeftijd!J38</f>
        <v>3.7921007588175293E-3</v>
      </c>
      <c r="BA39" s="5"/>
      <c r="BB39" s="54">
        <v>32</v>
      </c>
      <c r="BC39" s="54">
        <f t="shared" ref="BC39:BC70" si="55">$BH$1+BB39</f>
        <v>77</v>
      </c>
      <c r="BD39" s="54">
        <f t="shared" ref="BD39:BD70" si="56">$BH$2+BB39</f>
        <v>77</v>
      </c>
      <c r="BE39" s="54" t="b">
        <f t="shared" si="35"/>
        <v>1</v>
      </c>
      <c r="BF39" s="54">
        <f t="shared" ref="BF39:BF70" si="57" xml:space="preserve"> IF(OR($BC39=$BH$1, $BD39=AOWlftd), VLOOKUP($BH$1, IF($BE39, $AQ$7:$AX$82, $AA$7:$AG$82), 2+BF$5, FALSE), BF38*(1+reele_index_opb))</f>
        <v>17.500000000000004</v>
      </c>
      <c r="BG39" s="54">
        <f t="shared" ref="BG39:BG70" si="58" xml:space="preserve"> IF(OR($BC39=$BH$1, $BD39=AOWlftd), VLOOKUP($BH$1, IF($BE39, $AQ$7:$AX$82, $AA$7:$AG$82), 2+BG$5, FALSE), BG38*(1+reele_index_opb))</f>
        <v>17.499999999999996</v>
      </c>
      <c r="BH39" s="54">
        <f t="shared" ref="BH39:BH70" si="59" xml:space="preserve"> IF(OR($BC39=$BH$1, $BD39=AOWlftd), VLOOKUP($BH$1, IF($BE39, $AQ$7:$AX$82, $AA$7:$AG$82), 2+BH$5, FALSE), BH38*(1+reele_index_opb))</f>
        <v>25</v>
      </c>
      <c r="BI39" s="54">
        <f t="shared" ref="BI39:BI70" si="60" xml:space="preserve"> IF(OR($BC39=$BH$1, $BD39=AOWlftd), VLOOKUP($BH$1, IF($BE39, $AQ$7:$AX$82, $AA$7:$AG$82), 2+BI$5, FALSE), BI38*(1+reele_index_opb))</f>
        <v>17.5</v>
      </c>
      <c r="BJ39" s="54">
        <f t="shared" ref="BJ39:BJ70" si="61" xml:space="preserve"> IF(OR($BC39=$BH$1, $BD39=AOWlftd), VLOOKUP($BH$1, IF($BE39, $AQ$7:$AX$82, $AA$7:$AG$82), 2+BJ$5, FALSE), BJ38*(1+reele_index_opb))</f>
        <v>17.500000000000004</v>
      </c>
    </row>
    <row r="40" spans="1:62" x14ac:dyDescent="0.25">
      <c r="A40">
        <f>Grondslag!A35</f>
        <v>58</v>
      </c>
      <c r="C40" s="73">
        <f t="shared" si="37"/>
        <v>58</v>
      </c>
      <c r="F40">
        <f>OPperjr*Grondslag!S35</f>
        <v>0.58139534883720934</v>
      </c>
      <c r="G40" s="73" cm="1">
        <f t="array" ref="G40">G41*(1+reele_index_opb)</f>
        <v>1</v>
      </c>
      <c r="H40" s="73">
        <f>SUMPRODUCT(F$7:F40, G$7:G40)/G40</f>
        <v>19.767441860465102</v>
      </c>
      <c r="I40" s="18">
        <f>I39*(1+reele_index_opb)+ Premie_leeftijd!Y39* Premie_leeftijd!AK39* Premie_leeftijd!AL39 /Settings!$O$10</f>
        <v>19.960505126897448</v>
      </c>
      <c r="J40" s="18"/>
      <c r="K40">
        <f>(1+K41)/(1+Settings!I$10)</f>
        <v>9</v>
      </c>
      <c r="L40"/>
      <c r="M40" s="73">
        <f t="shared" si="36"/>
        <v>0</v>
      </c>
      <c r="N40" s="73">
        <f t="shared" si="36"/>
        <v>0</v>
      </c>
      <c r="O40" s="18">
        <f>Settings!$I$3*Grondslag!J35</f>
        <v>25</v>
      </c>
      <c r="P40" s="18">
        <f>Settings!$I$7*MAX(Grondslag!J35 - x*voltijdfranchise/1000*(Premie_leeftijd!T39=0),0)</f>
        <v>25</v>
      </c>
      <c r="Q40" s="18">
        <f>Settings!$I$7*MAX(Grondslag!J35 - voltijdfranchise/1000*(Premie_leeftijd!T39=0),0)</f>
        <v>17.5</v>
      </c>
      <c r="R40" s="18">
        <f>Settings!$I$3*Grondslag!J35*(1-Premie_leeftijd!R39)</f>
        <v>25</v>
      </c>
      <c r="S40" s="73">
        <f t="shared" si="29"/>
        <v>11.027646411171791</v>
      </c>
      <c r="U40" s="20" cm="1">
        <f t="array" ref="U40">SUMPRODUCT(Premie_leeftijd!AL$6:AL39, 1/Premie_leeftijd!AJ$6:AJ39, Premie_leeftijd!Y$6:Y39, G$7:G40)/G40 + Premie_leeftijd!AN40* Premie_leeftijd!Y40</f>
        <v>17.500000000000004</v>
      </c>
      <c r="V40" s="73">
        <f t="shared" si="4"/>
        <v>17.499999999999989</v>
      </c>
      <c r="W40" s="42" cm="1">
        <f t="array" ref="W40">Premie_leeftijd!$Y39*Premie_leeftijd!CG39/Premie_leeftijd!CE39 + W39*(1+reele_index_opb)</f>
        <v>14.983194504054705</v>
      </c>
      <c r="X40" s="31" cm="1">
        <f t="array" ref="X40">Premie_leeftijd!$Y39*Premie_leeftijd!BY39/Premie_leeftijd!BW39 + X39*(1+reele_index_opb)</f>
        <v>14.431251531592483</v>
      </c>
      <c r="Y40" s="20" cm="1">
        <f t="array" ref="Y40">Premie_leeftijd!AL39*Premie_leeftijd!$Y39/Premie_leeftijd!AJ39 + Y39*(1+reele_index_opb)</f>
        <v>13.972353588828209</v>
      </c>
      <c r="Z40" s="20"/>
      <c r="AA40" s="20">
        <f t="shared" si="30"/>
        <v>58</v>
      </c>
      <c r="AB40" s="41">
        <f t="shared" si="38"/>
        <v>17.500000000000004</v>
      </c>
      <c r="AC40" s="41">
        <f t="shared" si="39"/>
        <v>17.499999999999989</v>
      </c>
      <c r="AD40" s="20">
        <f t="shared" si="40"/>
        <v>25</v>
      </c>
      <c r="AE40" s="20">
        <f t="shared" si="41"/>
        <v>25</v>
      </c>
      <c r="AF40" s="20">
        <f t="shared" si="8"/>
        <v>25</v>
      </c>
      <c r="AG40" s="20">
        <f t="shared" si="42"/>
        <v>25</v>
      </c>
      <c r="AI40" s="73">
        <f t="shared" si="43"/>
        <v>9</v>
      </c>
      <c r="AJ40" s="73">
        <f t="shared" si="44"/>
        <v>17.500000000000004</v>
      </c>
      <c r="AK40" s="73">
        <f t="shared" si="45"/>
        <v>17.499999999999989</v>
      </c>
      <c r="AL40" s="73">
        <f t="shared" si="46"/>
        <v>25</v>
      </c>
      <c r="AM40" s="73">
        <f t="shared" si="47"/>
        <v>25</v>
      </c>
      <c r="AN40" s="73">
        <f t="shared" si="48"/>
        <v>25</v>
      </c>
      <c r="AO40" s="73">
        <f t="shared" si="49"/>
        <v>25</v>
      </c>
      <c r="AQ40" s="20">
        <f t="shared" si="32"/>
        <v>58</v>
      </c>
      <c r="AR40" s="20">
        <f t="shared" si="50"/>
        <v>10</v>
      </c>
      <c r="AS40" s="18">
        <f t="shared" si="51"/>
        <v>17.500000000000004</v>
      </c>
      <c r="AT40" s="18">
        <f t="shared" si="52"/>
        <v>17.499999999999989</v>
      </c>
      <c r="AU40" s="73">
        <f t="shared" si="53"/>
        <v>25</v>
      </c>
      <c r="AV40" s="73">
        <f t="shared" si="54"/>
        <v>17.5</v>
      </c>
      <c r="AW40" s="18">
        <f t="shared" si="33"/>
        <v>17.500000000000004</v>
      </c>
      <c r="AX40" s="18">
        <f t="shared" si="34"/>
        <v>17.500000000000004</v>
      </c>
      <c r="AZ40" s="5">
        <f>Premie_leeftijd!J39</f>
        <v>4.1290832141814837E-3</v>
      </c>
      <c r="BA40" s="5"/>
      <c r="BB40" s="54">
        <v>33</v>
      </c>
      <c r="BC40" s="54">
        <f t="shared" si="55"/>
        <v>78</v>
      </c>
      <c r="BD40" s="54">
        <f t="shared" si="56"/>
        <v>78</v>
      </c>
      <c r="BE40" s="54" t="b">
        <f t="shared" ref="BE40:BE71" si="62">BD40&gt;=AOWlftd</f>
        <v>1</v>
      </c>
      <c r="BF40" s="54">
        <f t="shared" si="57"/>
        <v>17.500000000000004</v>
      </c>
      <c r="BG40" s="54">
        <f t="shared" si="58"/>
        <v>17.499999999999996</v>
      </c>
      <c r="BH40" s="54">
        <f t="shared" si="59"/>
        <v>25</v>
      </c>
      <c r="BI40" s="54">
        <f t="shared" si="60"/>
        <v>17.5</v>
      </c>
      <c r="BJ40" s="54">
        <f t="shared" si="61"/>
        <v>17.500000000000004</v>
      </c>
    </row>
    <row r="41" spans="1:62" x14ac:dyDescent="0.25">
      <c r="A41">
        <f>Grondslag!A36</f>
        <v>59</v>
      </c>
      <c r="C41" s="73">
        <f t="shared" si="37"/>
        <v>59</v>
      </c>
      <c r="F41">
        <f>OPperjr*Grondslag!S36</f>
        <v>0.58139534883720934</v>
      </c>
      <c r="G41" s="73" cm="1">
        <f t="array" ref="G41">G42*(1+reele_index_opb)</f>
        <v>1</v>
      </c>
      <c r="H41" s="73">
        <f>SUMPRODUCT(F$7:F41, G$7:G41)/G41</f>
        <v>20.34883720930231</v>
      </c>
      <c r="I41" s="18">
        <f>I40*(1+reele_index_opb)+ Premie_leeftijd!Y40* Premie_leeftijd!AK40* Premie_leeftijd!AL40 /Settings!$O$10</f>
        <v>20.505107777794798</v>
      </c>
      <c r="J41" s="18"/>
      <c r="K41">
        <f>(1+K42)/(1+Settings!I$10)</f>
        <v>8</v>
      </c>
      <c r="L41"/>
      <c r="M41" s="73">
        <f t="shared" si="36"/>
        <v>0</v>
      </c>
      <c r="N41" s="73">
        <f t="shared" si="36"/>
        <v>0</v>
      </c>
      <c r="O41" s="18">
        <f>Settings!$I$3*Grondslag!J36</f>
        <v>25</v>
      </c>
      <c r="P41" s="18">
        <f>Settings!$I$7*MAX(Grondslag!J36 - x*voltijdfranchise/1000*(Premie_leeftijd!T40=0),0)</f>
        <v>25</v>
      </c>
      <c r="Q41" s="18">
        <f>Settings!$I$7*MAX(Grondslag!J36 - voltijdfranchise/1000*(Premie_leeftijd!T40=0),0)</f>
        <v>17.5</v>
      </c>
      <c r="R41" s="18">
        <f>Settings!$I$3*Grondslag!J36*(1-Premie_leeftijd!R40)</f>
        <v>25</v>
      </c>
      <c r="S41" s="73">
        <f t="shared" si="29"/>
        <v>10.646424555543645</v>
      </c>
      <c r="U41" s="20" cm="1">
        <f t="array" ref="U41">SUMPRODUCT(Premie_leeftijd!AL$6:AL40, 1/Premie_leeftijd!AJ$6:AJ40, Premie_leeftijd!Y$6:Y40, G$7:G41)/G41 + Premie_leeftijd!AN41* Premie_leeftijd!Y41</f>
        <v>17.500000000000004</v>
      </c>
      <c r="V41" s="73">
        <f t="shared" si="4"/>
        <v>17.499999999999989</v>
      </c>
      <c r="W41" s="42" cm="1">
        <f t="array" ref="W41">Premie_leeftijd!$Y40*Premie_leeftijd!CG40/Premie_leeftijd!CE40 + W40*(1+reele_index_opb)</f>
        <v>15.293728846174139</v>
      </c>
      <c r="X41" s="31" cm="1">
        <f t="array" ref="X41">Premie_leeftijd!$Y40*Premie_leeftijd!BY40/Premie_leeftijd!BW40 + X40*(1+reele_index_opb)</f>
        <v>14.775525207584325</v>
      </c>
      <c r="Y41" s="20" cm="1">
        <f t="array" ref="Y41">Premie_leeftijd!AL40*Premie_leeftijd!$Y40/Premie_leeftijd!AJ40 + Y40*(1+reele_index_opb)</f>
        <v>14.353575444456355</v>
      </c>
      <c r="Z41" s="20"/>
      <c r="AA41" s="20">
        <f t="shared" si="30"/>
        <v>59</v>
      </c>
      <c r="AB41" s="41">
        <f t="shared" si="38"/>
        <v>17.500000000000004</v>
      </c>
      <c r="AC41" s="41">
        <f t="shared" si="39"/>
        <v>17.499999999999989</v>
      </c>
      <c r="AD41" s="20">
        <f t="shared" si="40"/>
        <v>25</v>
      </c>
      <c r="AE41" s="20">
        <f t="shared" si="41"/>
        <v>25</v>
      </c>
      <c r="AF41" s="20">
        <f t="shared" si="8"/>
        <v>25</v>
      </c>
      <c r="AG41" s="20">
        <f t="shared" si="42"/>
        <v>25</v>
      </c>
      <c r="AI41" s="73">
        <f t="shared" si="43"/>
        <v>8</v>
      </c>
      <c r="AJ41" s="73">
        <f t="shared" si="44"/>
        <v>17.500000000000004</v>
      </c>
      <c r="AK41" s="73">
        <f t="shared" si="45"/>
        <v>17.499999999999989</v>
      </c>
      <c r="AL41" s="73">
        <f t="shared" si="46"/>
        <v>25</v>
      </c>
      <c r="AM41" s="73">
        <f t="shared" si="47"/>
        <v>25</v>
      </c>
      <c r="AN41" s="73">
        <f t="shared" si="48"/>
        <v>25</v>
      </c>
      <c r="AO41" s="73">
        <f t="shared" si="49"/>
        <v>25</v>
      </c>
      <c r="AQ41" s="20">
        <f t="shared" si="32"/>
        <v>59</v>
      </c>
      <c r="AR41" s="20">
        <f t="shared" si="50"/>
        <v>9</v>
      </c>
      <c r="AS41" s="18">
        <f t="shared" si="51"/>
        <v>17.500000000000004</v>
      </c>
      <c r="AT41" s="18">
        <f t="shared" si="52"/>
        <v>17.499999999999989</v>
      </c>
      <c r="AU41" s="73">
        <f t="shared" si="53"/>
        <v>25</v>
      </c>
      <c r="AV41" s="73">
        <f t="shared" si="54"/>
        <v>17.5</v>
      </c>
      <c r="AW41" s="18">
        <f t="shared" si="33"/>
        <v>17.500000000000004</v>
      </c>
      <c r="AX41" s="18">
        <f t="shared" si="34"/>
        <v>17.500000000000004</v>
      </c>
      <c r="AZ41" s="5">
        <f>Premie_leeftijd!J40</f>
        <v>4.4347773328317075E-3</v>
      </c>
      <c r="BA41" s="5"/>
      <c r="BB41" s="54">
        <v>34</v>
      </c>
      <c r="BC41" s="54">
        <f t="shared" si="55"/>
        <v>79</v>
      </c>
      <c r="BD41" s="54">
        <f t="shared" si="56"/>
        <v>79</v>
      </c>
      <c r="BE41" s="54" t="b">
        <f t="shared" si="62"/>
        <v>1</v>
      </c>
      <c r="BF41" s="54">
        <f t="shared" si="57"/>
        <v>17.500000000000004</v>
      </c>
      <c r="BG41" s="54">
        <f t="shared" si="58"/>
        <v>17.499999999999996</v>
      </c>
      <c r="BH41" s="54">
        <f t="shared" si="59"/>
        <v>25</v>
      </c>
      <c r="BI41" s="54">
        <f t="shared" si="60"/>
        <v>17.5</v>
      </c>
      <c r="BJ41" s="54">
        <f t="shared" si="61"/>
        <v>17.500000000000004</v>
      </c>
    </row>
    <row r="42" spans="1:62" x14ac:dyDescent="0.25">
      <c r="A42">
        <f>Grondslag!A37</f>
        <v>60</v>
      </c>
      <c r="C42" s="73">
        <f t="shared" si="37"/>
        <v>60</v>
      </c>
      <c r="F42">
        <f>OPperjr*Grondslag!S37</f>
        <v>0.58139534883720934</v>
      </c>
      <c r="G42" s="73" cm="1">
        <f t="array" ref="G42">G43*(1+reele_index_opb)</f>
        <v>1</v>
      </c>
      <c r="H42" s="73">
        <f>SUMPRODUCT(F$7:F42, G$7:G42)/G42</f>
        <v>20.930232558139519</v>
      </c>
      <c r="I42" s="18">
        <f>I41*(1+reele_index_opb)+ Premie_leeftijd!Y41* Premie_leeftijd!AK41* Premie_leeftijd!AL41 /Settings!$O$10</f>
        <v>21.052344820754119</v>
      </c>
      <c r="J42" s="18"/>
      <c r="K42">
        <f>(1+K43)/(1+Settings!I$10)</f>
        <v>7</v>
      </c>
      <c r="L42"/>
      <c r="M42" s="73">
        <f t="shared" si="36"/>
        <v>0</v>
      </c>
      <c r="N42" s="73">
        <f t="shared" si="36"/>
        <v>0</v>
      </c>
      <c r="O42" s="18">
        <f>Settings!$I$3*Grondslag!J37</f>
        <v>25</v>
      </c>
      <c r="P42" s="18">
        <f>Settings!$I$7*MAX(Grondslag!J37 - x*voltijdfranchise/1000*(Premie_leeftijd!T41=0),0)</f>
        <v>25</v>
      </c>
      <c r="Q42" s="18">
        <f>Settings!$I$7*MAX(Grondslag!J37 - voltijdfranchise/1000*(Premie_leeftijd!T41=0),0)</f>
        <v>17.5</v>
      </c>
      <c r="R42" s="18">
        <f>Settings!$I$3*Grondslag!J37*(1-Premie_leeftijd!R41)</f>
        <v>25</v>
      </c>
      <c r="S42" s="73">
        <f t="shared" si="29"/>
        <v>10.263358625472119</v>
      </c>
      <c r="U42" s="20" cm="1">
        <f t="array" ref="U42">SUMPRODUCT(Premie_leeftijd!AL$6:AL41, 1/Premie_leeftijd!AJ$6:AJ41, Premie_leeftijd!Y$6:Y41, G$7:G42)/G42 + Premie_leeftijd!AN42* Premie_leeftijd!Y42</f>
        <v>17.500000000000004</v>
      </c>
      <c r="V42" s="73">
        <f t="shared" si="4"/>
        <v>17.499999999999989</v>
      </c>
      <c r="W42" s="42" cm="1">
        <f t="array" ref="W42">Premie_leeftijd!$Y41*Premie_leeftijd!CG41/Premie_leeftijd!CE41 + W41*(1+reele_index_opb)</f>
        <v>15.596651493322858</v>
      </c>
      <c r="X42" s="31" cm="1">
        <f t="array" ref="X42">Premie_leeftijd!$Y41*Premie_leeftijd!BY41/Premie_leeftijd!BW41 + X41*(1+reele_index_opb)</f>
        <v>15.117948751292749</v>
      </c>
      <c r="Y42" s="20" cm="1">
        <f t="array" ref="Y42">Premie_leeftijd!AL41*Premie_leeftijd!$Y41/Premie_leeftijd!AJ41 + Y41*(1+reele_index_opb)</f>
        <v>14.736641374527881</v>
      </c>
      <c r="Z42" s="20"/>
      <c r="AA42" s="20">
        <f t="shared" si="30"/>
        <v>60</v>
      </c>
      <c r="AB42" s="41">
        <f t="shared" si="38"/>
        <v>17.500000000000004</v>
      </c>
      <c r="AC42" s="41">
        <f t="shared" si="39"/>
        <v>17.499999999999989</v>
      </c>
      <c r="AD42" s="20">
        <f t="shared" si="40"/>
        <v>25</v>
      </c>
      <c r="AE42" s="20">
        <f t="shared" si="41"/>
        <v>25</v>
      </c>
      <c r="AF42" s="20">
        <f t="shared" si="8"/>
        <v>25</v>
      </c>
      <c r="AG42" s="20">
        <f t="shared" si="42"/>
        <v>25</v>
      </c>
      <c r="AI42" s="73">
        <f t="shared" si="43"/>
        <v>7</v>
      </c>
      <c r="AJ42" s="73">
        <f t="shared" si="44"/>
        <v>17.500000000000004</v>
      </c>
      <c r="AK42" s="73">
        <f t="shared" si="45"/>
        <v>17.499999999999989</v>
      </c>
      <c r="AL42" s="73">
        <f t="shared" si="46"/>
        <v>25</v>
      </c>
      <c r="AM42" s="73">
        <f t="shared" si="47"/>
        <v>25</v>
      </c>
      <c r="AN42" s="73">
        <f t="shared" si="48"/>
        <v>25</v>
      </c>
      <c r="AO42" s="73">
        <f t="shared" si="49"/>
        <v>25</v>
      </c>
      <c r="AQ42" s="20">
        <f t="shared" si="32"/>
        <v>60</v>
      </c>
      <c r="AR42" s="20">
        <f t="shared" si="50"/>
        <v>8</v>
      </c>
      <c r="AS42" s="18">
        <f t="shared" si="51"/>
        <v>17.500000000000004</v>
      </c>
      <c r="AT42" s="18">
        <f t="shared" si="52"/>
        <v>17.499999999999989</v>
      </c>
      <c r="AU42" s="73">
        <f t="shared" si="53"/>
        <v>25</v>
      </c>
      <c r="AV42" s="73">
        <f t="shared" si="54"/>
        <v>17.5</v>
      </c>
      <c r="AW42" s="18">
        <f t="shared" si="33"/>
        <v>17.500000000000004</v>
      </c>
      <c r="AX42" s="18">
        <f t="shared" si="34"/>
        <v>17.500000000000004</v>
      </c>
      <c r="AZ42" s="5">
        <f>Premie_leeftijd!J41</f>
        <v>4.7224426356511362E-3</v>
      </c>
      <c r="BA42" s="5"/>
      <c r="BB42" s="54">
        <v>35</v>
      </c>
      <c r="BC42" s="54">
        <f t="shared" si="55"/>
        <v>80</v>
      </c>
      <c r="BD42" s="54">
        <f t="shared" si="56"/>
        <v>80</v>
      </c>
      <c r="BE42" s="54" t="b">
        <f t="shared" si="62"/>
        <v>1</v>
      </c>
      <c r="BF42" s="54">
        <f t="shared" si="57"/>
        <v>17.500000000000004</v>
      </c>
      <c r="BG42" s="54">
        <f t="shared" si="58"/>
        <v>17.499999999999996</v>
      </c>
      <c r="BH42" s="54">
        <f t="shared" si="59"/>
        <v>25</v>
      </c>
      <c r="BI42" s="54">
        <f t="shared" si="60"/>
        <v>17.5</v>
      </c>
      <c r="BJ42" s="54">
        <f t="shared" si="61"/>
        <v>17.500000000000004</v>
      </c>
    </row>
    <row r="43" spans="1:62" x14ac:dyDescent="0.25">
      <c r="A43">
        <f>Grondslag!A38</f>
        <v>61</v>
      </c>
      <c r="C43" s="73">
        <f t="shared" si="37"/>
        <v>61</v>
      </c>
      <c r="F43">
        <f>OPperjr*Grondslag!S38</f>
        <v>0.58139534883720934</v>
      </c>
      <c r="G43" s="73" cm="1">
        <f t="array" ref="G43">G44*(1+reele_index_opb)</f>
        <v>1</v>
      </c>
      <c r="H43" s="73">
        <f>SUMPRODUCT(F$7:F43, G$7:G43)/G43</f>
        <v>21.511627906976727</v>
      </c>
      <c r="I43" s="18">
        <f>I42*(1+reele_index_opb)+ Premie_leeftijd!Y42* Premie_leeftijd!AK42* Premie_leeftijd!AL42 /Settings!$O$10</f>
        <v>21.602511719665451</v>
      </c>
      <c r="J43" s="18"/>
      <c r="K43">
        <f>(1+K44)/(1+Settings!I$10)</f>
        <v>6</v>
      </c>
      <c r="L43"/>
      <c r="M43" s="73">
        <f t="shared" si="36"/>
        <v>0</v>
      </c>
      <c r="N43" s="73">
        <f t="shared" si="36"/>
        <v>0</v>
      </c>
      <c r="O43" s="18">
        <f>Settings!$I$3*Grondslag!J38</f>
        <v>25</v>
      </c>
      <c r="P43" s="18">
        <f>Settings!$I$7*MAX(Grondslag!J38 - x*voltijdfranchise/1000*(Premie_leeftijd!T42=0),0)</f>
        <v>25</v>
      </c>
      <c r="Q43" s="18">
        <f>Settings!$I$7*MAX(Grondslag!J38 - voltijdfranchise/1000*(Premie_leeftijd!T42=0),0)</f>
        <v>17.5</v>
      </c>
      <c r="R43" s="18">
        <f>Settings!$I$3*Grondslag!J38*(1-Premie_leeftijd!R42)</f>
        <v>25</v>
      </c>
      <c r="S43" s="73">
        <f t="shared" si="29"/>
        <v>9.8782417962341853</v>
      </c>
      <c r="U43" s="20" cm="1">
        <f t="array" ref="U43">SUMPRODUCT(Premie_leeftijd!AL$6:AL42, 1/Premie_leeftijd!AJ$6:AJ42, Premie_leeftijd!Y$6:Y42, G$7:G43)/G43 + Premie_leeftijd!AN43* Premie_leeftijd!Y43</f>
        <v>17.500000000000004</v>
      </c>
      <c r="V43" s="73">
        <f t="shared" si="4"/>
        <v>17.499999999999986</v>
      </c>
      <c r="W43" s="42" cm="1">
        <f t="array" ref="W43">Premie_leeftijd!$Y42*Premie_leeftijd!CG42/Premie_leeftijd!CE42 + W42*(1+reele_index_opb)</f>
        <v>15.891875535437448</v>
      </c>
      <c r="X43" s="31" cm="1">
        <f t="array" ref="X43">Premie_leeftijd!$Y42*Premie_leeftijd!BY42/Premie_leeftijd!BW42 + X42*(1+reele_index_opb)</f>
        <v>15.458787955650301</v>
      </c>
      <c r="Y43" s="20" cm="1">
        <f t="array" ref="Y43">Premie_leeftijd!AL42*Premie_leeftijd!$Y42/Premie_leeftijd!AJ42 + Y42*(1+reele_index_opb)</f>
        <v>15.121758203765815</v>
      </c>
      <c r="Z43" s="20"/>
      <c r="AA43" s="20">
        <f t="shared" si="30"/>
        <v>61</v>
      </c>
      <c r="AB43" s="41">
        <f t="shared" si="38"/>
        <v>17.500000000000004</v>
      </c>
      <c r="AC43" s="41">
        <f t="shared" si="39"/>
        <v>17.499999999999986</v>
      </c>
      <c r="AD43" s="20">
        <f t="shared" si="40"/>
        <v>25</v>
      </c>
      <c r="AE43" s="20">
        <f t="shared" si="41"/>
        <v>25</v>
      </c>
      <c r="AF43" s="20">
        <f t="shared" si="8"/>
        <v>25</v>
      </c>
      <c r="AG43" s="20">
        <f t="shared" si="42"/>
        <v>25</v>
      </c>
      <c r="AI43" s="73">
        <f t="shared" si="43"/>
        <v>6</v>
      </c>
      <c r="AJ43" s="73">
        <f t="shared" si="44"/>
        <v>17.500000000000004</v>
      </c>
      <c r="AK43" s="73">
        <f t="shared" si="45"/>
        <v>17.499999999999986</v>
      </c>
      <c r="AL43" s="73">
        <f t="shared" si="46"/>
        <v>25</v>
      </c>
      <c r="AM43" s="73">
        <f t="shared" si="47"/>
        <v>25</v>
      </c>
      <c r="AN43" s="73">
        <f t="shared" si="48"/>
        <v>25</v>
      </c>
      <c r="AO43" s="73">
        <f t="shared" si="49"/>
        <v>25</v>
      </c>
      <c r="AQ43" s="20">
        <f t="shared" si="32"/>
        <v>61</v>
      </c>
      <c r="AR43" s="20">
        <f t="shared" si="50"/>
        <v>7</v>
      </c>
      <c r="AS43" s="18">
        <f t="shared" si="51"/>
        <v>17.500000000000004</v>
      </c>
      <c r="AT43" s="18">
        <f t="shared" si="52"/>
        <v>17.499999999999986</v>
      </c>
      <c r="AU43" s="73">
        <f t="shared" si="53"/>
        <v>25</v>
      </c>
      <c r="AV43" s="73">
        <f t="shared" si="54"/>
        <v>17.5</v>
      </c>
      <c r="AW43" s="18">
        <f t="shared" si="33"/>
        <v>17.500000000000004</v>
      </c>
      <c r="AX43" s="18">
        <f t="shared" si="34"/>
        <v>17.500000000000004</v>
      </c>
      <c r="AZ43" s="5">
        <f>Premie_leeftijd!J42</f>
        <v>5.1356250273081328E-3</v>
      </c>
      <c r="BA43" s="5"/>
      <c r="BB43" s="54">
        <v>36</v>
      </c>
      <c r="BC43" s="54">
        <f t="shared" si="55"/>
        <v>81</v>
      </c>
      <c r="BD43" s="54">
        <f t="shared" si="56"/>
        <v>81</v>
      </c>
      <c r="BE43" s="54" t="b">
        <f t="shared" si="62"/>
        <v>1</v>
      </c>
      <c r="BF43" s="54">
        <f t="shared" si="57"/>
        <v>17.500000000000004</v>
      </c>
      <c r="BG43" s="54">
        <f t="shared" si="58"/>
        <v>17.499999999999996</v>
      </c>
      <c r="BH43" s="54">
        <f t="shared" si="59"/>
        <v>25</v>
      </c>
      <c r="BI43" s="54">
        <f t="shared" si="60"/>
        <v>17.5</v>
      </c>
      <c r="BJ43" s="54">
        <f t="shared" si="61"/>
        <v>17.500000000000004</v>
      </c>
    </row>
    <row r="44" spans="1:62" x14ac:dyDescent="0.25">
      <c r="A44">
        <f>Grondslag!A39</f>
        <v>62</v>
      </c>
      <c r="C44" s="73">
        <f t="shared" si="37"/>
        <v>62</v>
      </c>
      <c r="F44">
        <f>OPperjr*Grondslag!S39</f>
        <v>0.58139534883720934</v>
      </c>
      <c r="G44" s="73" cm="1">
        <f t="array" ref="G44">G45*(1+reele_index_opb)</f>
        <v>1</v>
      </c>
      <c r="H44" s="73">
        <f>SUMPRODUCT(F$7:F44, G$7:G44)/G44</f>
        <v>22.093023255813936</v>
      </c>
      <c r="I44" s="18">
        <f>I43*(1+reele_index_opb)+ Premie_leeftijd!Y43* Premie_leeftijd!AK43* Premie_leeftijd!AL43 /Settings!$O$10</f>
        <v>22.156431231226566</v>
      </c>
      <c r="J44" s="18"/>
      <c r="K44">
        <f>(1+K45)/(1+Settings!I$10)</f>
        <v>5</v>
      </c>
      <c r="L44"/>
      <c r="M44" s="73">
        <f t="shared" si="36"/>
        <v>0</v>
      </c>
      <c r="N44" s="73">
        <f t="shared" si="36"/>
        <v>0</v>
      </c>
      <c r="O44" s="18">
        <f>Settings!$I$3*Grondslag!J39</f>
        <v>25</v>
      </c>
      <c r="P44" s="18">
        <f>Settings!$I$7*MAX(Grondslag!J39 - x*voltijdfranchise/1000*(Premie_leeftijd!T43=0),0)</f>
        <v>25</v>
      </c>
      <c r="Q44" s="18">
        <f>Settings!$I$7*MAX(Grondslag!J39 - voltijdfranchise/1000*(Premie_leeftijd!T43=0),0)</f>
        <v>17.5</v>
      </c>
      <c r="R44" s="18">
        <f>Settings!$I$3*Grondslag!J39*(1-Premie_leeftijd!R43)</f>
        <v>25</v>
      </c>
      <c r="S44" s="73">
        <f t="shared" si="29"/>
        <v>9.4904981381414046</v>
      </c>
      <c r="U44" s="20" cm="1">
        <f t="array" ref="U44">SUMPRODUCT(Premie_leeftijd!AL$6:AL43, 1/Premie_leeftijd!AJ$6:AJ43, Premie_leeftijd!Y$6:Y43, G$7:G44)/G44 + Premie_leeftijd!AN44* Premie_leeftijd!Y44</f>
        <v>17.500000000000004</v>
      </c>
      <c r="V44" s="73">
        <f t="shared" si="4"/>
        <v>17.499999999999986</v>
      </c>
      <c r="W44" s="42" cm="1">
        <f t="array" ref="W44">Premie_leeftijd!$Y43*Premie_leeftijd!CG43/Premie_leeftijd!CE43 + W43*(1+reele_index_opb)</f>
        <v>16.179379050682023</v>
      </c>
      <c r="X44" s="31" cm="1">
        <f t="array" ref="X44">Premie_leeftijd!$Y43*Premie_leeftijd!BY43/Premie_leeftijd!BW43 + X43*(1+reele_index_opb)</f>
        <v>15.79859211904356</v>
      </c>
      <c r="Y44" s="20" cm="1">
        <f t="array" ref="Y44">Premie_leeftijd!AL43*Premie_leeftijd!$Y43/Premie_leeftijd!AJ43 + Y43*(1+reele_index_opb)</f>
        <v>15.509501861858595</v>
      </c>
      <c r="Z44" s="20"/>
      <c r="AA44" s="20">
        <f t="shared" si="30"/>
        <v>62</v>
      </c>
      <c r="AB44" s="41">
        <f t="shared" si="38"/>
        <v>17.500000000000004</v>
      </c>
      <c r="AC44" s="41">
        <f t="shared" si="39"/>
        <v>17.499999999999986</v>
      </c>
      <c r="AD44" s="20">
        <f t="shared" si="40"/>
        <v>25</v>
      </c>
      <c r="AE44" s="20">
        <f t="shared" si="41"/>
        <v>25</v>
      </c>
      <c r="AF44" s="20">
        <f t="shared" si="8"/>
        <v>25</v>
      </c>
      <c r="AG44" s="20">
        <f t="shared" si="42"/>
        <v>25</v>
      </c>
      <c r="AI44" s="73">
        <f t="shared" si="43"/>
        <v>5</v>
      </c>
      <c r="AJ44" s="73">
        <f t="shared" si="44"/>
        <v>17.500000000000004</v>
      </c>
      <c r="AK44" s="73">
        <f t="shared" si="45"/>
        <v>17.499999999999986</v>
      </c>
      <c r="AL44" s="73">
        <f t="shared" si="46"/>
        <v>25</v>
      </c>
      <c r="AM44" s="73">
        <f t="shared" si="47"/>
        <v>25</v>
      </c>
      <c r="AN44" s="73">
        <f t="shared" si="48"/>
        <v>25</v>
      </c>
      <c r="AO44" s="73">
        <f t="shared" si="49"/>
        <v>25</v>
      </c>
      <c r="AQ44" s="20">
        <f t="shared" si="32"/>
        <v>62</v>
      </c>
      <c r="AR44" s="20">
        <f t="shared" si="50"/>
        <v>6</v>
      </c>
      <c r="AS44" s="18">
        <f t="shared" si="51"/>
        <v>17.500000000000004</v>
      </c>
      <c r="AT44" s="18">
        <f t="shared" si="52"/>
        <v>17.499999999999986</v>
      </c>
      <c r="AU44" s="73">
        <f t="shared" si="53"/>
        <v>25</v>
      </c>
      <c r="AV44" s="73">
        <f t="shared" si="54"/>
        <v>17.5</v>
      </c>
      <c r="AW44" s="18">
        <f t="shared" si="33"/>
        <v>17.500000000000004</v>
      </c>
      <c r="AX44" s="18">
        <f t="shared" si="34"/>
        <v>17.500000000000004</v>
      </c>
      <c r="AZ44" s="5">
        <f>Premie_leeftijd!J43</f>
        <v>5.4622871438547715E-3</v>
      </c>
      <c r="BA44" s="5"/>
      <c r="BB44" s="54">
        <v>37</v>
      </c>
      <c r="BC44" s="54">
        <f t="shared" si="55"/>
        <v>82</v>
      </c>
      <c r="BD44" s="54">
        <f t="shared" si="56"/>
        <v>82</v>
      </c>
      <c r="BE44" s="54" t="b">
        <f t="shared" si="62"/>
        <v>1</v>
      </c>
      <c r="BF44" s="54">
        <f t="shared" si="57"/>
        <v>17.500000000000004</v>
      </c>
      <c r="BG44" s="54">
        <f t="shared" si="58"/>
        <v>17.499999999999996</v>
      </c>
      <c r="BH44" s="54">
        <f t="shared" si="59"/>
        <v>25</v>
      </c>
      <c r="BI44" s="54">
        <f t="shared" si="60"/>
        <v>17.5</v>
      </c>
      <c r="BJ44" s="54">
        <f t="shared" si="61"/>
        <v>17.500000000000004</v>
      </c>
    </row>
    <row r="45" spans="1:62" x14ac:dyDescent="0.25">
      <c r="A45">
        <f>Grondslag!A40</f>
        <v>63</v>
      </c>
      <c r="C45" s="73">
        <f t="shared" si="37"/>
        <v>63</v>
      </c>
      <c r="F45">
        <f>OPperjr*Grondslag!S40</f>
        <v>0.58139534883720934</v>
      </c>
      <c r="G45" s="73" cm="1">
        <f t="array" ref="G45">G46*(1+reele_index_opb)</f>
        <v>1</v>
      </c>
      <c r="H45" s="73">
        <f>SUMPRODUCT(F$7:F45, G$7:G45)/G45</f>
        <v>22.674418604651144</v>
      </c>
      <c r="I45" s="18">
        <f>I44*(1+reele_index_opb)+ Premie_leeftijd!Y44* Premie_leeftijd!AK44* Premie_leeftijd!AL44 /Settings!$O$10</f>
        <v>22.714563536048914</v>
      </c>
      <c r="J45" s="18"/>
      <c r="K45">
        <f>(1+K46)/(1+Settings!I$10)</f>
        <v>4</v>
      </c>
      <c r="L45"/>
      <c r="M45" s="73">
        <f t="shared" si="36"/>
        <v>0</v>
      </c>
      <c r="N45" s="73">
        <f t="shared" si="36"/>
        <v>0</v>
      </c>
      <c r="O45" s="18">
        <f>Settings!$I$3*Grondslag!J40</f>
        <v>25</v>
      </c>
      <c r="P45" s="18">
        <f>Settings!$I$7*MAX(Grondslag!J40 - x*voltijdfranchise/1000*(Premie_leeftijd!T44=0),0)</f>
        <v>25</v>
      </c>
      <c r="Q45" s="18">
        <f>Settings!$I$7*MAX(Grondslag!J40 - voltijdfranchise/1000*(Premie_leeftijd!T44=0),0)</f>
        <v>17.5</v>
      </c>
      <c r="R45" s="18">
        <f>Settings!$I$3*Grondslag!J40*(1-Premie_leeftijd!R44)</f>
        <v>25</v>
      </c>
      <c r="S45" s="73">
        <f t="shared" si="29"/>
        <v>9.0998055247657614</v>
      </c>
      <c r="U45" s="20" cm="1">
        <f t="array" ref="U45">SUMPRODUCT(Premie_leeftijd!AL$6:AL44, 1/Premie_leeftijd!AJ$6:AJ44, Premie_leeftijd!Y$6:Y44, G$7:G45)/G45 + Premie_leeftijd!AN45* Premie_leeftijd!Y45</f>
        <v>17.500000000000004</v>
      </c>
      <c r="V45" s="73">
        <f t="shared" si="4"/>
        <v>17.499999999999986</v>
      </c>
      <c r="W45" s="42" cm="1">
        <f t="array" ref="W45">Premie_leeftijd!$Y44*Premie_leeftijd!CG44/Premie_leeftijd!CE44 + W44*(1+reele_index_opb)</f>
        <v>16.459129090108323</v>
      </c>
      <c r="X45" s="31" cm="1">
        <f t="array" ref="X45">Premie_leeftijd!$Y44*Premie_leeftijd!BY44/Premie_leeftijd!BW44 + X44*(1+reele_index_opb)</f>
        <v>16.137792244658495</v>
      </c>
      <c r="Y45" s="20" cm="1">
        <f t="array" ref="Y45">Premie_leeftijd!AL44*Premie_leeftijd!$Y44/Premie_leeftijd!AJ44 + Y44*(1+reele_index_opb)</f>
        <v>15.900194475234239</v>
      </c>
      <c r="Z45" s="20"/>
      <c r="AA45" s="20">
        <f t="shared" si="30"/>
        <v>63</v>
      </c>
      <c r="AB45" s="41">
        <f t="shared" si="38"/>
        <v>17.500000000000004</v>
      </c>
      <c r="AC45" s="41">
        <f t="shared" si="39"/>
        <v>17.499999999999986</v>
      </c>
      <c r="AD45" s="20">
        <f t="shared" si="40"/>
        <v>25</v>
      </c>
      <c r="AE45" s="20">
        <f t="shared" si="41"/>
        <v>25</v>
      </c>
      <c r="AF45" s="20">
        <f t="shared" si="8"/>
        <v>25</v>
      </c>
      <c r="AG45" s="20">
        <f t="shared" si="42"/>
        <v>25</v>
      </c>
      <c r="AI45" s="73">
        <f t="shared" si="43"/>
        <v>4</v>
      </c>
      <c r="AJ45" s="73">
        <f t="shared" si="44"/>
        <v>17.500000000000004</v>
      </c>
      <c r="AK45" s="73">
        <f t="shared" si="45"/>
        <v>17.499999999999986</v>
      </c>
      <c r="AL45" s="73">
        <f t="shared" si="46"/>
        <v>25</v>
      </c>
      <c r="AM45" s="73">
        <f t="shared" si="47"/>
        <v>25</v>
      </c>
      <c r="AN45" s="73">
        <f t="shared" si="48"/>
        <v>25</v>
      </c>
      <c r="AO45" s="73">
        <f t="shared" si="49"/>
        <v>25</v>
      </c>
      <c r="AQ45" s="20">
        <f t="shared" si="32"/>
        <v>63</v>
      </c>
      <c r="AR45" s="20">
        <f t="shared" si="50"/>
        <v>5</v>
      </c>
      <c r="AS45" s="18">
        <f t="shared" si="51"/>
        <v>17.500000000000004</v>
      </c>
      <c r="AT45" s="18">
        <f t="shared" si="52"/>
        <v>17.499999999999986</v>
      </c>
      <c r="AU45" s="73">
        <f t="shared" si="53"/>
        <v>25</v>
      </c>
      <c r="AV45" s="73">
        <f t="shared" si="54"/>
        <v>17.5</v>
      </c>
      <c r="AW45" s="18">
        <f t="shared" si="33"/>
        <v>17.500000000000004</v>
      </c>
      <c r="AX45" s="18">
        <f t="shared" si="34"/>
        <v>17.500000000000004</v>
      </c>
      <c r="AZ45" s="5">
        <f>Premie_leeftijd!J44</f>
        <v>5.8228163973006453E-3</v>
      </c>
      <c r="BA45" s="5"/>
      <c r="BB45" s="54">
        <v>38</v>
      </c>
      <c r="BC45" s="54">
        <f t="shared" si="55"/>
        <v>83</v>
      </c>
      <c r="BD45" s="54">
        <f t="shared" si="56"/>
        <v>83</v>
      </c>
      <c r="BE45" s="54" t="b">
        <f t="shared" si="62"/>
        <v>1</v>
      </c>
      <c r="BF45" s="54">
        <f t="shared" si="57"/>
        <v>17.500000000000004</v>
      </c>
      <c r="BG45" s="54">
        <f t="shared" si="58"/>
        <v>17.499999999999996</v>
      </c>
      <c r="BH45" s="54">
        <f t="shared" si="59"/>
        <v>25</v>
      </c>
      <c r="BI45" s="54">
        <f t="shared" si="60"/>
        <v>17.5</v>
      </c>
      <c r="BJ45" s="54">
        <f t="shared" si="61"/>
        <v>17.500000000000004</v>
      </c>
    </row>
    <row r="46" spans="1:62" x14ac:dyDescent="0.25">
      <c r="A46">
        <f>Grondslag!A41</f>
        <v>64</v>
      </c>
      <c r="C46" s="73">
        <f t="shared" si="37"/>
        <v>64</v>
      </c>
      <c r="F46">
        <f>OPperjr*Grondslag!S41</f>
        <v>0.58139534883720934</v>
      </c>
      <c r="G46" s="73" cm="1">
        <f t="array" ref="G46">G47*(1+reele_index_opb)</f>
        <v>1</v>
      </c>
      <c r="H46" s="73">
        <f>SUMPRODUCT(F$7:F46, G$7:G46)/G46</f>
        <v>23.255813953488353</v>
      </c>
      <c r="I46" s="18">
        <f>I45*(1+reele_index_opb)+ Premie_leeftijd!Y45* Premie_leeftijd!AK45* Premie_leeftijd!AL45 /Settings!$O$10</f>
        <v>23.277452644533746</v>
      </c>
      <c r="J46" s="18"/>
      <c r="K46">
        <f>(1+K47)/(1+Settings!I$10)</f>
        <v>3</v>
      </c>
      <c r="L46"/>
      <c r="M46" s="18">
        <f t="shared" si="36"/>
        <v>0</v>
      </c>
      <c r="N46" s="18">
        <f t="shared" si="36"/>
        <v>0</v>
      </c>
      <c r="O46" s="18">
        <f>Settings!$I$3*Grondslag!J41</f>
        <v>25</v>
      </c>
      <c r="P46" s="18">
        <f>Settings!$I$7*MAX(Grondslag!J41 - x*voltijdfranchise/1000*(Premie_leeftijd!T45=0),0)</f>
        <v>25</v>
      </c>
      <c r="Q46" s="18">
        <f>Settings!$I$7*MAX(Grondslag!J41 - voltijdfranchise/1000*(Premie_leeftijd!T45=0),0)</f>
        <v>17.5</v>
      </c>
      <c r="R46" s="18">
        <f>Settings!$I$3*Grondslag!J41*(1-Premie_leeftijd!R45)</f>
        <v>25</v>
      </c>
      <c r="S46" s="73">
        <f t="shared" si="29"/>
        <v>8.7057831488263808</v>
      </c>
      <c r="U46" s="20" cm="1">
        <f t="array" ref="U46">SUMPRODUCT(Premie_leeftijd!AL$6:AL45, 1/Premie_leeftijd!AJ$6:AJ45, Premie_leeftijd!Y$6:Y45, G$7:G46)/G46 + Premie_leeftijd!AN46* Premie_leeftijd!Y46</f>
        <v>17.500000000000004</v>
      </c>
      <c r="V46" s="73">
        <f t="shared" si="4"/>
        <v>17.499999999999986</v>
      </c>
      <c r="W46" s="42" cm="1">
        <f t="array" ref="W46">Premie_leeftijd!$Y45*Premie_leeftijd!CG45/Premie_leeftijd!CE45 + W45*(1+reele_index_opb)</f>
        <v>16.731095323920286</v>
      </c>
      <c r="X46" s="31" cm="1">
        <f t="array" ref="X46">Premie_leeftijd!$Y45*Premie_leeftijd!BY45/Premie_leeftijd!BW45 + X45*(1+reele_index_opb)</f>
        <v>16.476909276464482</v>
      </c>
      <c r="Y46" s="20" cm="1">
        <f t="array" ref="Y46">Premie_leeftijd!AL45*Premie_leeftijd!$Y45/Premie_leeftijd!AJ45 + Y45*(1+reele_index_opb)</f>
        <v>16.294216851173619</v>
      </c>
      <c r="Z46" s="20"/>
      <c r="AA46" s="20">
        <f t="shared" si="30"/>
        <v>64</v>
      </c>
      <c r="AB46" s="41">
        <f t="shared" si="38"/>
        <v>17.500000000000004</v>
      </c>
      <c r="AC46" s="41">
        <f t="shared" si="39"/>
        <v>17.499999999999986</v>
      </c>
      <c r="AD46" s="20">
        <f t="shared" si="40"/>
        <v>25</v>
      </c>
      <c r="AE46" s="20">
        <f t="shared" si="41"/>
        <v>25</v>
      </c>
      <c r="AF46" s="20">
        <f t="shared" si="8"/>
        <v>25</v>
      </c>
      <c r="AG46" s="20">
        <f t="shared" si="42"/>
        <v>25</v>
      </c>
      <c r="AI46" s="73">
        <f t="shared" si="43"/>
        <v>3</v>
      </c>
      <c r="AJ46" s="73">
        <f t="shared" si="44"/>
        <v>17.500000000000004</v>
      </c>
      <c r="AK46" s="73">
        <f t="shared" si="45"/>
        <v>17.499999999999986</v>
      </c>
      <c r="AL46" s="73">
        <f t="shared" si="46"/>
        <v>25</v>
      </c>
      <c r="AM46" s="73">
        <f t="shared" si="47"/>
        <v>25</v>
      </c>
      <c r="AN46" s="73">
        <f t="shared" si="48"/>
        <v>25</v>
      </c>
      <c r="AO46" s="73">
        <f t="shared" si="49"/>
        <v>25</v>
      </c>
      <c r="AQ46" s="20">
        <f t="shared" si="32"/>
        <v>64</v>
      </c>
      <c r="AR46" s="20">
        <f t="shared" si="50"/>
        <v>4</v>
      </c>
      <c r="AS46" s="18">
        <f t="shared" si="51"/>
        <v>17.500000000000004</v>
      </c>
      <c r="AT46" s="18">
        <f t="shared" si="52"/>
        <v>17.499999999999986</v>
      </c>
      <c r="AU46" s="73">
        <f t="shared" si="53"/>
        <v>25</v>
      </c>
      <c r="AV46" s="73">
        <f t="shared" si="54"/>
        <v>17.5</v>
      </c>
      <c r="AW46" s="18">
        <f t="shared" si="33"/>
        <v>17.500000000000004</v>
      </c>
      <c r="AX46" s="18">
        <f t="shared" si="34"/>
        <v>17.500000000000004</v>
      </c>
      <c r="AZ46" s="5">
        <f>Premie_leeftijd!J45</f>
        <v>6.1942163908205172E-3</v>
      </c>
      <c r="BA46" s="5"/>
      <c r="BB46" s="54">
        <v>39</v>
      </c>
      <c r="BC46" s="54">
        <f t="shared" si="55"/>
        <v>84</v>
      </c>
      <c r="BD46" s="54">
        <f t="shared" si="56"/>
        <v>84</v>
      </c>
      <c r="BE46" s="54" t="b">
        <f t="shared" si="62"/>
        <v>1</v>
      </c>
      <c r="BF46" s="54">
        <f t="shared" si="57"/>
        <v>17.500000000000004</v>
      </c>
      <c r="BG46" s="54">
        <f t="shared" si="58"/>
        <v>17.499999999999996</v>
      </c>
      <c r="BH46" s="54">
        <f t="shared" si="59"/>
        <v>25</v>
      </c>
      <c r="BI46" s="54">
        <f t="shared" si="60"/>
        <v>17.5</v>
      </c>
      <c r="BJ46" s="54">
        <f t="shared" si="61"/>
        <v>17.500000000000004</v>
      </c>
    </row>
    <row r="47" spans="1:62" x14ac:dyDescent="0.25">
      <c r="A47">
        <f>Grondslag!A42</f>
        <v>65</v>
      </c>
      <c r="C47" s="73">
        <f t="shared" si="37"/>
        <v>65</v>
      </c>
      <c r="F47">
        <f>OPperjr*Grondslag!S42</f>
        <v>0.58139534883720934</v>
      </c>
      <c r="G47" s="73" cm="1">
        <f t="array" ref="G47">G48*(1+reele_index_opb)</f>
        <v>1</v>
      </c>
      <c r="H47" s="73">
        <f>SUMPRODUCT(F$7:F47, G$7:G47)/G47</f>
        <v>23.837209302325562</v>
      </c>
      <c r="I47" s="18">
        <f>I46*(1+reele_index_opb)+ Premie_leeftijd!Y46* Premie_leeftijd!AK46* Premie_leeftijd!AL46 /Settings!$O$10</f>
        <v>23.845665729031076</v>
      </c>
      <c r="J47" s="18"/>
      <c r="K47">
        <f>(1+K48)/(1+Settings!I$10)</f>
        <v>2</v>
      </c>
      <c r="L47"/>
      <c r="M47" s="18">
        <f t="shared" ref="M47:N66" si="63">volledigAnw/1000</f>
        <v>0</v>
      </c>
      <c r="N47" s="18">
        <f t="shared" si="63"/>
        <v>0</v>
      </c>
      <c r="O47" s="18">
        <f>Settings!$I$3*Grondslag!J42</f>
        <v>25</v>
      </c>
      <c r="P47" s="18">
        <f>Settings!$I$7*MAX(Grondslag!J42 - x*voltijdfranchise/1000*(Premie_leeftijd!T46=0),0)</f>
        <v>25</v>
      </c>
      <c r="Q47" s="18">
        <f>Settings!$I$7*MAX(Grondslag!J42 - voltijdfranchise/1000*(Premie_leeftijd!T46=0),0)</f>
        <v>17.5</v>
      </c>
      <c r="R47" s="18">
        <f>Settings!$I$3*Grondslag!J42*(1-Premie_leeftijd!R46)</f>
        <v>25</v>
      </c>
      <c r="S47" s="73">
        <f t="shared" si="29"/>
        <v>8.3080339896782469</v>
      </c>
      <c r="U47" s="20" cm="1">
        <f t="array" ref="U47">SUMPRODUCT(Premie_leeftijd!AL$6:AL46, 1/Premie_leeftijd!AJ$6:AJ46, Premie_leeftijd!Y$6:Y46, G$7:G47)/G47 + Premie_leeftijd!AN47* Premie_leeftijd!Y47</f>
        <v>17.500000000000004</v>
      </c>
      <c r="V47" s="73">
        <f t="shared" si="4"/>
        <v>17.499999999999982</v>
      </c>
      <c r="W47" s="42" cm="1">
        <f t="array" ref="W47">Premie_leeftijd!$Y46*Premie_leeftijd!CG46/Premie_leeftijd!CE46 + W46*(1+reele_index_opb)</f>
        <v>16.995259791103393</v>
      </c>
      <c r="X47" s="31" cm="1">
        <f t="array" ref="X47">Premie_leeftijd!$Y46*Premie_leeftijd!BY46/Premie_leeftijd!BW46 + X46*(1+reele_index_opb)</f>
        <v>16.816543136040291</v>
      </c>
      <c r="Y47" s="20" cm="1">
        <f t="array" ref="Y47">Premie_leeftijd!AL46*Premie_leeftijd!$Y46/Premie_leeftijd!AJ46 + Y46*(1+reele_index_opb)</f>
        <v>16.691966010321753</v>
      </c>
      <c r="Z47" s="20"/>
      <c r="AA47" s="20">
        <f t="shared" si="30"/>
        <v>65</v>
      </c>
      <c r="AB47" s="41">
        <f t="shared" si="38"/>
        <v>17.500000000000004</v>
      </c>
      <c r="AC47" s="41">
        <f t="shared" si="39"/>
        <v>17.499999999999982</v>
      </c>
      <c r="AD47" s="20">
        <f t="shared" si="40"/>
        <v>25</v>
      </c>
      <c r="AE47" s="20">
        <f t="shared" si="41"/>
        <v>25</v>
      </c>
      <c r="AF47" s="20">
        <f t="shared" si="8"/>
        <v>25</v>
      </c>
      <c r="AG47" s="20">
        <f t="shared" si="42"/>
        <v>25</v>
      </c>
      <c r="AI47" s="73">
        <f t="shared" si="43"/>
        <v>2</v>
      </c>
      <c r="AJ47" s="73">
        <f t="shared" si="44"/>
        <v>17.500000000000004</v>
      </c>
      <c r="AK47" s="73">
        <f>V47*(1+reele_index_opb)^$AI47 + ($C47&lt;AOWlftd)*volledigAnw/1000*(1+reele_index_ris)^$AI47</f>
        <v>17.499999999999982</v>
      </c>
      <c r="AL47" s="73">
        <f t="shared" si="46"/>
        <v>25</v>
      </c>
      <c r="AM47" s="73">
        <f t="shared" si="47"/>
        <v>25</v>
      </c>
      <c r="AN47" s="73">
        <f t="shared" si="48"/>
        <v>25</v>
      </c>
      <c r="AO47" s="73">
        <f t="shared" si="49"/>
        <v>25</v>
      </c>
      <c r="AQ47" s="20">
        <f t="shared" si="32"/>
        <v>65</v>
      </c>
      <c r="AR47" s="20">
        <f t="shared" si="50"/>
        <v>3</v>
      </c>
      <c r="AS47" s="18">
        <f t="shared" si="51"/>
        <v>17.500000000000004</v>
      </c>
      <c r="AT47" s="18">
        <f t="shared" si="52"/>
        <v>17.499999999999982</v>
      </c>
      <c r="AU47" s="73">
        <f t="shared" si="53"/>
        <v>25</v>
      </c>
      <c r="AV47" s="73">
        <f t="shared" si="54"/>
        <v>17.5</v>
      </c>
      <c r="AW47" s="18">
        <f t="shared" si="33"/>
        <v>17.500000000000004</v>
      </c>
      <c r="AX47" s="18">
        <f t="shared" si="34"/>
        <v>17.500000000000004</v>
      </c>
      <c r="AZ47" s="5">
        <f>Premie_leeftijd!J46</f>
        <v>6.5610254038193094E-3</v>
      </c>
      <c r="BA47" s="5"/>
      <c r="BB47" s="54">
        <v>40</v>
      </c>
      <c r="BC47" s="54">
        <f t="shared" si="55"/>
        <v>85</v>
      </c>
      <c r="BD47" s="54">
        <f t="shared" si="56"/>
        <v>85</v>
      </c>
      <c r="BE47" s="54" t="b">
        <f t="shared" si="62"/>
        <v>1</v>
      </c>
      <c r="BF47" s="54">
        <f t="shared" si="57"/>
        <v>17.500000000000004</v>
      </c>
      <c r="BG47" s="54">
        <f t="shared" si="58"/>
        <v>17.499999999999996</v>
      </c>
      <c r="BH47" s="54">
        <f t="shared" si="59"/>
        <v>25</v>
      </c>
      <c r="BI47" s="54">
        <f t="shared" si="60"/>
        <v>17.5</v>
      </c>
      <c r="BJ47" s="54">
        <f t="shared" si="61"/>
        <v>17.500000000000004</v>
      </c>
    </row>
    <row r="48" spans="1:62" x14ac:dyDescent="0.25">
      <c r="A48">
        <f>Grondslag!A43</f>
        <v>66</v>
      </c>
      <c r="C48" s="73">
        <f t="shared" si="37"/>
        <v>66</v>
      </c>
      <c r="F48">
        <f>OPperjr*Grondslag!S43</f>
        <v>0.58139534883720934</v>
      </c>
      <c r="G48" s="73" cm="1">
        <f t="array" ref="G48">G49*(1+reele_index_opb)</f>
        <v>1</v>
      </c>
      <c r="H48" s="73">
        <f>SUMPRODUCT(F$7:F48, G$7:G48)/G48</f>
        <v>24.41860465116277</v>
      </c>
      <c r="I48" s="18">
        <f>I47*(1+reele_index_opb)+ Premie_leeftijd!Y47* Premie_leeftijd!AK47* Premie_leeftijd!AL47 /Settings!$O$10</f>
        <v>24.41965993774534</v>
      </c>
      <c r="J48" s="18"/>
      <c r="K48">
        <f>(1+K49)/(1+Settings!I$10)</f>
        <v>1</v>
      </c>
      <c r="L48"/>
      <c r="M48" s="18">
        <f t="shared" si="63"/>
        <v>0</v>
      </c>
      <c r="N48" s="18">
        <f t="shared" si="63"/>
        <v>0</v>
      </c>
      <c r="O48" s="18">
        <f>Settings!$I$3*Grondslag!J43</f>
        <v>25</v>
      </c>
      <c r="P48" s="18">
        <f>Settings!$I$7*MAX(Grondslag!J43 - x*voltijdfranchise/1000*(Premie_leeftijd!T47=0),0)</f>
        <v>25</v>
      </c>
      <c r="Q48" s="18">
        <f>Settings!$I$7*MAX(Grondslag!J43 - voltijdfranchise/1000*(Premie_leeftijd!T47=0),0)</f>
        <v>17.5</v>
      </c>
      <c r="R48" s="18">
        <f>Settings!$I$3*Grondslag!J43*(1-Premie_leeftijd!R47)</f>
        <v>25</v>
      </c>
      <c r="S48" s="73">
        <f t="shared" si="29"/>
        <v>7.9062380435782629</v>
      </c>
      <c r="U48" s="41" cm="1">
        <f t="array" ref="U48">SUMPRODUCT(Premie_leeftijd!AL$6:AL47, 1/Premie_leeftijd!AJ$6:AJ47, Premie_leeftijd!Y$6:Y47, G$7:G48)/G48 + Premie_leeftijd!AN48* Premie_leeftijd!Y48</f>
        <v>17.500000000000004</v>
      </c>
      <c r="V48" s="73">
        <f t="shared" si="4"/>
        <v>17.499999999999982</v>
      </c>
      <c r="W48" s="42" cm="1">
        <f t="array" ref="W48">Premie_leeftijd!$Y47*Premie_leeftijd!CG47/Premie_leeftijd!CE47 + W47*(1+reele_index_opb)</f>
        <v>17.25158149395374</v>
      </c>
      <c r="X48" s="31" cm="1">
        <f t="array" ref="X48">Premie_leeftijd!$Y47*Premie_leeftijd!BY47/Premie_leeftijd!BW47 + X47*(1+reele_index_opb)</f>
        <v>17.157315230241444</v>
      </c>
      <c r="Y48" s="20" cm="1">
        <f t="array" ref="Y48">Premie_leeftijd!AL47*Premie_leeftijd!$Y47/Premie_leeftijd!AJ47 + Y47*(1+reele_index_opb)</f>
        <v>17.093761956421737</v>
      </c>
      <c r="Z48" s="20"/>
      <c r="AA48" s="20">
        <f t="shared" si="30"/>
        <v>66</v>
      </c>
      <c r="AB48" s="41">
        <f t="shared" si="38"/>
        <v>17.500000000000004</v>
      </c>
      <c r="AC48" s="41">
        <f t="shared" si="39"/>
        <v>17.499999999999982</v>
      </c>
      <c r="AD48" s="20">
        <f t="shared" si="40"/>
        <v>25</v>
      </c>
      <c r="AE48" s="20">
        <f t="shared" si="41"/>
        <v>25</v>
      </c>
      <c r="AF48" s="20">
        <f t="shared" si="8"/>
        <v>25</v>
      </c>
      <c r="AG48" s="20">
        <f t="shared" si="42"/>
        <v>25</v>
      </c>
      <c r="AI48" s="73">
        <f t="shared" si="43"/>
        <v>1</v>
      </c>
      <c r="AJ48" s="73">
        <f t="shared" si="44"/>
        <v>17.500000000000004</v>
      </c>
      <c r="AK48" s="73">
        <f t="shared" si="45"/>
        <v>17.499999999999982</v>
      </c>
      <c r="AL48" s="73">
        <f t="shared" si="46"/>
        <v>25</v>
      </c>
      <c r="AM48" s="73">
        <f t="shared" si="47"/>
        <v>25</v>
      </c>
      <c r="AN48" s="73">
        <f t="shared" si="48"/>
        <v>25</v>
      </c>
      <c r="AO48" s="73">
        <f t="shared" si="49"/>
        <v>25</v>
      </c>
      <c r="AQ48" s="20">
        <f t="shared" si="32"/>
        <v>66</v>
      </c>
      <c r="AR48" s="20">
        <f t="shared" si="50"/>
        <v>2</v>
      </c>
      <c r="AS48" s="18">
        <f t="shared" si="51"/>
        <v>17.500000000000004</v>
      </c>
      <c r="AT48" s="18">
        <f t="shared" si="52"/>
        <v>17.499999999999982</v>
      </c>
      <c r="AU48" s="73">
        <f t="shared" si="53"/>
        <v>25</v>
      </c>
      <c r="AV48" s="73">
        <f t="shared" si="54"/>
        <v>17.5</v>
      </c>
      <c r="AW48" s="18">
        <f t="shared" si="33"/>
        <v>17.500000000000004</v>
      </c>
      <c r="AX48" s="18">
        <f t="shared" si="34"/>
        <v>17.500000000000004</v>
      </c>
      <c r="AZ48" s="5">
        <f>Premie_leeftijd!J47</f>
        <v>6.986867921969675E-3</v>
      </c>
      <c r="BA48" s="5"/>
      <c r="BB48" s="54">
        <v>41</v>
      </c>
      <c r="BC48" s="54">
        <f t="shared" si="55"/>
        <v>86</v>
      </c>
      <c r="BD48" s="54">
        <f t="shared" si="56"/>
        <v>86</v>
      </c>
      <c r="BE48" s="54" t="b">
        <f t="shared" si="62"/>
        <v>1</v>
      </c>
      <c r="BF48" s="54">
        <f t="shared" si="57"/>
        <v>17.500000000000004</v>
      </c>
      <c r="BG48" s="54">
        <f t="shared" si="58"/>
        <v>17.499999999999996</v>
      </c>
      <c r="BH48" s="54">
        <f t="shared" si="59"/>
        <v>25</v>
      </c>
      <c r="BI48" s="54">
        <f t="shared" si="60"/>
        <v>17.5</v>
      </c>
      <c r="BJ48" s="54">
        <f t="shared" si="61"/>
        <v>17.500000000000004</v>
      </c>
    </row>
    <row r="49" spans="1:62" s="3" customFormat="1" x14ac:dyDescent="0.25">
      <c r="A49" s="3">
        <f>Grondslag!A44</f>
        <v>67</v>
      </c>
      <c r="C49" s="3">
        <f t="shared" si="37"/>
        <v>67</v>
      </c>
      <c r="F49" s="3">
        <f>OPperjr*Grondslag!S44</f>
        <v>0.58139534883720934</v>
      </c>
      <c r="G49" s="138">
        <f>1</f>
        <v>1</v>
      </c>
      <c r="H49" s="3">
        <f>SUMPRODUCT(F$7:F49, G$7:G49)/G49</f>
        <v>24.999999999999979</v>
      </c>
      <c r="I49" s="3">
        <f>I48*(1+reele_index_opb)+ Premie_leeftijd!Y48* Premie_leeftijd!AK48* Premie_leeftijd!AL48 /Settings!$O$10</f>
        <v>25.000000000000007</v>
      </c>
      <c r="K49" s="138">
        <v>0</v>
      </c>
      <c r="M49" s="3">
        <f t="shared" si="63"/>
        <v>0</v>
      </c>
      <c r="N49" s="3">
        <f t="shared" si="63"/>
        <v>0</v>
      </c>
      <c r="O49" s="3">
        <f>Settings!$I$3*Grondslag!J44</f>
        <v>25</v>
      </c>
      <c r="P49" s="3">
        <f>Settings!$I$7*MAX(Grondslag!J44 - x*voltijdfranchise/1000*(Premie_leeftijd!T48=0),0)</f>
        <v>25</v>
      </c>
      <c r="Q49" s="3">
        <f>Settings!$I$7*MAX(Grondslag!J44 - voltijdfranchise/1000*(Premie_leeftijd!T48=0),0)</f>
        <v>17.5</v>
      </c>
      <c r="R49" s="3">
        <f>Settings!$I$3*Grondslag!J44*(1-Premie_leeftijd!R48)</f>
        <v>25</v>
      </c>
      <c r="S49" s="3">
        <f t="shared" si="29"/>
        <v>7.4999999999999964</v>
      </c>
      <c r="U49" s="35" cm="1">
        <f t="array" ref="U49">SUMPRODUCT(Premie_leeftijd!AL$6:AL48, 1/Premie_leeftijd!AJ$6:AJ48, Premie_leeftijd!Y$6:Y48, G$7:G49)/G49 + Premie_leeftijd!AN49* Premie_leeftijd!Y49</f>
        <v>17.500000000000004</v>
      </c>
      <c r="V49" s="3">
        <f t="shared" si="4"/>
        <v>17.499999999999982</v>
      </c>
      <c r="W49" s="38" cm="1">
        <f t="array" ref="W49">Premie_leeftijd!$Y48*Premie_leeftijd!CG48/Premie_leeftijd!CE48 + W48*(1+reele_index_opb)</f>
        <v>17.500000000000004</v>
      </c>
      <c r="X49" s="38" cm="1">
        <f t="array" ref="X49">Premie_leeftijd!$Y48*Premie_leeftijd!BY48/Premie_leeftijd!BW48 + X48*(1+reele_index_opb)</f>
        <v>17.500000000000004</v>
      </c>
      <c r="Y49" s="35" cm="1">
        <f t="array" ref="Y49">Premie_leeftijd!AL48*Premie_leeftijd!$Y48/Premie_leeftijd!AJ48 + Y48*(1+reele_index_opb)</f>
        <v>17.500000000000004</v>
      </c>
      <c r="Z49" s="35"/>
      <c r="AA49" s="35">
        <f t="shared" si="30"/>
        <v>67</v>
      </c>
      <c r="AB49" s="35">
        <f t="shared" si="38"/>
        <v>17.500000000000004</v>
      </c>
      <c r="AC49" s="35">
        <f t="shared" si="39"/>
        <v>17.499999999999982</v>
      </c>
      <c r="AD49" s="35">
        <f t="shared" si="40"/>
        <v>25</v>
      </c>
      <c r="AE49" s="35">
        <f t="shared" si="41"/>
        <v>25</v>
      </c>
      <c r="AF49" s="35">
        <f t="shared" si="8"/>
        <v>25</v>
      </c>
      <c r="AG49" s="35">
        <f t="shared" si="42"/>
        <v>25</v>
      </c>
      <c r="AI49" s="3">
        <f t="shared" si="43"/>
        <v>0</v>
      </c>
      <c r="AJ49" s="3">
        <f t="shared" si="44"/>
        <v>17.500000000000004</v>
      </c>
      <c r="AK49" s="3">
        <f t="shared" si="45"/>
        <v>17.499999999999982</v>
      </c>
      <c r="AL49" s="3">
        <f t="shared" si="46"/>
        <v>25</v>
      </c>
      <c r="AM49" s="3">
        <f t="shared" si="47"/>
        <v>25</v>
      </c>
      <c r="AN49" s="3">
        <f t="shared" si="48"/>
        <v>25</v>
      </c>
      <c r="AO49" s="3">
        <f t="shared" si="49"/>
        <v>25</v>
      </c>
      <c r="AQ49" s="35">
        <f t="shared" si="32"/>
        <v>67</v>
      </c>
      <c r="AR49" s="35">
        <f t="shared" si="50"/>
        <v>1</v>
      </c>
      <c r="AS49" s="3">
        <f t="shared" si="51"/>
        <v>17.500000000000004</v>
      </c>
      <c r="AT49" s="3">
        <f t="shared" si="52"/>
        <v>17.499999999999982</v>
      </c>
      <c r="AU49" s="3">
        <f t="shared" si="53"/>
        <v>25</v>
      </c>
      <c r="AV49" s="3">
        <f t="shared" si="54"/>
        <v>17.5</v>
      </c>
      <c r="AW49" s="3">
        <f t="shared" si="33"/>
        <v>17.500000000000004</v>
      </c>
      <c r="AX49" s="3">
        <f t="shared" si="34"/>
        <v>17.500000000000004</v>
      </c>
      <c r="AZ49" s="12">
        <f>Premie_leeftijd!J48</f>
        <v>7.4672383536364961E-3</v>
      </c>
      <c r="BA49" s="12"/>
      <c r="BB49" s="67">
        <v>42</v>
      </c>
      <c r="BC49" s="54">
        <f t="shared" si="55"/>
        <v>87</v>
      </c>
      <c r="BD49" s="67">
        <f t="shared" si="56"/>
        <v>87</v>
      </c>
      <c r="BE49" s="54" t="b">
        <f t="shared" si="62"/>
        <v>1</v>
      </c>
      <c r="BF49" s="54">
        <f t="shared" si="57"/>
        <v>17.500000000000004</v>
      </c>
      <c r="BG49" s="54">
        <f t="shared" si="58"/>
        <v>17.499999999999996</v>
      </c>
      <c r="BH49" s="54">
        <f t="shared" si="59"/>
        <v>25</v>
      </c>
      <c r="BI49" s="54">
        <f t="shared" si="60"/>
        <v>17.5</v>
      </c>
      <c r="BJ49" s="54">
        <f t="shared" si="61"/>
        <v>17.500000000000004</v>
      </c>
    </row>
    <row r="50" spans="1:62" x14ac:dyDescent="0.25">
      <c r="A50">
        <f>Grondslag!A45</f>
        <v>68</v>
      </c>
      <c r="C50" s="73">
        <f t="shared" si="37"/>
        <v>68</v>
      </c>
      <c r="L50"/>
      <c r="M50" s="18">
        <f t="shared" si="63"/>
        <v>0</v>
      </c>
      <c r="N50" s="18">
        <f t="shared" si="63"/>
        <v>0</v>
      </c>
      <c r="O50" s="18">
        <f>Settings!$I$3*Grondslag!J45</f>
        <v>0</v>
      </c>
      <c r="P50" s="18">
        <f>Settings!$I$7*MAX(Grondslag!J45 - x*voltijdfranchise/1000*(Premie_leeftijd!T49=0),0)</f>
        <v>0</v>
      </c>
      <c r="Q50" s="18">
        <f>Settings!$I$7*MAX(Grondslag!J45 - voltijdfranchise/1000*(Premie_leeftijd!T49=0),0)</f>
        <v>0</v>
      </c>
      <c r="R50" s="18">
        <f>Settings!$I$3*Grondslag!J45*(1-Premie_leeftijd!R49)</f>
        <v>0</v>
      </c>
      <c r="S50" s="73">
        <f t="shared" si="29"/>
        <v>0</v>
      </c>
      <c r="U50" s="20" cm="1">
        <f t="array" ref="U50">U49*(1+reele_index_opb)</f>
        <v>17.500000000000004</v>
      </c>
      <c r="V50" s="20" cm="1">
        <f t="array" ref="V50">V49*(1+reele_index_opb)</f>
        <v>17.499999999999982</v>
      </c>
      <c r="W50" s="39" cm="1">
        <f t="array" ref="W50">W49*(1+reele_index_opb)</f>
        <v>17.500000000000004</v>
      </c>
      <c r="X50" s="20" cm="1">
        <f t="array" ref="X50">X49*(1+reele_index_opb)</f>
        <v>17.500000000000004</v>
      </c>
      <c r="Y50" s="20" cm="1">
        <f t="array" ref="Y50">Y49*(1+reele_index_opb)</f>
        <v>17.500000000000004</v>
      </c>
      <c r="Z50" s="20"/>
      <c r="AA50" s="20">
        <f t="shared" si="30"/>
        <v>68</v>
      </c>
      <c r="AB50" s="41">
        <f t="shared" si="38"/>
        <v>17.500000000000004</v>
      </c>
      <c r="AC50" s="41">
        <f t="shared" si="39"/>
        <v>17.499999999999982</v>
      </c>
      <c r="AD50" s="20">
        <f t="shared" si="40"/>
        <v>17.500000000000004</v>
      </c>
      <c r="AE50" s="20">
        <f t="shared" si="41"/>
        <v>17.500000000000004</v>
      </c>
      <c r="AF50" s="20">
        <f>X50</f>
        <v>17.500000000000004</v>
      </c>
      <c r="AG50" s="20">
        <f t="shared" si="42"/>
        <v>17.500000000000004</v>
      </c>
      <c r="AI50" s="73">
        <f t="shared" si="43"/>
        <v>0</v>
      </c>
      <c r="AJ50" s="73">
        <f t="shared" si="44"/>
        <v>17.500000000000004</v>
      </c>
      <c r="AK50" s="73">
        <f t="shared" si="45"/>
        <v>17.499999999999982</v>
      </c>
      <c r="AL50" s="73">
        <f t="shared" si="46"/>
        <v>17.500000000000004</v>
      </c>
      <c r="AM50" s="73">
        <f t="shared" si="47"/>
        <v>17.500000000000004</v>
      </c>
      <c r="AN50" s="73">
        <f t="shared" si="48"/>
        <v>17.500000000000004</v>
      </c>
      <c r="AO50" s="73">
        <f t="shared" si="49"/>
        <v>17.500000000000004</v>
      </c>
      <c r="AQ50" s="20">
        <f t="shared" si="32"/>
        <v>68</v>
      </c>
      <c r="AR50" s="20">
        <f t="shared" si="50"/>
        <v>0</v>
      </c>
      <c r="AS50" s="18">
        <f t="shared" si="51"/>
        <v>17.500000000000004</v>
      </c>
      <c r="AT50" s="18">
        <f t="shared" si="52"/>
        <v>17.499999999999982</v>
      </c>
      <c r="AU50" s="73">
        <f t="shared" si="53"/>
        <v>17.500000000000004</v>
      </c>
      <c r="AV50" s="73">
        <f t="shared" si="54"/>
        <v>17.500000000000004</v>
      </c>
      <c r="AW50" s="18">
        <f t="shared" si="33"/>
        <v>17.500000000000004</v>
      </c>
      <c r="AX50" s="18">
        <f t="shared" si="34"/>
        <v>17.500000000000004</v>
      </c>
      <c r="AZ50" s="5">
        <f>Premie_leeftijd!J49</f>
        <v>7.8395428298303482E-3</v>
      </c>
      <c r="BA50" s="5"/>
      <c r="BB50" s="67">
        <v>43</v>
      </c>
      <c r="BC50" s="54">
        <f t="shared" si="55"/>
        <v>88</v>
      </c>
      <c r="BD50" s="67">
        <f t="shared" si="56"/>
        <v>88</v>
      </c>
      <c r="BE50" s="54" t="b">
        <f t="shared" si="62"/>
        <v>1</v>
      </c>
      <c r="BF50" s="54">
        <f t="shared" si="57"/>
        <v>17.500000000000004</v>
      </c>
      <c r="BG50" s="54">
        <f t="shared" si="58"/>
        <v>17.499999999999996</v>
      </c>
      <c r="BH50" s="54">
        <f t="shared" si="59"/>
        <v>25</v>
      </c>
      <c r="BI50" s="54">
        <f t="shared" si="60"/>
        <v>17.5</v>
      </c>
      <c r="BJ50" s="54">
        <f t="shared" si="61"/>
        <v>17.500000000000004</v>
      </c>
    </row>
    <row r="51" spans="1:62" x14ac:dyDescent="0.25">
      <c r="A51">
        <f>Grondslag!A46</f>
        <v>69</v>
      </c>
      <c r="C51" s="73">
        <f t="shared" si="37"/>
        <v>69</v>
      </c>
      <c r="L51"/>
      <c r="M51" s="18">
        <f t="shared" si="63"/>
        <v>0</v>
      </c>
      <c r="N51" s="18">
        <f t="shared" si="63"/>
        <v>0</v>
      </c>
      <c r="O51" s="18">
        <f>Settings!$I$3*Grondslag!J46</f>
        <v>0</v>
      </c>
      <c r="P51" s="18">
        <f>Settings!$I$7*MAX(Grondslag!J46 - x*voltijdfranchise/1000*(Premie_leeftijd!T50=0),0)</f>
        <v>0</v>
      </c>
      <c r="Q51" s="18">
        <f>Settings!$I$7*MAX(Grondslag!J46 - voltijdfranchise/1000*(Premie_leeftijd!T50=0),0)</f>
        <v>0</v>
      </c>
      <c r="R51" s="18">
        <f>Settings!$I$3*Grondslag!J46*(1-Premie_leeftijd!R50)</f>
        <v>0</v>
      </c>
      <c r="S51" s="73">
        <f t="shared" si="29"/>
        <v>0</v>
      </c>
      <c r="U51" s="20" cm="1">
        <f t="array" ref="U51">U50*(1+reele_index_opb)</f>
        <v>17.500000000000004</v>
      </c>
      <c r="V51" s="20" cm="1">
        <f t="array" ref="V51">V50*(1+reele_index_opb)</f>
        <v>17.499999999999982</v>
      </c>
      <c r="W51" s="39" cm="1">
        <f t="array" ref="W51">W50*(1+reele_index_opb)</f>
        <v>17.500000000000004</v>
      </c>
      <c r="X51" s="20" cm="1">
        <f t="array" ref="X51">X50*(1+reele_index_opb)</f>
        <v>17.500000000000004</v>
      </c>
      <c r="Y51" s="20" cm="1">
        <f t="array" ref="Y51">Y50*(1+reele_index_opb)</f>
        <v>17.500000000000004</v>
      </c>
      <c r="Z51" s="20"/>
      <c r="AA51" s="20">
        <f t="shared" si="30"/>
        <v>69</v>
      </c>
      <c r="AB51" s="41">
        <f t="shared" si="38"/>
        <v>17.500000000000004</v>
      </c>
      <c r="AC51" s="41">
        <f t="shared" si="39"/>
        <v>17.499999999999982</v>
      </c>
      <c r="AD51" s="20">
        <f t="shared" si="40"/>
        <v>17.500000000000004</v>
      </c>
      <c r="AE51" s="20">
        <f t="shared" si="41"/>
        <v>17.500000000000004</v>
      </c>
      <c r="AF51" s="20">
        <f t="shared" ref="AF51:AF82" si="64">X51</f>
        <v>17.500000000000004</v>
      </c>
      <c r="AG51" s="20">
        <f t="shared" si="42"/>
        <v>17.500000000000004</v>
      </c>
      <c r="AI51" s="73">
        <f t="shared" si="43"/>
        <v>0</v>
      </c>
      <c r="AJ51" s="73">
        <f t="shared" si="44"/>
        <v>17.500000000000004</v>
      </c>
      <c r="AK51" s="73">
        <f t="shared" si="45"/>
        <v>17.499999999999982</v>
      </c>
      <c r="AL51" s="73">
        <f t="shared" si="46"/>
        <v>17.500000000000004</v>
      </c>
      <c r="AM51" s="73">
        <f t="shared" si="47"/>
        <v>17.500000000000004</v>
      </c>
      <c r="AN51" s="73">
        <f t="shared" si="48"/>
        <v>17.500000000000004</v>
      </c>
      <c r="AO51" s="73">
        <f t="shared" si="49"/>
        <v>17.500000000000004</v>
      </c>
      <c r="AQ51" s="20">
        <f t="shared" si="32"/>
        <v>69</v>
      </c>
      <c r="AR51" s="20">
        <f t="shared" si="50"/>
        <v>0</v>
      </c>
      <c r="AS51" s="18">
        <f t="shared" si="51"/>
        <v>17.500000000000004</v>
      </c>
      <c r="AT51" s="18">
        <f t="shared" si="52"/>
        <v>17.499999999999982</v>
      </c>
      <c r="AU51" s="73">
        <f t="shared" si="53"/>
        <v>17.500000000000004</v>
      </c>
      <c r="AV51" s="73">
        <f t="shared" si="54"/>
        <v>17.500000000000004</v>
      </c>
      <c r="AW51" s="18">
        <f t="shared" si="33"/>
        <v>17.500000000000004</v>
      </c>
      <c r="AX51" s="18">
        <f t="shared" si="34"/>
        <v>17.500000000000004</v>
      </c>
      <c r="AZ51" s="5">
        <f>Premie_leeftijd!J50</f>
        <v>8.435843639579832E-3</v>
      </c>
      <c r="BA51" s="5"/>
      <c r="BB51" s="54">
        <v>44</v>
      </c>
      <c r="BC51" s="54">
        <f t="shared" si="55"/>
        <v>89</v>
      </c>
      <c r="BD51" s="54">
        <f t="shared" si="56"/>
        <v>89</v>
      </c>
      <c r="BE51" s="54" t="b">
        <f t="shared" si="62"/>
        <v>1</v>
      </c>
      <c r="BF51" s="54">
        <f t="shared" si="57"/>
        <v>17.500000000000004</v>
      </c>
      <c r="BG51" s="54">
        <f t="shared" si="58"/>
        <v>17.499999999999996</v>
      </c>
      <c r="BH51" s="54">
        <f t="shared" si="59"/>
        <v>25</v>
      </c>
      <c r="BI51" s="54">
        <f t="shared" si="60"/>
        <v>17.5</v>
      </c>
      <c r="BJ51" s="54">
        <f t="shared" si="61"/>
        <v>17.500000000000004</v>
      </c>
    </row>
    <row r="52" spans="1:62" x14ac:dyDescent="0.25">
      <c r="A52">
        <f>Grondslag!A47</f>
        <v>70</v>
      </c>
      <c r="C52" s="73">
        <f t="shared" si="37"/>
        <v>70</v>
      </c>
      <c r="L52"/>
      <c r="M52" s="18">
        <f t="shared" si="63"/>
        <v>0</v>
      </c>
      <c r="N52" s="18">
        <f t="shared" si="63"/>
        <v>0</v>
      </c>
      <c r="O52" s="18">
        <f>Settings!$I$3*Grondslag!J47</f>
        <v>0</v>
      </c>
      <c r="P52" s="18">
        <f>Settings!$I$7*MAX(Grondslag!J47 - x*voltijdfranchise/1000*(Premie_leeftijd!T51=0),0)</f>
        <v>0</v>
      </c>
      <c r="Q52" s="18">
        <f>Settings!$I$7*MAX(Grondslag!J47 - voltijdfranchise/1000*(Premie_leeftijd!T51=0),0)</f>
        <v>0</v>
      </c>
      <c r="R52" s="18">
        <f>Settings!$I$3*Grondslag!J47*(1-Premie_leeftijd!R51)</f>
        <v>0</v>
      </c>
      <c r="S52" s="73">
        <f t="shared" si="29"/>
        <v>0</v>
      </c>
      <c r="U52" s="20" cm="1">
        <f t="array" ref="U52">U51*(1+reele_index_opb)</f>
        <v>17.500000000000004</v>
      </c>
      <c r="V52" s="20" cm="1">
        <f t="array" ref="V52">V51*(1+reele_index_opb)</f>
        <v>17.499999999999982</v>
      </c>
      <c r="W52" s="39" cm="1">
        <f t="array" ref="W52">W51*(1+reele_index_opb)</f>
        <v>17.500000000000004</v>
      </c>
      <c r="X52" s="20" cm="1">
        <f t="array" ref="X52">X51*(1+reele_index_opb)</f>
        <v>17.500000000000004</v>
      </c>
      <c r="Y52" s="20" cm="1">
        <f t="array" ref="Y52">Y51*(1+reele_index_opb)</f>
        <v>17.500000000000004</v>
      </c>
      <c r="Z52" s="20"/>
      <c r="AA52" s="20">
        <f t="shared" si="30"/>
        <v>70</v>
      </c>
      <c r="AB52" s="41">
        <f t="shared" si="38"/>
        <v>17.500000000000004</v>
      </c>
      <c r="AC52" s="41">
        <f t="shared" si="39"/>
        <v>17.499999999999982</v>
      </c>
      <c r="AD52" s="20">
        <f t="shared" si="40"/>
        <v>17.500000000000004</v>
      </c>
      <c r="AE52" s="20">
        <f t="shared" si="41"/>
        <v>17.500000000000004</v>
      </c>
      <c r="AF52" s="20">
        <f t="shared" si="64"/>
        <v>17.500000000000004</v>
      </c>
      <c r="AG52" s="20">
        <f t="shared" si="42"/>
        <v>17.500000000000004</v>
      </c>
      <c r="AI52" s="73">
        <f t="shared" si="43"/>
        <v>0</v>
      </c>
      <c r="AJ52" s="73">
        <f t="shared" si="44"/>
        <v>17.500000000000004</v>
      </c>
      <c r="AK52" s="73">
        <f t="shared" si="45"/>
        <v>17.499999999999982</v>
      </c>
      <c r="AL52" s="73">
        <f t="shared" si="46"/>
        <v>17.500000000000004</v>
      </c>
      <c r="AM52" s="73">
        <f t="shared" si="47"/>
        <v>17.500000000000004</v>
      </c>
      <c r="AN52" s="73">
        <f t="shared" si="48"/>
        <v>17.500000000000004</v>
      </c>
      <c r="AO52" s="73">
        <f t="shared" si="49"/>
        <v>17.500000000000004</v>
      </c>
      <c r="AQ52" s="20">
        <f t="shared" si="32"/>
        <v>70</v>
      </c>
      <c r="AR52" s="20">
        <f t="shared" si="50"/>
        <v>0</v>
      </c>
      <c r="AS52" s="18">
        <f t="shared" si="51"/>
        <v>17.500000000000004</v>
      </c>
      <c r="AT52" s="18">
        <f t="shared" si="52"/>
        <v>17.499999999999982</v>
      </c>
      <c r="AU52" s="73">
        <f t="shared" si="53"/>
        <v>17.500000000000004</v>
      </c>
      <c r="AV52" s="73">
        <f t="shared" si="54"/>
        <v>17.500000000000004</v>
      </c>
      <c r="AW52" s="18">
        <f t="shared" si="33"/>
        <v>17.500000000000004</v>
      </c>
      <c r="AX52" s="18">
        <f t="shared" si="34"/>
        <v>17.500000000000004</v>
      </c>
      <c r="AZ52" s="5">
        <f>Premie_leeftijd!J51</f>
        <v>8.9977848474601663E-3</v>
      </c>
      <c r="BA52" s="5"/>
      <c r="BB52" s="54">
        <v>45</v>
      </c>
      <c r="BC52" s="54">
        <f t="shared" si="55"/>
        <v>90</v>
      </c>
      <c r="BD52" s="54">
        <f t="shared" si="56"/>
        <v>90</v>
      </c>
      <c r="BE52" s="54" t="b">
        <f t="shared" si="62"/>
        <v>1</v>
      </c>
      <c r="BF52" s="54">
        <f t="shared" si="57"/>
        <v>17.500000000000004</v>
      </c>
      <c r="BG52" s="54">
        <f t="shared" si="58"/>
        <v>17.499999999999996</v>
      </c>
      <c r="BH52" s="54">
        <f t="shared" si="59"/>
        <v>25</v>
      </c>
      <c r="BI52" s="54">
        <f t="shared" si="60"/>
        <v>17.5</v>
      </c>
      <c r="BJ52" s="54">
        <f t="shared" si="61"/>
        <v>17.500000000000004</v>
      </c>
    </row>
    <row r="53" spans="1:62" x14ac:dyDescent="0.25">
      <c r="A53">
        <f>Grondslag!A48</f>
        <v>71</v>
      </c>
      <c r="C53" s="73">
        <f t="shared" si="37"/>
        <v>71</v>
      </c>
      <c r="L53"/>
      <c r="M53" s="18">
        <f t="shared" si="63"/>
        <v>0</v>
      </c>
      <c r="N53" s="18">
        <f t="shared" si="63"/>
        <v>0</v>
      </c>
      <c r="O53" s="18">
        <f>Settings!$I$3*Grondslag!J48</f>
        <v>0</v>
      </c>
      <c r="P53" s="18">
        <f>Settings!$I$7*MAX(Grondslag!J48 - x*voltijdfranchise/1000*(Premie_leeftijd!T52=0),0)</f>
        <v>0</v>
      </c>
      <c r="Q53" s="18">
        <f>Settings!$I$7*MAX(Grondslag!J48 - voltijdfranchise/1000*(Premie_leeftijd!T52=0),0)</f>
        <v>0</v>
      </c>
      <c r="R53" s="18">
        <f>Settings!$I$3*Grondslag!J48*(1-Premie_leeftijd!R52)</f>
        <v>0</v>
      </c>
      <c r="S53" s="73">
        <f t="shared" si="29"/>
        <v>0</v>
      </c>
      <c r="U53" s="20" cm="1">
        <f t="array" ref="U53">U52*(1+reele_index_opb)</f>
        <v>17.500000000000004</v>
      </c>
      <c r="V53" s="20" cm="1">
        <f t="array" ref="V53">V52*(1+reele_index_opb)</f>
        <v>17.499999999999982</v>
      </c>
      <c r="W53" s="39" cm="1">
        <f t="array" ref="W53">W52*(1+reele_index_opb)</f>
        <v>17.500000000000004</v>
      </c>
      <c r="X53" s="20" cm="1">
        <f t="array" ref="X53">X52*(1+reele_index_opb)</f>
        <v>17.500000000000004</v>
      </c>
      <c r="Y53" s="20" cm="1">
        <f t="array" ref="Y53">Y52*(1+reele_index_opb)</f>
        <v>17.500000000000004</v>
      </c>
      <c r="Z53" s="20"/>
      <c r="AA53" s="20">
        <f t="shared" si="30"/>
        <v>71</v>
      </c>
      <c r="AB53" s="41">
        <f t="shared" si="38"/>
        <v>17.500000000000004</v>
      </c>
      <c r="AC53" s="41">
        <f t="shared" si="39"/>
        <v>17.499999999999982</v>
      </c>
      <c r="AD53" s="20">
        <f t="shared" si="40"/>
        <v>17.500000000000004</v>
      </c>
      <c r="AE53" s="20">
        <f t="shared" si="41"/>
        <v>17.500000000000004</v>
      </c>
      <c r="AF53" s="20">
        <f t="shared" si="64"/>
        <v>17.500000000000004</v>
      </c>
      <c r="AG53" s="20">
        <f t="shared" si="42"/>
        <v>17.500000000000004</v>
      </c>
      <c r="AI53" s="73">
        <f t="shared" si="43"/>
        <v>0</v>
      </c>
      <c r="AJ53" s="73">
        <f t="shared" si="44"/>
        <v>17.500000000000004</v>
      </c>
      <c r="AK53" s="73">
        <f t="shared" si="45"/>
        <v>17.499999999999982</v>
      </c>
      <c r="AL53" s="73">
        <f t="shared" si="46"/>
        <v>17.500000000000004</v>
      </c>
      <c r="AM53" s="73">
        <f t="shared" si="47"/>
        <v>17.500000000000004</v>
      </c>
      <c r="AN53" s="73">
        <f t="shared" si="48"/>
        <v>17.500000000000004</v>
      </c>
      <c r="AO53" s="73">
        <f t="shared" si="49"/>
        <v>17.500000000000004</v>
      </c>
      <c r="AQ53" s="20">
        <f t="shared" si="32"/>
        <v>71</v>
      </c>
      <c r="AR53" s="20">
        <f t="shared" si="50"/>
        <v>0</v>
      </c>
      <c r="AS53" s="18">
        <f t="shared" si="51"/>
        <v>17.500000000000004</v>
      </c>
      <c r="AT53" s="18">
        <f t="shared" si="52"/>
        <v>17.499999999999982</v>
      </c>
      <c r="AU53" s="73">
        <f t="shared" si="53"/>
        <v>17.500000000000004</v>
      </c>
      <c r="AV53" s="73">
        <f t="shared" si="54"/>
        <v>17.500000000000004</v>
      </c>
      <c r="AW53" s="18">
        <f t="shared" si="33"/>
        <v>17.500000000000004</v>
      </c>
      <c r="AX53" s="18">
        <f t="shared" si="34"/>
        <v>17.500000000000004</v>
      </c>
      <c r="AZ53" s="5">
        <f>Premie_leeftijd!J52</f>
        <v>9.5480695390682824E-3</v>
      </c>
      <c r="BA53" s="5"/>
      <c r="BB53" s="54">
        <v>46</v>
      </c>
      <c r="BC53" s="54">
        <f t="shared" si="55"/>
        <v>91</v>
      </c>
      <c r="BD53" s="54">
        <f t="shared" si="56"/>
        <v>91</v>
      </c>
      <c r="BE53" s="54" t="b">
        <f t="shared" si="62"/>
        <v>1</v>
      </c>
      <c r="BF53" s="54">
        <f t="shared" si="57"/>
        <v>17.500000000000004</v>
      </c>
      <c r="BG53" s="54">
        <f t="shared" si="58"/>
        <v>17.499999999999996</v>
      </c>
      <c r="BH53" s="54">
        <f t="shared" si="59"/>
        <v>25</v>
      </c>
      <c r="BI53" s="54">
        <f t="shared" si="60"/>
        <v>17.5</v>
      </c>
      <c r="BJ53" s="54">
        <f t="shared" si="61"/>
        <v>17.500000000000004</v>
      </c>
    </row>
    <row r="54" spans="1:62" x14ac:dyDescent="0.25">
      <c r="A54">
        <f>Grondslag!A49</f>
        <v>72</v>
      </c>
      <c r="C54" s="73">
        <f t="shared" si="37"/>
        <v>72</v>
      </c>
      <c r="L54"/>
      <c r="M54" s="18">
        <f t="shared" si="63"/>
        <v>0</v>
      </c>
      <c r="N54" s="18">
        <f t="shared" si="63"/>
        <v>0</v>
      </c>
      <c r="O54" s="18">
        <f>Settings!$I$3*Grondslag!J49</f>
        <v>0</v>
      </c>
      <c r="P54" s="18">
        <f>Settings!$I$7*MAX(Grondslag!J49 - x*voltijdfranchise/1000*(Premie_leeftijd!T53=0),0)</f>
        <v>0</v>
      </c>
      <c r="Q54" s="18">
        <f>Settings!$I$7*MAX(Grondslag!J49 - voltijdfranchise/1000*(Premie_leeftijd!T53=0),0)</f>
        <v>0</v>
      </c>
      <c r="R54" s="18">
        <f>Settings!$I$3*Grondslag!J49*(1-Premie_leeftijd!R53)</f>
        <v>0</v>
      </c>
      <c r="S54" s="73">
        <f t="shared" si="29"/>
        <v>0</v>
      </c>
      <c r="U54" s="20" cm="1">
        <f t="array" ref="U54">U53*(1+reele_index_opb)</f>
        <v>17.500000000000004</v>
      </c>
      <c r="V54" s="20" cm="1">
        <f t="array" ref="V54">V53*(1+reele_index_opb)</f>
        <v>17.499999999999982</v>
      </c>
      <c r="W54" s="39" cm="1">
        <f t="array" ref="W54">W53*(1+reele_index_opb)</f>
        <v>17.500000000000004</v>
      </c>
      <c r="X54" s="20" cm="1">
        <f t="array" ref="X54">X53*(1+reele_index_opb)</f>
        <v>17.500000000000004</v>
      </c>
      <c r="Y54" s="20" cm="1">
        <f t="array" ref="Y54">Y53*(1+reele_index_opb)</f>
        <v>17.500000000000004</v>
      </c>
      <c r="Z54" s="20"/>
      <c r="AA54" s="20">
        <f t="shared" si="30"/>
        <v>72</v>
      </c>
      <c r="AB54" s="41">
        <f t="shared" si="38"/>
        <v>17.500000000000004</v>
      </c>
      <c r="AC54" s="41">
        <f t="shared" si="39"/>
        <v>17.499999999999982</v>
      </c>
      <c r="AD54" s="20">
        <f t="shared" si="40"/>
        <v>17.500000000000004</v>
      </c>
      <c r="AE54" s="20">
        <f t="shared" si="41"/>
        <v>17.500000000000004</v>
      </c>
      <c r="AF54" s="20">
        <f t="shared" si="64"/>
        <v>17.500000000000004</v>
      </c>
      <c r="AG54" s="20">
        <f t="shared" si="42"/>
        <v>17.500000000000004</v>
      </c>
      <c r="AI54" s="73">
        <f t="shared" si="43"/>
        <v>0</v>
      </c>
      <c r="AJ54" s="73">
        <f t="shared" si="44"/>
        <v>17.500000000000004</v>
      </c>
      <c r="AK54" s="73">
        <f t="shared" si="45"/>
        <v>17.499999999999982</v>
      </c>
      <c r="AL54" s="73">
        <f t="shared" si="46"/>
        <v>17.500000000000004</v>
      </c>
      <c r="AM54" s="73">
        <f t="shared" si="47"/>
        <v>17.500000000000004</v>
      </c>
      <c r="AN54" s="73">
        <f t="shared" si="48"/>
        <v>17.500000000000004</v>
      </c>
      <c r="AO54" s="73">
        <f t="shared" si="49"/>
        <v>17.500000000000004</v>
      </c>
      <c r="AQ54" s="20">
        <f t="shared" si="32"/>
        <v>72</v>
      </c>
      <c r="AR54" s="20">
        <f t="shared" si="50"/>
        <v>0</v>
      </c>
      <c r="AS54" s="18">
        <f t="shared" si="51"/>
        <v>17.500000000000004</v>
      </c>
      <c r="AT54" s="18">
        <f t="shared" si="52"/>
        <v>17.499999999999982</v>
      </c>
      <c r="AU54" s="73">
        <f t="shared" si="53"/>
        <v>17.500000000000004</v>
      </c>
      <c r="AV54" s="73">
        <f t="shared" si="54"/>
        <v>17.500000000000004</v>
      </c>
      <c r="AW54" s="18">
        <f t="shared" si="33"/>
        <v>17.500000000000004</v>
      </c>
      <c r="AX54" s="18">
        <f t="shared" si="34"/>
        <v>17.500000000000004</v>
      </c>
      <c r="AZ54" s="5">
        <f>Premie_leeftijd!J53</f>
        <v>1.0324757651126837E-2</v>
      </c>
      <c r="BA54" s="5"/>
      <c r="BB54" s="54">
        <v>47</v>
      </c>
      <c r="BC54" s="54">
        <f t="shared" si="55"/>
        <v>92</v>
      </c>
      <c r="BD54" s="54">
        <f t="shared" si="56"/>
        <v>92</v>
      </c>
      <c r="BE54" s="54" t="b">
        <f t="shared" si="62"/>
        <v>1</v>
      </c>
      <c r="BF54" s="54">
        <f t="shared" si="57"/>
        <v>17.500000000000004</v>
      </c>
      <c r="BG54" s="54">
        <f t="shared" si="58"/>
        <v>17.499999999999996</v>
      </c>
      <c r="BH54" s="54">
        <f t="shared" si="59"/>
        <v>25</v>
      </c>
      <c r="BI54" s="54">
        <f t="shared" si="60"/>
        <v>17.5</v>
      </c>
      <c r="BJ54" s="54">
        <f t="shared" si="61"/>
        <v>17.500000000000004</v>
      </c>
    </row>
    <row r="55" spans="1:62" x14ac:dyDescent="0.25">
      <c r="A55">
        <f>Grondslag!A50</f>
        <v>73</v>
      </c>
      <c r="C55" s="73">
        <f t="shared" si="37"/>
        <v>73</v>
      </c>
      <c r="L55"/>
      <c r="M55" s="18">
        <f t="shared" si="63"/>
        <v>0</v>
      </c>
      <c r="N55" s="18">
        <f t="shared" si="63"/>
        <v>0</v>
      </c>
      <c r="O55" s="18">
        <f>Settings!$I$3*Grondslag!J50</f>
        <v>0</v>
      </c>
      <c r="P55" s="18">
        <f>Settings!$I$7*MAX(Grondslag!J50 - x*voltijdfranchise/1000*(Premie_leeftijd!T54=0),0)</f>
        <v>0</v>
      </c>
      <c r="Q55" s="18">
        <f>Settings!$I$7*MAX(Grondslag!J50 - voltijdfranchise/1000*(Premie_leeftijd!T54=0),0)</f>
        <v>0</v>
      </c>
      <c r="R55" s="18">
        <f>Settings!$I$3*Grondslag!J50*(1-Premie_leeftijd!R54)</f>
        <v>0</v>
      </c>
      <c r="S55" s="73">
        <f t="shared" si="29"/>
        <v>0</v>
      </c>
      <c r="U55" s="20" cm="1">
        <f t="array" ref="U55">U54*(1+reele_index_opb)</f>
        <v>17.500000000000004</v>
      </c>
      <c r="V55" s="20" cm="1">
        <f t="array" ref="V55">V54*(1+reele_index_opb)</f>
        <v>17.499999999999982</v>
      </c>
      <c r="W55" s="39" cm="1">
        <f t="array" ref="W55">W54*(1+reele_index_opb)</f>
        <v>17.500000000000004</v>
      </c>
      <c r="X55" s="20" cm="1">
        <f t="array" ref="X55">X54*(1+reele_index_opb)</f>
        <v>17.500000000000004</v>
      </c>
      <c r="Y55" s="20" cm="1">
        <f t="array" ref="Y55">Y54*(1+reele_index_opb)</f>
        <v>17.500000000000004</v>
      </c>
      <c r="Z55" s="20"/>
      <c r="AA55" s="20">
        <f t="shared" si="30"/>
        <v>73</v>
      </c>
      <c r="AB55" s="41">
        <f t="shared" si="38"/>
        <v>17.500000000000004</v>
      </c>
      <c r="AC55" s="41">
        <f t="shared" si="39"/>
        <v>17.499999999999982</v>
      </c>
      <c r="AD55" s="20">
        <f t="shared" si="40"/>
        <v>17.500000000000004</v>
      </c>
      <c r="AE55" s="20">
        <f t="shared" si="41"/>
        <v>17.500000000000004</v>
      </c>
      <c r="AF55" s="20">
        <f t="shared" si="64"/>
        <v>17.500000000000004</v>
      </c>
      <c r="AG55" s="20">
        <f t="shared" si="42"/>
        <v>17.500000000000004</v>
      </c>
      <c r="AI55" s="73">
        <f t="shared" si="43"/>
        <v>0</v>
      </c>
      <c r="AJ55" s="73">
        <f t="shared" si="44"/>
        <v>17.500000000000004</v>
      </c>
      <c r="AK55" s="73">
        <f t="shared" si="45"/>
        <v>17.499999999999982</v>
      </c>
      <c r="AL55" s="73">
        <f t="shared" si="46"/>
        <v>17.500000000000004</v>
      </c>
      <c r="AM55" s="73">
        <f t="shared" si="47"/>
        <v>17.500000000000004</v>
      </c>
      <c r="AN55" s="73">
        <f t="shared" si="48"/>
        <v>17.500000000000004</v>
      </c>
      <c r="AO55" s="73">
        <f t="shared" si="49"/>
        <v>17.500000000000004</v>
      </c>
      <c r="AQ55" s="20">
        <f t="shared" si="32"/>
        <v>73</v>
      </c>
      <c r="AR55" s="20">
        <f t="shared" si="50"/>
        <v>0</v>
      </c>
      <c r="AS55" s="18">
        <f t="shared" si="51"/>
        <v>17.500000000000004</v>
      </c>
      <c r="AT55" s="18">
        <f t="shared" si="52"/>
        <v>17.499999999999982</v>
      </c>
      <c r="AU55" s="73">
        <f t="shared" si="53"/>
        <v>17.500000000000004</v>
      </c>
      <c r="AV55" s="73">
        <f t="shared" si="54"/>
        <v>17.500000000000004</v>
      </c>
      <c r="AW55" s="18">
        <f t="shared" si="33"/>
        <v>17.500000000000004</v>
      </c>
      <c r="AX55" s="18">
        <f t="shared" si="34"/>
        <v>17.500000000000004</v>
      </c>
      <c r="AZ55" s="5">
        <f>Premie_leeftijd!J54</f>
        <v>1.1035216000229386E-2</v>
      </c>
      <c r="BA55" s="5"/>
      <c r="BB55" s="54">
        <v>48</v>
      </c>
      <c r="BC55" s="54">
        <f t="shared" si="55"/>
        <v>93</v>
      </c>
      <c r="BD55" s="54">
        <f t="shared" si="56"/>
        <v>93</v>
      </c>
      <c r="BE55" s="54" t="b">
        <f t="shared" si="62"/>
        <v>1</v>
      </c>
      <c r="BF55" s="54">
        <f t="shared" si="57"/>
        <v>17.500000000000004</v>
      </c>
      <c r="BG55" s="54">
        <f t="shared" si="58"/>
        <v>17.499999999999996</v>
      </c>
      <c r="BH55" s="54">
        <f t="shared" si="59"/>
        <v>25</v>
      </c>
      <c r="BI55" s="54">
        <f t="shared" si="60"/>
        <v>17.5</v>
      </c>
      <c r="BJ55" s="54">
        <f t="shared" si="61"/>
        <v>17.500000000000004</v>
      </c>
    </row>
    <row r="56" spans="1:62" x14ac:dyDescent="0.25">
      <c r="A56">
        <f>Grondslag!A51</f>
        <v>74</v>
      </c>
      <c r="C56" s="73">
        <f t="shared" si="37"/>
        <v>74</v>
      </c>
      <c r="L56"/>
      <c r="M56" s="18">
        <f t="shared" si="63"/>
        <v>0</v>
      </c>
      <c r="N56" s="18">
        <f t="shared" si="63"/>
        <v>0</v>
      </c>
      <c r="O56" s="18">
        <f>Settings!$I$3*Grondslag!J51</f>
        <v>0</v>
      </c>
      <c r="P56" s="18">
        <f>Settings!$I$7*MAX(Grondslag!J51 - x*voltijdfranchise/1000*(Premie_leeftijd!T55=0),0)</f>
        <v>0</v>
      </c>
      <c r="Q56" s="18">
        <f>Settings!$I$7*MAX(Grondslag!J51 - voltijdfranchise/1000*(Premie_leeftijd!T55=0),0)</f>
        <v>0</v>
      </c>
      <c r="R56" s="18">
        <f>Settings!$I$3*Grondslag!J51*(1-Premie_leeftijd!R55)</f>
        <v>0</v>
      </c>
      <c r="S56" s="73">
        <f t="shared" si="29"/>
        <v>0</v>
      </c>
      <c r="U56" s="20" cm="1">
        <f t="array" ref="U56">U55*(1+reele_index_opb)</f>
        <v>17.500000000000004</v>
      </c>
      <c r="V56" s="20" cm="1">
        <f t="array" ref="V56">V55*(1+reele_index_opb)</f>
        <v>17.499999999999982</v>
      </c>
      <c r="W56" s="39" cm="1">
        <f t="array" ref="W56">W55*(1+reele_index_opb)</f>
        <v>17.500000000000004</v>
      </c>
      <c r="X56" s="20" cm="1">
        <f t="array" ref="X56">X55*(1+reele_index_opb)</f>
        <v>17.500000000000004</v>
      </c>
      <c r="Y56" s="20" cm="1">
        <f t="array" ref="Y56">Y55*(1+reele_index_opb)</f>
        <v>17.500000000000004</v>
      </c>
      <c r="Z56" s="20"/>
      <c r="AA56" s="20">
        <f t="shared" si="30"/>
        <v>74</v>
      </c>
      <c r="AB56" s="41">
        <f t="shared" si="38"/>
        <v>17.500000000000004</v>
      </c>
      <c r="AC56" s="41">
        <f t="shared" si="39"/>
        <v>17.499999999999982</v>
      </c>
      <c r="AD56" s="20">
        <f t="shared" si="40"/>
        <v>17.500000000000004</v>
      </c>
      <c r="AE56" s="20">
        <f t="shared" si="41"/>
        <v>17.500000000000004</v>
      </c>
      <c r="AF56" s="20">
        <f t="shared" si="64"/>
        <v>17.500000000000004</v>
      </c>
      <c r="AG56" s="20">
        <f t="shared" si="42"/>
        <v>17.500000000000004</v>
      </c>
      <c r="AI56" s="73">
        <f t="shared" si="43"/>
        <v>0</v>
      </c>
      <c r="AJ56" s="73">
        <f t="shared" si="44"/>
        <v>17.500000000000004</v>
      </c>
      <c r="AK56" s="73">
        <f t="shared" si="45"/>
        <v>17.499999999999982</v>
      </c>
      <c r="AL56" s="73">
        <f t="shared" si="46"/>
        <v>17.500000000000004</v>
      </c>
      <c r="AM56" s="73">
        <f t="shared" si="47"/>
        <v>17.500000000000004</v>
      </c>
      <c r="AN56" s="73">
        <f t="shared" si="48"/>
        <v>17.500000000000004</v>
      </c>
      <c r="AO56" s="73">
        <f t="shared" si="49"/>
        <v>17.500000000000004</v>
      </c>
      <c r="AQ56" s="20">
        <f t="shared" si="32"/>
        <v>74</v>
      </c>
      <c r="AR56" s="20">
        <f t="shared" si="50"/>
        <v>0</v>
      </c>
      <c r="AS56" s="18">
        <f t="shared" si="51"/>
        <v>17.500000000000004</v>
      </c>
      <c r="AT56" s="18">
        <f t="shared" si="52"/>
        <v>17.499999999999982</v>
      </c>
      <c r="AU56" s="73">
        <f t="shared" si="53"/>
        <v>17.500000000000004</v>
      </c>
      <c r="AV56" s="73">
        <f t="shared" si="54"/>
        <v>17.500000000000004</v>
      </c>
      <c r="AW56" s="18">
        <f t="shared" si="33"/>
        <v>17.500000000000004</v>
      </c>
      <c r="AX56" s="18">
        <f t="shared" si="34"/>
        <v>17.500000000000004</v>
      </c>
      <c r="AZ56" s="5">
        <f>Premie_leeftijd!J55</f>
        <v>1.1896309910591096E-2</v>
      </c>
      <c r="BA56" s="5"/>
      <c r="BB56" s="54">
        <v>49</v>
      </c>
      <c r="BC56" s="54">
        <f t="shared" si="55"/>
        <v>94</v>
      </c>
      <c r="BD56" s="54">
        <f t="shared" si="56"/>
        <v>94</v>
      </c>
      <c r="BE56" s="54" t="b">
        <f t="shared" si="62"/>
        <v>1</v>
      </c>
      <c r="BF56" s="54">
        <f t="shared" si="57"/>
        <v>17.500000000000004</v>
      </c>
      <c r="BG56" s="54">
        <f t="shared" si="58"/>
        <v>17.499999999999996</v>
      </c>
      <c r="BH56" s="54">
        <f t="shared" si="59"/>
        <v>25</v>
      </c>
      <c r="BI56" s="54">
        <f t="shared" si="60"/>
        <v>17.5</v>
      </c>
      <c r="BJ56" s="54">
        <f t="shared" si="61"/>
        <v>17.500000000000004</v>
      </c>
    </row>
    <row r="57" spans="1:62" x14ac:dyDescent="0.25">
      <c r="A57">
        <f>Grondslag!A52</f>
        <v>75</v>
      </c>
      <c r="C57" s="73">
        <f t="shared" si="37"/>
        <v>75</v>
      </c>
      <c r="L57"/>
      <c r="M57" s="18">
        <f t="shared" si="63"/>
        <v>0</v>
      </c>
      <c r="N57" s="18">
        <f t="shared" si="63"/>
        <v>0</v>
      </c>
      <c r="O57" s="18">
        <f>Settings!$I$3*Grondslag!J52</f>
        <v>0</v>
      </c>
      <c r="P57" s="18">
        <f>Settings!$I$7*MAX(Grondslag!J52 - x*voltijdfranchise/1000*(Premie_leeftijd!T56=0),0)</f>
        <v>0</v>
      </c>
      <c r="Q57" s="18">
        <f>Settings!$I$7*MAX(Grondslag!J52 - voltijdfranchise/1000*(Premie_leeftijd!T56=0),0)</f>
        <v>0</v>
      </c>
      <c r="R57" s="18">
        <f>Settings!$I$3*Grondslag!J52*(1-Premie_leeftijd!R56)</f>
        <v>0</v>
      </c>
      <c r="S57" s="73">
        <f t="shared" si="29"/>
        <v>0</v>
      </c>
      <c r="U57" s="20" cm="1">
        <f t="array" ref="U57">U56*(1+reele_index_opb)</f>
        <v>17.500000000000004</v>
      </c>
      <c r="V57" s="20" cm="1">
        <f t="array" ref="V57">V56*(1+reele_index_opb)</f>
        <v>17.499999999999982</v>
      </c>
      <c r="W57" s="39" cm="1">
        <f t="array" ref="W57">W56*(1+reele_index_opb)</f>
        <v>17.500000000000004</v>
      </c>
      <c r="X57" s="20" cm="1">
        <f t="array" ref="X57">X56*(1+reele_index_opb)</f>
        <v>17.500000000000004</v>
      </c>
      <c r="Y57" s="20" cm="1">
        <f t="array" ref="Y57">Y56*(1+reele_index_opb)</f>
        <v>17.500000000000004</v>
      </c>
      <c r="Z57" s="20"/>
      <c r="AA57" s="20">
        <f t="shared" si="30"/>
        <v>75</v>
      </c>
      <c r="AB57" s="41">
        <f t="shared" si="38"/>
        <v>17.500000000000004</v>
      </c>
      <c r="AC57" s="41">
        <f t="shared" si="39"/>
        <v>17.499999999999982</v>
      </c>
      <c r="AD57" s="20">
        <f t="shared" si="40"/>
        <v>17.500000000000004</v>
      </c>
      <c r="AE57" s="20">
        <f t="shared" si="41"/>
        <v>17.500000000000004</v>
      </c>
      <c r="AF57" s="20">
        <f t="shared" si="64"/>
        <v>17.500000000000004</v>
      </c>
      <c r="AG57" s="20">
        <f t="shared" si="42"/>
        <v>17.500000000000004</v>
      </c>
      <c r="AI57" s="73">
        <f t="shared" si="43"/>
        <v>0</v>
      </c>
      <c r="AJ57" s="73">
        <f t="shared" si="44"/>
        <v>17.500000000000004</v>
      </c>
      <c r="AK57" s="73">
        <f t="shared" si="45"/>
        <v>17.499999999999982</v>
      </c>
      <c r="AL57" s="73">
        <f t="shared" si="46"/>
        <v>17.500000000000004</v>
      </c>
      <c r="AM57" s="73">
        <f t="shared" si="47"/>
        <v>17.500000000000004</v>
      </c>
      <c r="AN57" s="73">
        <f t="shared" si="48"/>
        <v>17.500000000000004</v>
      </c>
      <c r="AO57" s="73">
        <f t="shared" si="49"/>
        <v>17.500000000000004</v>
      </c>
      <c r="AQ57" s="20">
        <f t="shared" si="32"/>
        <v>75</v>
      </c>
      <c r="AR57" s="20">
        <f t="shared" si="50"/>
        <v>0</v>
      </c>
      <c r="AS57" s="18">
        <f t="shared" si="51"/>
        <v>17.500000000000004</v>
      </c>
      <c r="AT57" s="18">
        <f t="shared" si="52"/>
        <v>17.499999999999982</v>
      </c>
      <c r="AU57" s="73">
        <f t="shared" si="53"/>
        <v>17.500000000000004</v>
      </c>
      <c r="AV57" s="73">
        <f t="shared" si="54"/>
        <v>17.500000000000004</v>
      </c>
      <c r="AW57" s="18">
        <f t="shared" si="33"/>
        <v>17.500000000000004</v>
      </c>
      <c r="AX57" s="18">
        <f t="shared" si="34"/>
        <v>17.500000000000004</v>
      </c>
      <c r="AZ57" s="5">
        <f>Premie_leeftijd!J56</f>
        <v>1.2802909292977782E-2</v>
      </c>
      <c r="BA57" s="5"/>
      <c r="BB57" s="54">
        <v>50</v>
      </c>
      <c r="BC57" s="54">
        <f t="shared" si="55"/>
        <v>95</v>
      </c>
      <c r="BD57" s="54">
        <f t="shared" si="56"/>
        <v>95</v>
      </c>
      <c r="BE57" s="54" t="b">
        <f t="shared" si="62"/>
        <v>1</v>
      </c>
      <c r="BF57" s="54">
        <f t="shared" si="57"/>
        <v>17.500000000000004</v>
      </c>
      <c r="BG57" s="54">
        <f t="shared" si="58"/>
        <v>17.499999999999996</v>
      </c>
      <c r="BH57" s="54">
        <f t="shared" si="59"/>
        <v>25</v>
      </c>
      <c r="BI57" s="54">
        <f t="shared" si="60"/>
        <v>17.5</v>
      </c>
      <c r="BJ57" s="54">
        <f t="shared" si="61"/>
        <v>17.500000000000004</v>
      </c>
    </row>
    <row r="58" spans="1:62" x14ac:dyDescent="0.25">
      <c r="A58" s="73">
        <f>Grondslag!A53</f>
        <v>76</v>
      </c>
      <c r="C58" s="73">
        <f t="shared" si="37"/>
        <v>76</v>
      </c>
      <c r="L58"/>
      <c r="M58" s="18">
        <f t="shared" si="63"/>
        <v>0</v>
      </c>
      <c r="N58" s="18">
        <f t="shared" si="63"/>
        <v>0</v>
      </c>
      <c r="O58" s="18">
        <f>Settings!$I$3*Grondslag!J53</f>
        <v>0</v>
      </c>
      <c r="P58" s="18">
        <f>Settings!$I$7*MAX(Grondslag!J53 - x*voltijdfranchise/1000*(Premie_leeftijd!T57=0),0)</f>
        <v>0</v>
      </c>
      <c r="Q58" s="18">
        <f>Settings!$I$7*MAX(Grondslag!J53 - voltijdfranchise/1000*(Premie_leeftijd!T57=0),0)</f>
        <v>0</v>
      </c>
      <c r="R58" s="18">
        <f>Settings!$I$3*Grondslag!J53*(1-Premie_leeftijd!R57)</f>
        <v>0</v>
      </c>
      <c r="S58" s="73">
        <f t="shared" si="29"/>
        <v>0</v>
      </c>
      <c r="U58" s="20" cm="1">
        <f t="array" ref="U58">U57*(1+reele_index_opb)</f>
        <v>17.500000000000004</v>
      </c>
      <c r="V58" s="20" cm="1">
        <f t="array" ref="V58">V57*(1+reele_index_opb)</f>
        <v>17.499999999999982</v>
      </c>
      <c r="W58" s="39" cm="1">
        <f t="array" ref="W58">W57*(1+reele_index_opb)</f>
        <v>17.500000000000004</v>
      </c>
      <c r="X58" s="20" cm="1">
        <f t="array" ref="X58">X57*(1+reele_index_opb)</f>
        <v>17.500000000000004</v>
      </c>
      <c r="Y58" s="20" cm="1">
        <f t="array" ref="Y58">Y57*(1+reele_index_opb)</f>
        <v>17.500000000000004</v>
      </c>
      <c r="Z58" s="20"/>
      <c r="AA58" s="20">
        <f t="shared" si="30"/>
        <v>76</v>
      </c>
      <c r="AB58" s="41">
        <f t="shared" si="38"/>
        <v>17.500000000000004</v>
      </c>
      <c r="AC58" s="41">
        <f t="shared" si="39"/>
        <v>17.499999999999982</v>
      </c>
      <c r="AD58" s="20">
        <f t="shared" si="40"/>
        <v>17.500000000000004</v>
      </c>
      <c r="AE58" s="20">
        <f t="shared" si="41"/>
        <v>17.500000000000004</v>
      </c>
      <c r="AF58" s="20">
        <f t="shared" si="64"/>
        <v>17.500000000000004</v>
      </c>
      <c r="AG58" s="20">
        <f t="shared" si="42"/>
        <v>17.500000000000004</v>
      </c>
      <c r="AI58" s="73">
        <f t="shared" si="43"/>
        <v>0</v>
      </c>
      <c r="AJ58" s="73">
        <f t="shared" si="44"/>
        <v>17.500000000000004</v>
      </c>
      <c r="AK58" s="73">
        <f t="shared" si="45"/>
        <v>17.499999999999982</v>
      </c>
      <c r="AL58" s="73">
        <f t="shared" si="46"/>
        <v>17.500000000000004</v>
      </c>
      <c r="AM58" s="73">
        <f t="shared" si="47"/>
        <v>17.500000000000004</v>
      </c>
      <c r="AN58" s="73">
        <f t="shared" si="48"/>
        <v>17.500000000000004</v>
      </c>
      <c r="AO58" s="73">
        <f t="shared" si="49"/>
        <v>17.500000000000004</v>
      </c>
      <c r="AQ58" s="20">
        <f t="shared" si="32"/>
        <v>76</v>
      </c>
      <c r="AR58" s="20">
        <f t="shared" si="50"/>
        <v>0</v>
      </c>
      <c r="AS58" s="18">
        <f t="shared" si="51"/>
        <v>17.500000000000004</v>
      </c>
      <c r="AT58" s="18">
        <f t="shared" si="52"/>
        <v>17.499999999999982</v>
      </c>
      <c r="AU58" s="73">
        <f t="shared" si="53"/>
        <v>17.500000000000004</v>
      </c>
      <c r="AV58" s="73">
        <f t="shared" si="54"/>
        <v>17.500000000000004</v>
      </c>
      <c r="AW58" s="18">
        <f t="shared" si="33"/>
        <v>17.500000000000004</v>
      </c>
      <c r="AX58" s="18">
        <f t="shared" si="34"/>
        <v>17.500000000000004</v>
      </c>
      <c r="AZ58" s="5">
        <f>Premie_leeftijd!J57</f>
        <v>1.3858569917281516E-2</v>
      </c>
      <c r="BA58" s="5"/>
      <c r="BB58" s="54">
        <v>51</v>
      </c>
      <c r="BC58" s="54">
        <f t="shared" si="55"/>
        <v>96</v>
      </c>
      <c r="BD58" s="54">
        <f t="shared" si="56"/>
        <v>96</v>
      </c>
      <c r="BE58" s="54" t="b">
        <f t="shared" si="62"/>
        <v>1</v>
      </c>
      <c r="BF58" s="54">
        <f t="shared" si="57"/>
        <v>17.500000000000004</v>
      </c>
      <c r="BG58" s="54">
        <f t="shared" si="58"/>
        <v>17.499999999999996</v>
      </c>
      <c r="BH58" s="54">
        <f t="shared" si="59"/>
        <v>25</v>
      </c>
      <c r="BI58" s="54">
        <f t="shared" si="60"/>
        <v>17.5</v>
      </c>
      <c r="BJ58" s="54">
        <f t="shared" si="61"/>
        <v>17.500000000000004</v>
      </c>
    </row>
    <row r="59" spans="1:62" x14ac:dyDescent="0.25">
      <c r="A59" s="73">
        <f>Grondslag!A54</f>
        <v>77</v>
      </c>
      <c r="C59" s="73">
        <f t="shared" si="37"/>
        <v>77</v>
      </c>
      <c r="L59"/>
      <c r="M59" s="18">
        <f t="shared" si="63"/>
        <v>0</v>
      </c>
      <c r="N59" s="18">
        <f t="shared" si="63"/>
        <v>0</v>
      </c>
      <c r="O59" s="18">
        <f>Settings!$I$3*Grondslag!J54</f>
        <v>0</v>
      </c>
      <c r="P59" s="18">
        <f>Settings!$I$7*MAX(Grondslag!J54 - x*voltijdfranchise/1000*(Premie_leeftijd!T58=0),0)</f>
        <v>0</v>
      </c>
      <c r="Q59" s="18">
        <f>Settings!$I$7*MAX(Grondslag!J54 - voltijdfranchise/1000*(Premie_leeftijd!T58=0),0)</f>
        <v>0</v>
      </c>
      <c r="R59" s="18">
        <f>Settings!$I$3*Grondslag!J54*(1-Premie_leeftijd!R58)</f>
        <v>0</v>
      </c>
      <c r="S59" s="73">
        <f t="shared" si="29"/>
        <v>0</v>
      </c>
      <c r="U59" s="20" cm="1">
        <f t="array" ref="U59">U58*(1+reele_index_opb)</f>
        <v>17.500000000000004</v>
      </c>
      <c r="V59" s="20" cm="1">
        <f t="array" ref="V59">V58*(1+reele_index_opb)</f>
        <v>17.499999999999982</v>
      </c>
      <c r="W59" s="39" cm="1">
        <f t="array" ref="W59">W58*(1+reele_index_opb)</f>
        <v>17.500000000000004</v>
      </c>
      <c r="X59" s="20" cm="1">
        <f t="array" ref="X59">X58*(1+reele_index_opb)</f>
        <v>17.500000000000004</v>
      </c>
      <c r="Y59" s="20" cm="1">
        <f t="array" ref="Y59">Y58*(1+reele_index_opb)</f>
        <v>17.500000000000004</v>
      </c>
      <c r="Z59" s="20"/>
      <c r="AA59" s="20">
        <f t="shared" si="30"/>
        <v>77</v>
      </c>
      <c r="AB59" s="41">
        <f t="shared" si="38"/>
        <v>17.500000000000004</v>
      </c>
      <c r="AC59" s="41">
        <f t="shared" si="39"/>
        <v>17.499999999999982</v>
      </c>
      <c r="AD59" s="20">
        <f t="shared" si="40"/>
        <v>17.500000000000004</v>
      </c>
      <c r="AE59" s="20">
        <f t="shared" si="41"/>
        <v>17.500000000000004</v>
      </c>
      <c r="AF59" s="20">
        <f t="shared" si="64"/>
        <v>17.500000000000004</v>
      </c>
      <c r="AG59" s="20">
        <f t="shared" si="42"/>
        <v>17.500000000000004</v>
      </c>
      <c r="AI59" s="73">
        <f t="shared" si="43"/>
        <v>0</v>
      </c>
      <c r="AJ59" s="73">
        <f t="shared" si="44"/>
        <v>17.500000000000004</v>
      </c>
      <c r="AK59" s="73">
        <f t="shared" si="45"/>
        <v>17.499999999999982</v>
      </c>
      <c r="AL59" s="73">
        <f t="shared" si="46"/>
        <v>17.500000000000004</v>
      </c>
      <c r="AM59" s="73">
        <f t="shared" si="47"/>
        <v>17.500000000000004</v>
      </c>
      <c r="AN59" s="73">
        <f t="shared" si="48"/>
        <v>17.500000000000004</v>
      </c>
      <c r="AO59" s="73">
        <f t="shared" si="49"/>
        <v>17.500000000000004</v>
      </c>
      <c r="AQ59" s="20">
        <f t="shared" si="32"/>
        <v>77</v>
      </c>
      <c r="AR59" s="20">
        <f t="shared" si="50"/>
        <v>0</v>
      </c>
      <c r="AS59" s="18">
        <f t="shared" si="51"/>
        <v>17.500000000000004</v>
      </c>
      <c r="AT59" s="18">
        <f t="shared" si="52"/>
        <v>17.499999999999982</v>
      </c>
      <c r="AU59" s="73">
        <f t="shared" si="53"/>
        <v>17.500000000000004</v>
      </c>
      <c r="AV59" s="73">
        <f t="shared" si="54"/>
        <v>17.500000000000004</v>
      </c>
      <c r="AW59" s="18">
        <f t="shared" si="33"/>
        <v>17.500000000000004</v>
      </c>
      <c r="AX59" s="18">
        <f t="shared" si="34"/>
        <v>17.500000000000004</v>
      </c>
      <c r="AZ59" s="5">
        <f>Premie_leeftijd!J58</f>
        <v>1.5109499446698149E-2</v>
      </c>
      <c r="BA59" s="5"/>
      <c r="BB59" s="54">
        <v>52</v>
      </c>
      <c r="BC59" s="54">
        <f t="shared" si="55"/>
        <v>97</v>
      </c>
      <c r="BD59" s="54">
        <f t="shared" si="56"/>
        <v>97</v>
      </c>
      <c r="BE59" s="54" t="b">
        <f t="shared" si="62"/>
        <v>1</v>
      </c>
      <c r="BF59" s="54">
        <f t="shared" si="57"/>
        <v>17.500000000000004</v>
      </c>
      <c r="BG59" s="54">
        <f t="shared" si="58"/>
        <v>17.499999999999996</v>
      </c>
      <c r="BH59" s="54">
        <f t="shared" si="59"/>
        <v>25</v>
      </c>
      <c r="BI59" s="54">
        <f t="shared" si="60"/>
        <v>17.5</v>
      </c>
      <c r="BJ59" s="54">
        <f t="shared" si="61"/>
        <v>17.500000000000004</v>
      </c>
    </row>
    <row r="60" spans="1:62" x14ac:dyDescent="0.25">
      <c r="A60" s="73">
        <f>Grondslag!A55</f>
        <v>78</v>
      </c>
      <c r="C60" s="73">
        <f t="shared" si="37"/>
        <v>78</v>
      </c>
      <c r="L60"/>
      <c r="M60" s="18">
        <f t="shared" si="63"/>
        <v>0</v>
      </c>
      <c r="N60" s="18">
        <f t="shared" si="63"/>
        <v>0</v>
      </c>
      <c r="O60" s="18">
        <f>Settings!$I$3*Grondslag!J55</f>
        <v>0</v>
      </c>
      <c r="P60" s="18">
        <f>Settings!$I$7*MAX(Grondslag!J55 - x*voltijdfranchise/1000*(Premie_leeftijd!T59=0),0)</f>
        <v>0</v>
      </c>
      <c r="Q60" s="18">
        <f>Settings!$I$7*MAX(Grondslag!J55 - voltijdfranchise/1000*(Premie_leeftijd!T59=0),0)</f>
        <v>0</v>
      </c>
      <c r="R60" s="18">
        <f>Settings!$I$3*Grondslag!J55*(1-Premie_leeftijd!R59)</f>
        <v>0</v>
      </c>
      <c r="S60" s="73">
        <f t="shared" si="29"/>
        <v>0</v>
      </c>
      <c r="U60" s="20" cm="1">
        <f t="array" ref="U60">U59*(1+reele_index_opb)</f>
        <v>17.500000000000004</v>
      </c>
      <c r="V60" s="20" cm="1">
        <f t="array" ref="V60">V59*(1+reele_index_opb)</f>
        <v>17.499999999999982</v>
      </c>
      <c r="W60" s="39" cm="1">
        <f t="array" ref="W60">W59*(1+reele_index_opb)</f>
        <v>17.500000000000004</v>
      </c>
      <c r="X60" s="20" cm="1">
        <f t="array" ref="X60">X59*(1+reele_index_opb)</f>
        <v>17.500000000000004</v>
      </c>
      <c r="Y60" s="20" cm="1">
        <f t="array" ref="Y60">Y59*(1+reele_index_opb)</f>
        <v>17.500000000000004</v>
      </c>
      <c r="Z60" s="20"/>
      <c r="AA60" s="20">
        <f t="shared" si="30"/>
        <v>78</v>
      </c>
      <c r="AB60" s="41">
        <f t="shared" si="38"/>
        <v>17.500000000000004</v>
      </c>
      <c r="AC60" s="41">
        <f t="shared" si="39"/>
        <v>17.499999999999982</v>
      </c>
      <c r="AD60" s="20">
        <f t="shared" si="40"/>
        <v>17.500000000000004</v>
      </c>
      <c r="AE60" s="20">
        <f t="shared" si="41"/>
        <v>17.500000000000004</v>
      </c>
      <c r="AF60" s="20">
        <f t="shared" si="64"/>
        <v>17.500000000000004</v>
      </c>
      <c r="AG60" s="20">
        <f t="shared" si="42"/>
        <v>17.500000000000004</v>
      </c>
      <c r="AI60" s="73">
        <f t="shared" si="43"/>
        <v>0</v>
      </c>
      <c r="AJ60" s="73">
        <f t="shared" si="44"/>
        <v>17.500000000000004</v>
      </c>
      <c r="AK60" s="73">
        <f t="shared" si="45"/>
        <v>17.499999999999982</v>
      </c>
      <c r="AL60" s="73">
        <f t="shared" si="46"/>
        <v>17.500000000000004</v>
      </c>
      <c r="AM60" s="73">
        <f t="shared" si="47"/>
        <v>17.500000000000004</v>
      </c>
      <c r="AN60" s="73">
        <f t="shared" si="48"/>
        <v>17.500000000000004</v>
      </c>
      <c r="AO60" s="73">
        <f t="shared" si="49"/>
        <v>17.500000000000004</v>
      </c>
      <c r="AQ60" s="20">
        <f t="shared" si="32"/>
        <v>78</v>
      </c>
      <c r="AR60" s="20">
        <f t="shared" si="50"/>
        <v>0</v>
      </c>
      <c r="AS60" s="18">
        <f t="shared" si="51"/>
        <v>17.500000000000004</v>
      </c>
      <c r="AT60" s="18">
        <f t="shared" si="52"/>
        <v>17.499999999999982</v>
      </c>
      <c r="AU60" s="73">
        <f t="shared" si="53"/>
        <v>17.500000000000004</v>
      </c>
      <c r="AV60" s="73">
        <f t="shared" si="54"/>
        <v>17.500000000000004</v>
      </c>
      <c r="AW60" s="18">
        <f t="shared" si="33"/>
        <v>17.500000000000004</v>
      </c>
      <c r="AX60" s="18">
        <f t="shared" si="34"/>
        <v>17.500000000000004</v>
      </c>
      <c r="AZ60" s="5">
        <f>Premie_leeftijd!J59</f>
        <v>1.6466651693575418E-2</v>
      </c>
      <c r="BA60" s="5"/>
      <c r="BB60" s="54">
        <v>53</v>
      </c>
      <c r="BC60" s="54">
        <f t="shared" si="55"/>
        <v>98</v>
      </c>
      <c r="BD60" s="54">
        <f t="shared" si="56"/>
        <v>98</v>
      </c>
      <c r="BE60" s="54" t="b">
        <f t="shared" si="62"/>
        <v>1</v>
      </c>
      <c r="BF60" s="54">
        <f t="shared" si="57"/>
        <v>17.500000000000004</v>
      </c>
      <c r="BG60" s="54">
        <f t="shared" si="58"/>
        <v>17.499999999999996</v>
      </c>
      <c r="BH60" s="54">
        <f t="shared" si="59"/>
        <v>25</v>
      </c>
      <c r="BI60" s="54">
        <f t="shared" si="60"/>
        <v>17.5</v>
      </c>
      <c r="BJ60" s="54">
        <f t="shared" si="61"/>
        <v>17.500000000000004</v>
      </c>
    </row>
    <row r="61" spans="1:62" x14ac:dyDescent="0.25">
      <c r="A61" s="73">
        <f>Grondslag!A56</f>
        <v>79</v>
      </c>
      <c r="C61" s="73">
        <f t="shared" si="37"/>
        <v>79</v>
      </c>
      <c r="L61"/>
      <c r="M61" s="18">
        <f t="shared" si="63"/>
        <v>0</v>
      </c>
      <c r="N61" s="18">
        <f t="shared" si="63"/>
        <v>0</v>
      </c>
      <c r="O61" s="18">
        <f>Settings!$I$3*Grondslag!J56</f>
        <v>0</v>
      </c>
      <c r="P61" s="18">
        <f>Settings!$I$7*MAX(Grondslag!J56 - x*voltijdfranchise/1000*(Premie_leeftijd!T60=0),0)</f>
        <v>0</v>
      </c>
      <c r="Q61" s="18">
        <f>Settings!$I$7*MAX(Grondslag!J56 - voltijdfranchise/1000*(Premie_leeftijd!T60=0),0)</f>
        <v>0</v>
      </c>
      <c r="R61" s="18">
        <f>Settings!$I$3*Grondslag!J56*(1-Premie_leeftijd!R60)</f>
        <v>0</v>
      </c>
      <c r="S61" s="73">
        <f t="shared" si="29"/>
        <v>0</v>
      </c>
      <c r="U61" s="20" cm="1">
        <f t="array" ref="U61">U60*(1+reele_index_opb)</f>
        <v>17.500000000000004</v>
      </c>
      <c r="V61" s="20" cm="1">
        <f t="array" ref="V61">V60*(1+reele_index_opb)</f>
        <v>17.499999999999982</v>
      </c>
      <c r="W61" s="39" cm="1">
        <f t="array" ref="W61">W60*(1+reele_index_opb)</f>
        <v>17.500000000000004</v>
      </c>
      <c r="X61" s="20" cm="1">
        <f t="array" ref="X61">X60*(1+reele_index_opb)</f>
        <v>17.500000000000004</v>
      </c>
      <c r="Y61" s="20" cm="1">
        <f t="array" ref="Y61">Y60*(1+reele_index_opb)</f>
        <v>17.500000000000004</v>
      </c>
      <c r="Z61" s="20"/>
      <c r="AA61" s="20">
        <f t="shared" si="30"/>
        <v>79</v>
      </c>
      <c r="AB61" s="41">
        <f t="shared" si="38"/>
        <v>17.500000000000004</v>
      </c>
      <c r="AC61" s="41">
        <f t="shared" si="39"/>
        <v>17.499999999999982</v>
      </c>
      <c r="AD61" s="20">
        <f t="shared" si="40"/>
        <v>17.500000000000004</v>
      </c>
      <c r="AE61" s="20">
        <f t="shared" si="41"/>
        <v>17.500000000000004</v>
      </c>
      <c r="AF61" s="20">
        <f t="shared" si="64"/>
        <v>17.500000000000004</v>
      </c>
      <c r="AG61" s="20">
        <f t="shared" si="42"/>
        <v>17.500000000000004</v>
      </c>
      <c r="AI61" s="73">
        <f t="shared" si="43"/>
        <v>0</v>
      </c>
      <c r="AJ61" s="73">
        <f t="shared" si="44"/>
        <v>17.500000000000004</v>
      </c>
      <c r="AK61" s="73">
        <f t="shared" si="45"/>
        <v>17.499999999999982</v>
      </c>
      <c r="AL61" s="73">
        <f t="shared" si="46"/>
        <v>17.500000000000004</v>
      </c>
      <c r="AM61" s="73">
        <f t="shared" si="47"/>
        <v>17.500000000000004</v>
      </c>
      <c r="AN61" s="73">
        <f t="shared" si="48"/>
        <v>17.500000000000004</v>
      </c>
      <c r="AO61" s="73">
        <f t="shared" si="49"/>
        <v>17.500000000000004</v>
      </c>
      <c r="AQ61" s="20">
        <f t="shared" si="32"/>
        <v>79</v>
      </c>
      <c r="AR61" s="20">
        <f t="shared" si="50"/>
        <v>0</v>
      </c>
      <c r="AS61" s="18">
        <f t="shared" si="51"/>
        <v>17.500000000000004</v>
      </c>
      <c r="AT61" s="18">
        <f t="shared" si="52"/>
        <v>17.499999999999982</v>
      </c>
      <c r="AU61" s="73">
        <f t="shared" si="53"/>
        <v>17.500000000000004</v>
      </c>
      <c r="AV61" s="73">
        <f t="shared" si="54"/>
        <v>17.500000000000004</v>
      </c>
      <c r="AW61" s="18">
        <f t="shared" si="33"/>
        <v>17.500000000000004</v>
      </c>
      <c r="AX61" s="18">
        <f t="shared" si="34"/>
        <v>17.500000000000004</v>
      </c>
      <c r="AZ61" s="5">
        <f>Premie_leeftijd!J60</f>
        <v>1.8137658848708549E-2</v>
      </c>
      <c r="BA61" s="5"/>
      <c r="BB61" s="54">
        <v>54</v>
      </c>
      <c r="BC61" s="54">
        <f t="shared" si="55"/>
        <v>99</v>
      </c>
      <c r="BD61" s="54">
        <f t="shared" si="56"/>
        <v>99</v>
      </c>
      <c r="BE61" s="54" t="b">
        <f t="shared" si="62"/>
        <v>1</v>
      </c>
      <c r="BF61" s="54">
        <f t="shared" si="57"/>
        <v>17.500000000000004</v>
      </c>
      <c r="BG61" s="54">
        <f t="shared" si="58"/>
        <v>17.499999999999996</v>
      </c>
      <c r="BH61" s="54">
        <f t="shared" si="59"/>
        <v>25</v>
      </c>
      <c r="BI61" s="54">
        <f t="shared" si="60"/>
        <v>17.5</v>
      </c>
      <c r="BJ61" s="54">
        <f t="shared" si="61"/>
        <v>17.500000000000004</v>
      </c>
    </row>
    <row r="62" spans="1:62" x14ac:dyDescent="0.25">
      <c r="A62" s="73">
        <f>Grondslag!A57</f>
        <v>80</v>
      </c>
      <c r="C62" s="73">
        <f t="shared" si="37"/>
        <v>80</v>
      </c>
      <c r="L62"/>
      <c r="M62" s="18">
        <f t="shared" si="63"/>
        <v>0</v>
      </c>
      <c r="N62" s="18">
        <f t="shared" si="63"/>
        <v>0</v>
      </c>
      <c r="O62" s="18">
        <f>Settings!$I$3*Grondslag!J57</f>
        <v>0</v>
      </c>
      <c r="P62" s="18">
        <f>Settings!$I$7*MAX(Grondslag!J57 - x*voltijdfranchise/1000*(Premie_leeftijd!T61=0),0)</f>
        <v>0</v>
      </c>
      <c r="Q62" s="18">
        <f>Settings!$I$7*MAX(Grondslag!J57 - voltijdfranchise/1000*(Premie_leeftijd!T61=0),0)</f>
        <v>0</v>
      </c>
      <c r="R62" s="18">
        <f>Settings!$I$3*Grondslag!J57*(1-Premie_leeftijd!R61)</f>
        <v>0</v>
      </c>
      <c r="S62" s="73">
        <f t="shared" si="29"/>
        <v>0</v>
      </c>
      <c r="U62" s="20" cm="1">
        <f t="array" ref="U62">U61*(1+reele_index_opb)</f>
        <v>17.500000000000004</v>
      </c>
      <c r="V62" s="20" cm="1">
        <f t="array" ref="V62">V61*(1+reele_index_opb)</f>
        <v>17.499999999999982</v>
      </c>
      <c r="W62" s="39" cm="1">
        <f t="array" ref="W62">W61*(1+reele_index_opb)</f>
        <v>17.500000000000004</v>
      </c>
      <c r="X62" s="20" cm="1">
        <f t="array" ref="X62">X61*(1+reele_index_opb)</f>
        <v>17.500000000000004</v>
      </c>
      <c r="Y62" s="20" cm="1">
        <f t="array" ref="Y62">Y61*(1+reele_index_opb)</f>
        <v>17.500000000000004</v>
      </c>
      <c r="Z62" s="20"/>
      <c r="AA62" s="20">
        <f t="shared" si="30"/>
        <v>80</v>
      </c>
      <c r="AB62" s="41">
        <f t="shared" si="38"/>
        <v>17.500000000000004</v>
      </c>
      <c r="AC62" s="41">
        <f t="shared" si="39"/>
        <v>17.499999999999982</v>
      </c>
      <c r="AD62" s="20">
        <f t="shared" si="40"/>
        <v>17.500000000000004</v>
      </c>
      <c r="AE62" s="20">
        <f t="shared" si="41"/>
        <v>17.500000000000004</v>
      </c>
      <c r="AF62" s="20">
        <f t="shared" si="64"/>
        <v>17.500000000000004</v>
      </c>
      <c r="AG62" s="20">
        <f t="shared" si="42"/>
        <v>17.500000000000004</v>
      </c>
      <c r="AI62" s="73">
        <f t="shared" si="43"/>
        <v>0</v>
      </c>
      <c r="AJ62" s="73">
        <f t="shared" si="44"/>
        <v>17.500000000000004</v>
      </c>
      <c r="AK62" s="73">
        <f t="shared" si="45"/>
        <v>17.499999999999982</v>
      </c>
      <c r="AL62" s="73">
        <f t="shared" si="46"/>
        <v>17.500000000000004</v>
      </c>
      <c r="AM62" s="73">
        <f t="shared" si="47"/>
        <v>17.500000000000004</v>
      </c>
      <c r="AN62" s="73">
        <f t="shared" si="48"/>
        <v>17.500000000000004</v>
      </c>
      <c r="AO62" s="73">
        <f t="shared" si="49"/>
        <v>17.500000000000004</v>
      </c>
      <c r="AQ62" s="20">
        <f t="shared" si="32"/>
        <v>80</v>
      </c>
      <c r="AR62" s="20">
        <f t="shared" si="50"/>
        <v>0</v>
      </c>
      <c r="AS62" s="18">
        <f t="shared" si="51"/>
        <v>17.500000000000004</v>
      </c>
      <c r="AT62" s="18">
        <f t="shared" si="52"/>
        <v>17.499999999999982</v>
      </c>
      <c r="AU62" s="73">
        <f t="shared" si="53"/>
        <v>17.500000000000004</v>
      </c>
      <c r="AV62" s="73">
        <f t="shared" si="54"/>
        <v>17.500000000000004</v>
      </c>
      <c r="AW62" s="18">
        <f t="shared" si="33"/>
        <v>17.500000000000004</v>
      </c>
      <c r="AX62" s="18">
        <f t="shared" si="34"/>
        <v>17.500000000000004</v>
      </c>
      <c r="AZ62" s="5">
        <f>Premie_leeftijd!J61</f>
        <v>1.9671552393411451E-2</v>
      </c>
      <c r="BA62" s="5"/>
      <c r="BB62" s="54">
        <v>55</v>
      </c>
      <c r="BC62" s="54">
        <f t="shared" si="55"/>
        <v>100</v>
      </c>
      <c r="BD62" s="54">
        <f t="shared" si="56"/>
        <v>100</v>
      </c>
      <c r="BE62" s="54" t="b">
        <f t="shared" si="62"/>
        <v>1</v>
      </c>
      <c r="BF62" s="54">
        <f t="shared" si="57"/>
        <v>17.500000000000004</v>
      </c>
      <c r="BG62" s="54">
        <f t="shared" si="58"/>
        <v>17.499999999999996</v>
      </c>
      <c r="BH62" s="54">
        <f t="shared" si="59"/>
        <v>25</v>
      </c>
      <c r="BI62" s="54">
        <f t="shared" si="60"/>
        <v>17.5</v>
      </c>
      <c r="BJ62" s="54">
        <f t="shared" si="61"/>
        <v>17.500000000000004</v>
      </c>
    </row>
    <row r="63" spans="1:62" x14ac:dyDescent="0.25">
      <c r="A63" s="73">
        <f>Grondslag!A58</f>
        <v>81</v>
      </c>
      <c r="C63" s="73">
        <f t="shared" si="37"/>
        <v>81</v>
      </c>
      <c r="L63"/>
      <c r="M63" s="18">
        <f t="shared" si="63"/>
        <v>0</v>
      </c>
      <c r="N63" s="18">
        <f t="shared" si="63"/>
        <v>0</v>
      </c>
      <c r="O63" s="18">
        <f>Settings!$I$3*Grondslag!J58</f>
        <v>0</v>
      </c>
      <c r="P63" s="18">
        <f>Settings!$I$7*MAX(Grondslag!J58 - x*voltijdfranchise/1000*(Premie_leeftijd!T62=0),0)</f>
        <v>0</v>
      </c>
      <c r="Q63" s="18">
        <f>Settings!$I$7*MAX(Grondslag!J58 - voltijdfranchise/1000*(Premie_leeftijd!T62=0),0)</f>
        <v>0</v>
      </c>
      <c r="R63" s="18">
        <f>Settings!$I$3*Grondslag!J58*(1-Premie_leeftijd!R62)</f>
        <v>0</v>
      </c>
      <c r="S63" s="73">
        <f t="shared" si="29"/>
        <v>0</v>
      </c>
      <c r="U63" s="20" cm="1">
        <f t="array" ref="U63">U62*(1+reele_index_opb)</f>
        <v>17.500000000000004</v>
      </c>
      <c r="V63" s="20" cm="1">
        <f t="array" ref="V63">V62*(1+reele_index_opb)</f>
        <v>17.499999999999982</v>
      </c>
      <c r="W63" s="39" cm="1">
        <f t="array" ref="W63">W62*(1+reele_index_opb)</f>
        <v>17.500000000000004</v>
      </c>
      <c r="X63" s="20" cm="1">
        <f t="array" ref="X63">X62*(1+reele_index_opb)</f>
        <v>17.500000000000004</v>
      </c>
      <c r="Y63" s="20" cm="1">
        <f t="array" ref="Y63">Y62*(1+reele_index_opb)</f>
        <v>17.500000000000004</v>
      </c>
      <c r="Z63" s="20"/>
      <c r="AA63" s="20">
        <f t="shared" si="30"/>
        <v>81</v>
      </c>
      <c r="AB63" s="41">
        <f t="shared" si="38"/>
        <v>17.500000000000004</v>
      </c>
      <c r="AC63" s="41">
        <f t="shared" si="39"/>
        <v>17.499999999999982</v>
      </c>
      <c r="AD63" s="20">
        <f t="shared" si="40"/>
        <v>17.500000000000004</v>
      </c>
      <c r="AE63" s="20">
        <f t="shared" si="41"/>
        <v>17.500000000000004</v>
      </c>
      <c r="AF63" s="20">
        <f t="shared" si="64"/>
        <v>17.500000000000004</v>
      </c>
      <c r="AG63" s="20">
        <f t="shared" si="42"/>
        <v>17.500000000000004</v>
      </c>
      <c r="AI63" s="73">
        <f t="shared" si="43"/>
        <v>0</v>
      </c>
      <c r="AJ63" s="73">
        <f t="shared" si="44"/>
        <v>17.500000000000004</v>
      </c>
      <c r="AK63" s="73">
        <f t="shared" si="45"/>
        <v>17.499999999999982</v>
      </c>
      <c r="AL63" s="73">
        <f t="shared" si="46"/>
        <v>17.500000000000004</v>
      </c>
      <c r="AM63" s="73">
        <f t="shared" si="47"/>
        <v>17.500000000000004</v>
      </c>
      <c r="AN63" s="73">
        <f t="shared" si="48"/>
        <v>17.500000000000004</v>
      </c>
      <c r="AO63" s="73">
        <f t="shared" si="49"/>
        <v>17.500000000000004</v>
      </c>
      <c r="AQ63" s="20">
        <f t="shared" si="32"/>
        <v>81</v>
      </c>
      <c r="AR63" s="20">
        <f t="shared" si="50"/>
        <v>0</v>
      </c>
      <c r="AS63" s="18">
        <f t="shared" si="51"/>
        <v>17.500000000000004</v>
      </c>
      <c r="AT63" s="18">
        <f t="shared" si="52"/>
        <v>17.499999999999982</v>
      </c>
      <c r="AU63" s="73">
        <f t="shared" si="53"/>
        <v>17.500000000000004</v>
      </c>
      <c r="AV63" s="73">
        <f t="shared" si="54"/>
        <v>17.500000000000004</v>
      </c>
      <c r="AW63" s="18">
        <f t="shared" si="33"/>
        <v>17.500000000000004</v>
      </c>
      <c r="AX63" s="18">
        <f t="shared" si="34"/>
        <v>17.500000000000004</v>
      </c>
      <c r="AZ63" s="5">
        <f>Premie_leeftijd!J62</f>
        <v>2.1827525297732242E-2</v>
      </c>
      <c r="BA63" s="5"/>
      <c r="BB63" s="54">
        <v>56</v>
      </c>
      <c r="BC63" s="54">
        <f t="shared" si="55"/>
        <v>101</v>
      </c>
      <c r="BD63" s="54">
        <f t="shared" si="56"/>
        <v>101</v>
      </c>
      <c r="BE63" s="54" t="b">
        <f t="shared" si="62"/>
        <v>1</v>
      </c>
      <c r="BF63" s="54">
        <f t="shared" si="57"/>
        <v>17.500000000000004</v>
      </c>
      <c r="BG63" s="54">
        <f t="shared" si="58"/>
        <v>17.499999999999996</v>
      </c>
      <c r="BH63" s="54">
        <f t="shared" si="59"/>
        <v>25</v>
      </c>
      <c r="BI63" s="54">
        <f t="shared" si="60"/>
        <v>17.5</v>
      </c>
      <c r="BJ63" s="54">
        <f t="shared" si="61"/>
        <v>17.500000000000004</v>
      </c>
    </row>
    <row r="64" spans="1:62" x14ac:dyDescent="0.25">
      <c r="A64" s="73">
        <f>Grondslag!A59</f>
        <v>82</v>
      </c>
      <c r="C64" s="73">
        <f t="shared" si="37"/>
        <v>82</v>
      </c>
      <c r="L64"/>
      <c r="M64" s="18">
        <f t="shared" si="63"/>
        <v>0</v>
      </c>
      <c r="N64" s="18">
        <f t="shared" si="63"/>
        <v>0</v>
      </c>
      <c r="O64" s="18">
        <f>Settings!$I$3*Grondslag!J59</f>
        <v>0</v>
      </c>
      <c r="P64" s="18">
        <f>Settings!$I$7*MAX(Grondslag!J59 - x*voltijdfranchise/1000*(Premie_leeftijd!T63=0),0)</f>
        <v>0</v>
      </c>
      <c r="Q64" s="18">
        <f>Settings!$I$7*MAX(Grondslag!J59 - voltijdfranchise/1000*(Premie_leeftijd!T63=0),0)</f>
        <v>0</v>
      </c>
      <c r="R64" s="18">
        <f>Settings!$I$3*Grondslag!J59*(1-Premie_leeftijd!R63)</f>
        <v>0</v>
      </c>
      <c r="S64" s="73">
        <f t="shared" si="29"/>
        <v>0</v>
      </c>
      <c r="U64" s="20" cm="1">
        <f t="array" ref="U64">U63*(1+reele_index_opb)</f>
        <v>17.500000000000004</v>
      </c>
      <c r="V64" s="20" cm="1">
        <f t="array" ref="V64">V63*(1+reele_index_opb)</f>
        <v>17.499999999999982</v>
      </c>
      <c r="W64" s="39" cm="1">
        <f t="array" ref="W64">W63*(1+reele_index_opb)</f>
        <v>17.500000000000004</v>
      </c>
      <c r="X64" s="20" cm="1">
        <f t="array" ref="X64">X63*(1+reele_index_opb)</f>
        <v>17.500000000000004</v>
      </c>
      <c r="Y64" s="20" cm="1">
        <f t="array" ref="Y64">Y63*(1+reele_index_opb)</f>
        <v>17.500000000000004</v>
      </c>
      <c r="Z64" s="20"/>
      <c r="AA64" s="20">
        <f t="shared" si="30"/>
        <v>82</v>
      </c>
      <c r="AB64" s="41">
        <f t="shared" si="38"/>
        <v>17.500000000000004</v>
      </c>
      <c r="AC64" s="41">
        <f t="shared" si="39"/>
        <v>17.499999999999982</v>
      </c>
      <c r="AD64" s="20">
        <f t="shared" si="40"/>
        <v>17.500000000000004</v>
      </c>
      <c r="AE64" s="20">
        <f t="shared" si="41"/>
        <v>17.500000000000004</v>
      </c>
      <c r="AF64" s="20">
        <f t="shared" si="64"/>
        <v>17.500000000000004</v>
      </c>
      <c r="AG64" s="20">
        <f t="shared" si="42"/>
        <v>17.500000000000004</v>
      </c>
      <c r="AI64" s="73">
        <f t="shared" si="43"/>
        <v>0</v>
      </c>
      <c r="AJ64" s="73">
        <f t="shared" si="44"/>
        <v>17.500000000000004</v>
      </c>
      <c r="AK64" s="73">
        <f t="shared" si="45"/>
        <v>17.499999999999982</v>
      </c>
      <c r="AL64" s="73">
        <f t="shared" si="46"/>
        <v>17.500000000000004</v>
      </c>
      <c r="AM64" s="73">
        <f t="shared" si="47"/>
        <v>17.500000000000004</v>
      </c>
      <c r="AN64" s="73">
        <f t="shared" si="48"/>
        <v>17.500000000000004</v>
      </c>
      <c r="AO64" s="73">
        <f t="shared" si="49"/>
        <v>17.500000000000004</v>
      </c>
      <c r="AQ64" s="20">
        <f t="shared" si="32"/>
        <v>82</v>
      </c>
      <c r="AR64" s="20">
        <f t="shared" si="50"/>
        <v>0</v>
      </c>
      <c r="AS64" s="18">
        <f t="shared" si="51"/>
        <v>17.500000000000004</v>
      </c>
      <c r="AT64" s="18">
        <f t="shared" si="52"/>
        <v>17.499999999999982</v>
      </c>
      <c r="AU64" s="73">
        <f t="shared" si="53"/>
        <v>17.500000000000004</v>
      </c>
      <c r="AV64" s="73">
        <f t="shared" si="54"/>
        <v>17.500000000000004</v>
      </c>
      <c r="AW64" s="18">
        <f t="shared" si="33"/>
        <v>17.500000000000004</v>
      </c>
      <c r="AX64" s="18">
        <f t="shared" si="34"/>
        <v>17.500000000000004</v>
      </c>
      <c r="AZ64" s="5">
        <f>Premie_leeftijd!J63</f>
        <v>2.4227969552276796E-2</v>
      </c>
      <c r="BA64" s="5"/>
      <c r="BB64" s="54">
        <v>57</v>
      </c>
      <c r="BC64" s="54">
        <f t="shared" si="55"/>
        <v>102</v>
      </c>
      <c r="BD64" s="54">
        <f t="shared" si="56"/>
        <v>102</v>
      </c>
      <c r="BE64" s="54" t="b">
        <f t="shared" si="62"/>
        <v>1</v>
      </c>
      <c r="BF64" s="54">
        <f t="shared" si="57"/>
        <v>17.500000000000004</v>
      </c>
      <c r="BG64" s="54">
        <f t="shared" si="58"/>
        <v>17.499999999999996</v>
      </c>
      <c r="BH64" s="54">
        <f t="shared" si="59"/>
        <v>25</v>
      </c>
      <c r="BI64" s="54">
        <f t="shared" si="60"/>
        <v>17.5</v>
      </c>
      <c r="BJ64" s="54">
        <f t="shared" si="61"/>
        <v>17.500000000000004</v>
      </c>
    </row>
    <row r="65" spans="1:62" x14ac:dyDescent="0.25">
      <c r="A65" s="73">
        <f>Grondslag!A60</f>
        <v>83</v>
      </c>
      <c r="C65" s="73">
        <f t="shared" si="37"/>
        <v>83</v>
      </c>
      <c r="L65"/>
      <c r="M65" s="18">
        <f t="shared" si="63"/>
        <v>0</v>
      </c>
      <c r="N65" s="18">
        <f t="shared" si="63"/>
        <v>0</v>
      </c>
      <c r="O65" s="18">
        <f>Settings!$I$3*Grondslag!J60</f>
        <v>0</v>
      </c>
      <c r="P65" s="18">
        <f>Settings!$I$7*MAX(Grondslag!J60 - x*voltijdfranchise/1000*(Premie_leeftijd!T64=0),0)</f>
        <v>0</v>
      </c>
      <c r="Q65" s="18">
        <f>Settings!$I$7*MAX(Grondslag!J60 - voltijdfranchise/1000*(Premie_leeftijd!T64=0),0)</f>
        <v>0</v>
      </c>
      <c r="R65" s="18">
        <f>Settings!$I$3*Grondslag!J60*(1-Premie_leeftijd!R64)</f>
        <v>0</v>
      </c>
      <c r="S65" s="73">
        <f t="shared" si="29"/>
        <v>0</v>
      </c>
      <c r="U65" s="20" cm="1">
        <f t="array" ref="U65">U64*(1+reele_index_opb)</f>
        <v>17.500000000000004</v>
      </c>
      <c r="V65" s="20" cm="1">
        <f t="array" ref="V65">V64*(1+reele_index_opb)</f>
        <v>17.499999999999982</v>
      </c>
      <c r="W65" s="39" cm="1">
        <f t="array" ref="W65">W64*(1+reele_index_opb)</f>
        <v>17.500000000000004</v>
      </c>
      <c r="X65" s="20" cm="1">
        <f t="array" ref="X65">X64*(1+reele_index_opb)</f>
        <v>17.500000000000004</v>
      </c>
      <c r="Y65" s="20" cm="1">
        <f t="array" ref="Y65">Y64*(1+reele_index_opb)</f>
        <v>17.500000000000004</v>
      </c>
      <c r="Z65" s="20"/>
      <c r="AA65" s="20">
        <f t="shared" si="30"/>
        <v>83</v>
      </c>
      <c r="AB65" s="41">
        <f t="shared" si="38"/>
        <v>17.500000000000004</v>
      </c>
      <c r="AC65" s="41">
        <f t="shared" si="39"/>
        <v>17.499999999999982</v>
      </c>
      <c r="AD65" s="20">
        <f t="shared" si="40"/>
        <v>17.500000000000004</v>
      </c>
      <c r="AE65" s="20">
        <f t="shared" si="41"/>
        <v>17.500000000000004</v>
      </c>
      <c r="AF65" s="20">
        <f t="shared" si="64"/>
        <v>17.500000000000004</v>
      </c>
      <c r="AG65" s="20">
        <f t="shared" si="42"/>
        <v>17.500000000000004</v>
      </c>
      <c r="AI65" s="73">
        <f t="shared" si="43"/>
        <v>0</v>
      </c>
      <c r="AJ65" s="73">
        <f t="shared" si="44"/>
        <v>17.500000000000004</v>
      </c>
      <c r="AK65" s="73">
        <f t="shared" si="45"/>
        <v>17.499999999999982</v>
      </c>
      <c r="AL65" s="73">
        <f t="shared" si="46"/>
        <v>17.500000000000004</v>
      </c>
      <c r="AM65" s="73">
        <f t="shared" si="47"/>
        <v>17.500000000000004</v>
      </c>
      <c r="AN65" s="73">
        <f t="shared" si="48"/>
        <v>17.500000000000004</v>
      </c>
      <c r="AO65" s="73">
        <f t="shared" si="49"/>
        <v>17.500000000000004</v>
      </c>
      <c r="AQ65" s="20">
        <f t="shared" si="32"/>
        <v>83</v>
      </c>
      <c r="AR65" s="20">
        <f t="shared" si="50"/>
        <v>0</v>
      </c>
      <c r="AS65" s="18">
        <f t="shared" si="51"/>
        <v>17.500000000000004</v>
      </c>
      <c r="AT65" s="18">
        <f t="shared" si="52"/>
        <v>17.499999999999982</v>
      </c>
      <c r="AU65" s="73">
        <f t="shared" si="53"/>
        <v>17.500000000000004</v>
      </c>
      <c r="AV65" s="73">
        <f t="shared" si="54"/>
        <v>17.500000000000004</v>
      </c>
      <c r="AW65" s="18">
        <f t="shared" si="33"/>
        <v>17.500000000000004</v>
      </c>
      <c r="AX65" s="18">
        <f t="shared" si="34"/>
        <v>17.500000000000004</v>
      </c>
      <c r="AZ65" s="5">
        <f>Premie_leeftijd!J64</f>
        <v>2.6482648974180623E-2</v>
      </c>
      <c r="BA65" s="5"/>
      <c r="BB65" s="54">
        <v>58</v>
      </c>
      <c r="BC65" s="54">
        <f t="shared" si="55"/>
        <v>103</v>
      </c>
      <c r="BD65" s="54">
        <f t="shared" si="56"/>
        <v>103</v>
      </c>
      <c r="BE65" s="54" t="b">
        <f t="shared" si="62"/>
        <v>1</v>
      </c>
      <c r="BF65" s="54">
        <f t="shared" si="57"/>
        <v>17.500000000000004</v>
      </c>
      <c r="BG65" s="54">
        <f t="shared" si="58"/>
        <v>17.499999999999996</v>
      </c>
      <c r="BH65" s="54">
        <f t="shared" si="59"/>
        <v>25</v>
      </c>
      <c r="BI65" s="54">
        <f t="shared" si="60"/>
        <v>17.5</v>
      </c>
      <c r="BJ65" s="54">
        <f t="shared" si="61"/>
        <v>17.500000000000004</v>
      </c>
    </row>
    <row r="66" spans="1:62" x14ac:dyDescent="0.25">
      <c r="A66" s="73">
        <f>Grondslag!A61</f>
        <v>84</v>
      </c>
      <c r="C66" s="73">
        <f t="shared" si="37"/>
        <v>84</v>
      </c>
      <c r="L66"/>
      <c r="M66" s="18">
        <f t="shared" si="63"/>
        <v>0</v>
      </c>
      <c r="N66" s="18">
        <f t="shared" si="63"/>
        <v>0</v>
      </c>
      <c r="O66" s="18">
        <f>Settings!$I$3*Grondslag!J61</f>
        <v>0</v>
      </c>
      <c r="P66" s="18">
        <f>Settings!$I$7*MAX(Grondslag!J61 - x*voltijdfranchise/1000*(Premie_leeftijd!T65=0),0)</f>
        <v>0</v>
      </c>
      <c r="Q66" s="18">
        <f>Settings!$I$7*MAX(Grondslag!J61 - voltijdfranchise/1000*(Premie_leeftijd!T65=0),0)</f>
        <v>0</v>
      </c>
      <c r="R66" s="18">
        <f>Settings!$I$3*Grondslag!J61*(1-Premie_leeftijd!R65)</f>
        <v>0</v>
      </c>
      <c r="S66" s="73">
        <f t="shared" si="29"/>
        <v>0</v>
      </c>
      <c r="U66" s="20" cm="1">
        <f t="array" ref="U66">U65*(1+reele_index_opb)</f>
        <v>17.500000000000004</v>
      </c>
      <c r="V66" s="20" cm="1">
        <f t="array" ref="V66">V65*(1+reele_index_opb)</f>
        <v>17.499999999999982</v>
      </c>
      <c r="W66" s="39" cm="1">
        <f t="array" ref="W66">W65*(1+reele_index_opb)</f>
        <v>17.500000000000004</v>
      </c>
      <c r="X66" s="20" cm="1">
        <f t="array" ref="X66">X65*(1+reele_index_opb)</f>
        <v>17.500000000000004</v>
      </c>
      <c r="Y66" s="20" cm="1">
        <f t="array" ref="Y66">Y65*(1+reele_index_opb)</f>
        <v>17.500000000000004</v>
      </c>
      <c r="Z66" s="20"/>
      <c r="AA66" s="20">
        <f t="shared" si="30"/>
        <v>84</v>
      </c>
      <c r="AB66" s="41">
        <f t="shared" si="38"/>
        <v>17.500000000000004</v>
      </c>
      <c r="AC66" s="41">
        <f t="shared" si="39"/>
        <v>17.499999999999982</v>
      </c>
      <c r="AD66" s="20">
        <f t="shared" si="40"/>
        <v>17.500000000000004</v>
      </c>
      <c r="AE66" s="20">
        <f t="shared" si="41"/>
        <v>17.500000000000004</v>
      </c>
      <c r="AF66" s="20">
        <f t="shared" si="64"/>
        <v>17.500000000000004</v>
      </c>
      <c r="AG66" s="20">
        <f t="shared" si="42"/>
        <v>17.500000000000004</v>
      </c>
      <c r="AI66" s="73">
        <f t="shared" si="43"/>
        <v>0</v>
      </c>
      <c r="AJ66" s="73">
        <f t="shared" si="44"/>
        <v>17.500000000000004</v>
      </c>
      <c r="AK66" s="73">
        <f t="shared" si="45"/>
        <v>17.499999999999982</v>
      </c>
      <c r="AL66" s="73">
        <f t="shared" si="46"/>
        <v>17.500000000000004</v>
      </c>
      <c r="AM66" s="73">
        <f t="shared" si="47"/>
        <v>17.500000000000004</v>
      </c>
      <c r="AN66" s="73">
        <f t="shared" si="48"/>
        <v>17.500000000000004</v>
      </c>
      <c r="AO66" s="73">
        <f t="shared" si="49"/>
        <v>17.500000000000004</v>
      </c>
      <c r="AQ66" s="20">
        <f t="shared" si="32"/>
        <v>84</v>
      </c>
      <c r="AR66" s="20">
        <f t="shared" si="50"/>
        <v>0</v>
      </c>
      <c r="AS66" s="18">
        <f t="shared" si="51"/>
        <v>17.500000000000004</v>
      </c>
      <c r="AT66" s="18">
        <f t="shared" si="52"/>
        <v>17.499999999999982</v>
      </c>
      <c r="AU66" s="73">
        <f t="shared" si="53"/>
        <v>17.500000000000004</v>
      </c>
      <c r="AV66" s="73">
        <f t="shared" si="54"/>
        <v>17.500000000000004</v>
      </c>
      <c r="AW66" s="18">
        <f t="shared" si="33"/>
        <v>17.500000000000004</v>
      </c>
      <c r="AX66" s="18">
        <f t="shared" si="34"/>
        <v>17.500000000000004</v>
      </c>
      <c r="AZ66" s="5">
        <f>Premie_leeftijd!J65</f>
        <v>2.9108816102669466E-2</v>
      </c>
      <c r="BA66" s="5"/>
      <c r="BB66" s="54">
        <v>59</v>
      </c>
      <c r="BC66" s="54">
        <f t="shared" si="55"/>
        <v>104</v>
      </c>
      <c r="BD66" s="54">
        <f t="shared" si="56"/>
        <v>104</v>
      </c>
      <c r="BE66" s="54" t="b">
        <f t="shared" si="62"/>
        <v>1</v>
      </c>
      <c r="BF66" s="54">
        <f t="shared" si="57"/>
        <v>17.500000000000004</v>
      </c>
      <c r="BG66" s="54">
        <f t="shared" si="58"/>
        <v>17.499999999999996</v>
      </c>
      <c r="BH66" s="54">
        <f t="shared" si="59"/>
        <v>25</v>
      </c>
      <c r="BI66" s="54">
        <f t="shared" si="60"/>
        <v>17.5</v>
      </c>
      <c r="BJ66" s="54">
        <f t="shared" si="61"/>
        <v>17.500000000000004</v>
      </c>
    </row>
    <row r="67" spans="1:62" x14ac:dyDescent="0.25">
      <c r="A67" s="73">
        <f>Grondslag!A62</f>
        <v>85</v>
      </c>
      <c r="C67" s="73">
        <f t="shared" si="37"/>
        <v>85</v>
      </c>
      <c r="L67"/>
      <c r="M67" s="18">
        <f t="shared" ref="M67:N82" si="65">volledigAnw/1000</f>
        <v>0</v>
      </c>
      <c r="N67" s="18">
        <f t="shared" si="65"/>
        <v>0</v>
      </c>
      <c r="O67" s="18">
        <f>Settings!$I$3*Grondslag!J62</f>
        <v>0</v>
      </c>
      <c r="P67" s="18">
        <f>Settings!$I$7*MAX(Grondslag!J62 - x*voltijdfranchise/1000*(Premie_leeftijd!T66=0),0)</f>
        <v>0</v>
      </c>
      <c r="Q67" s="18">
        <f>Settings!$I$7*MAX(Grondslag!J62 - voltijdfranchise/1000*(Premie_leeftijd!T66=0),0)</f>
        <v>0</v>
      </c>
      <c r="R67" s="18">
        <f>Settings!$I$3*Grondslag!J62*(1-Premie_leeftijd!R66)</f>
        <v>0</v>
      </c>
      <c r="S67" s="73">
        <f t="shared" si="29"/>
        <v>0</v>
      </c>
      <c r="U67" s="20" cm="1">
        <f t="array" ref="U67">U66*(1+reele_index_opb)</f>
        <v>17.500000000000004</v>
      </c>
      <c r="V67" s="20" cm="1">
        <f t="array" ref="V67">V66*(1+reele_index_opb)</f>
        <v>17.499999999999982</v>
      </c>
      <c r="W67" s="39" cm="1">
        <f t="array" ref="W67">W66*(1+reele_index_opb)</f>
        <v>17.500000000000004</v>
      </c>
      <c r="X67" s="20" cm="1">
        <f t="array" ref="X67">X66*(1+reele_index_opb)</f>
        <v>17.500000000000004</v>
      </c>
      <c r="Y67" s="20" cm="1">
        <f t="array" ref="Y67">Y66*(1+reele_index_opb)</f>
        <v>17.500000000000004</v>
      </c>
      <c r="Z67" s="20"/>
      <c r="AA67" s="20">
        <f t="shared" si="30"/>
        <v>85</v>
      </c>
      <c r="AB67" s="41">
        <f t="shared" si="38"/>
        <v>17.500000000000004</v>
      </c>
      <c r="AC67" s="41">
        <f t="shared" si="39"/>
        <v>17.499999999999982</v>
      </c>
      <c r="AD67" s="20">
        <f t="shared" si="40"/>
        <v>17.500000000000004</v>
      </c>
      <c r="AE67" s="20">
        <f t="shared" si="41"/>
        <v>17.500000000000004</v>
      </c>
      <c r="AF67" s="20">
        <f t="shared" si="64"/>
        <v>17.500000000000004</v>
      </c>
      <c r="AG67" s="20">
        <f t="shared" si="42"/>
        <v>17.500000000000004</v>
      </c>
      <c r="AI67" s="73">
        <f t="shared" si="43"/>
        <v>0</v>
      </c>
      <c r="AJ67" s="73">
        <f t="shared" si="44"/>
        <v>17.500000000000004</v>
      </c>
      <c r="AK67" s="73">
        <f t="shared" si="45"/>
        <v>17.499999999999982</v>
      </c>
      <c r="AL67" s="73">
        <f t="shared" si="46"/>
        <v>17.500000000000004</v>
      </c>
      <c r="AM67" s="73">
        <f t="shared" si="47"/>
        <v>17.500000000000004</v>
      </c>
      <c r="AN67" s="73">
        <f t="shared" si="48"/>
        <v>17.500000000000004</v>
      </c>
      <c r="AO67" s="73">
        <f t="shared" si="49"/>
        <v>17.500000000000004</v>
      </c>
      <c r="AQ67" s="20">
        <f t="shared" si="32"/>
        <v>85</v>
      </c>
      <c r="AR67" s="20">
        <f t="shared" si="50"/>
        <v>0</v>
      </c>
      <c r="AS67" s="18">
        <f t="shared" si="51"/>
        <v>17.500000000000004</v>
      </c>
      <c r="AT67" s="18">
        <f t="shared" si="52"/>
        <v>17.499999999999982</v>
      </c>
      <c r="AU67" s="73">
        <f t="shared" si="53"/>
        <v>17.500000000000004</v>
      </c>
      <c r="AV67" s="73">
        <f t="shared" si="54"/>
        <v>17.500000000000004</v>
      </c>
      <c r="AW67" s="18">
        <f t="shared" si="33"/>
        <v>17.500000000000004</v>
      </c>
      <c r="AX67" s="18">
        <f t="shared" si="34"/>
        <v>17.500000000000004</v>
      </c>
      <c r="AZ67" s="5">
        <f>Premie_leeftijd!J66</f>
        <v>3.1584597437560369E-2</v>
      </c>
      <c r="BA67" s="5"/>
      <c r="BB67" s="54">
        <v>60</v>
      </c>
      <c r="BC67" s="54">
        <f t="shared" si="55"/>
        <v>105</v>
      </c>
      <c r="BD67" s="54">
        <f t="shared" si="56"/>
        <v>105</v>
      </c>
      <c r="BE67" s="54" t="b">
        <f t="shared" si="62"/>
        <v>1</v>
      </c>
      <c r="BF67" s="54">
        <f t="shared" si="57"/>
        <v>17.500000000000004</v>
      </c>
      <c r="BG67" s="54">
        <f t="shared" si="58"/>
        <v>17.499999999999996</v>
      </c>
      <c r="BH67" s="54">
        <f t="shared" si="59"/>
        <v>25</v>
      </c>
      <c r="BI67" s="54">
        <f t="shared" si="60"/>
        <v>17.5</v>
      </c>
      <c r="BJ67" s="54">
        <f t="shared" si="61"/>
        <v>17.500000000000004</v>
      </c>
    </row>
    <row r="68" spans="1:62" x14ac:dyDescent="0.25">
      <c r="A68" s="73">
        <f>Grondslag!A63</f>
        <v>86</v>
      </c>
      <c r="C68" s="73">
        <f t="shared" si="37"/>
        <v>86</v>
      </c>
      <c r="L68"/>
      <c r="M68" s="18">
        <f t="shared" si="65"/>
        <v>0</v>
      </c>
      <c r="N68" s="18">
        <f t="shared" si="65"/>
        <v>0</v>
      </c>
      <c r="O68" s="18">
        <f>Settings!$I$3*Grondslag!J63</f>
        <v>0</v>
      </c>
      <c r="P68" s="18">
        <f>Settings!$I$7*MAX(Grondslag!J63 - x*voltijdfranchise/1000*(Premie_leeftijd!T67=0),0)</f>
        <v>0</v>
      </c>
      <c r="Q68" s="18">
        <f>Settings!$I$7*MAX(Grondslag!J63 - voltijdfranchise/1000*(Premie_leeftijd!T67=0),0)</f>
        <v>0</v>
      </c>
      <c r="R68" s="18">
        <f>Settings!$I$3*Grondslag!J63*(1-Premie_leeftijd!R67)</f>
        <v>0</v>
      </c>
      <c r="S68" s="73">
        <f t="shared" si="29"/>
        <v>0</v>
      </c>
      <c r="U68" s="20" cm="1">
        <f t="array" ref="U68">U67*(1+reele_index_opb)</f>
        <v>17.500000000000004</v>
      </c>
      <c r="V68" s="20" cm="1">
        <f t="array" ref="V68">V67*(1+reele_index_opb)</f>
        <v>17.499999999999982</v>
      </c>
      <c r="W68" s="39" cm="1">
        <f t="array" ref="W68">W67*(1+reele_index_opb)</f>
        <v>17.500000000000004</v>
      </c>
      <c r="X68" s="20" cm="1">
        <f t="array" ref="X68">X67*(1+reele_index_opb)</f>
        <v>17.500000000000004</v>
      </c>
      <c r="Y68" s="20" cm="1">
        <f t="array" ref="Y68">Y67*(1+reele_index_opb)</f>
        <v>17.500000000000004</v>
      </c>
      <c r="Z68" s="20"/>
      <c r="AA68" s="20">
        <f t="shared" si="30"/>
        <v>86</v>
      </c>
      <c r="AB68" s="41">
        <f t="shared" si="38"/>
        <v>17.500000000000004</v>
      </c>
      <c r="AC68" s="41">
        <f t="shared" si="39"/>
        <v>17.499999999999982</v>
      </c>
      <c r="AD68" s="20">
        <f t="shared" si="40"/>
        <v>17.500000000000004</v>
      </c>
      <c r="AE68" s="20">
        <f t="shared" si="41"/>
        <v>17.500000000000004</v>
      </c>
      <c r="AF68" s="20">
        <f t="shared" si="64"/>
        <v>17.500000000000004</v>
      </c>
      <c r="AG68" s="20">
        <f t="shared" si="42"/>
        <v>17.500000000000004</v>
      </c>
      <c r="AI68" s="73">
        <f t="shared" si="43"/>
        <v>0</v>
      </c>
      <c r="AJ68" s="73">
        <f t="shared" si="44"/>
        <v>17.500000000000004</v>
      </c>
      <c r="AK68" s="73">
        <f t="shared" si="45"/>
        <v>17.499999999999982</v>
      </c>
      <c r="AL68" s="73">
        <f t="shared" si="46"/>
        <v>17.500000000000004</v>
      </c>
      <c r="AM68" s="73">
        <f t="shared" si="47"/>
        <v>17.500000000000004</v>
      </c>
      <c r="AN68" s="73">
        <f t="shared" si="48"/>
        <v>17.500000000000004</v>
      </c>
      <c r="AO68" s="73">
        <f t="shared" si="49"/>
        <v>17.500000000000004</v>
      </c>
      <c r="AQ68" s="20">
        <f t="shared" si="32"/>
        <v>86</v>
      </c>
      <c r="AR68" s="20">
        <f t="shared" si="50"/>
        <v>0</v>
      </c>
      <c r="AS68" s="18">
        <f t="shared" si="51"/>
        <v>17.500000000000004</v>
      </c>
      <c r="AT68" s="18">
        <f t="shared" si="52"/>
        <v>17.499999999999982</v>
      </c>
      <c r="AU68" s="73">
        <f t="shared" si="53"/>
        <v>17.500000000000004</v>
      </c>
      <c r="AV68" s="73">
        <f t="shared" si="54"/>
        <v>17.500000000000004</v>
      </c>
      <c r="AW68" s="18">
        <f t="shared" si="33"/>
        <v>17.500000000000004</v>
      </c>
      <c r="AX68" s="18">
        <f t="shared" si="34"/>
        <v>17.500000000000004</v>
      </c>
      <c r="AZ68" s="5">
        <f>Premie_leeftijd!J67</f>
        <v>3.4540636846747241E-2</v>
      </c>
      <c r="BA68" s="5"/>
      <c r="BB68" s="54">
        <v>61</v>
      </c>
      <c r="BC68" s="54">
        <f t="shared" si="55"/>
        <v>106</v>
      </c>
      <c r="BD68" s="54">
        <f t="shared" si="56"/>
        <v>106</v>
      </c>
      <c r="BE68" s="54" t="b">
        <f t="shared" si="62"/>
        <v>1</v>
      </c>
      <c r="BF68" s="54">
        <f t="shared" si="57"/>
        <v>17.500000000000004</v>
      </c>
      <c r="BG68" s="54">
        <f t="shared" si="58"/>
        <v>17.499999999999996</v>
      </c>
      <c r="BH68" s="54">
        <f t="shared" si="59"/>
        <v>25</v>
      </c>
      <c r="BI68" s="54">
        <f t="shared" si="60"/>
        <v>17.5</v>
      </c>
      <c r="BJ68" s="54">
        <f t="shared" si="61"/>
        <v>17.500000000000004</v>
      </c>
    </row>
    <row r="69" spans="1:62" x14ac:dyDescent="0.25">
      <c r="A69" s="73">
        <f>Grondslag!A64</f>
        <v>87</v>
      </c>
      <c r="C69" s="73">
        <f t="shared" si="37"/>
        <v>87</v>
      </c>
      <c r="L69"/>
      <c r="M69" s="18">
        <f t="shared" si="65"/>
        <v>0</v>
      </c>
      <c r="N69" s="18">
        <f t="shared" si="65"/>
        <v>0</v>
      </c>
      <c r="O69" s="18">
        <f>Settings!$I$3*Grondslag!J64</f>
        <v>0</v>
      </c>
      <c r="P69" s="18">
        <f>Settings!$I$7*MAX(Grondslag!J64 - x*voltijdfranchise/1000*(Premie_leeftijd!T68=0),0)</f>
        <v>0</v>
      </c>
      <c r="Q69" s="18">
        <f>Settings!$I$7*MAX(Grondslag!J64 - voltijdfranchise/1000*(Premie_leeftijd!T68=0),0)</f>
        <v>0</v>
      </c>
      <c r="R69" s="18">
        <f>Settings!$I$3*Grondslag!J64*(1-Premie_leeftijd!R68)</f>
        <v>0</v>
      </c>
      <c r="S69" s="73">
        <f t="shared" si="29"/>
        <v>0</v>
      </c>
      <c r="U69" s="20" cm="1">
        <f t="array" ref="U69">U68*(1+reele_index_opb)</f>
        <v>17.500000000000004</v>
      </c>
      <c r="V69" s="20" cm="1">
        <f t="array" ref="V69">V68*(1+reele_index_opb)</f>
        <v>17.499999999999982</v>
      </c>
      <c r="W69" s="39" cm="1">
        <f t="array" ref="W69">W68*(1+reele_index_opb)</f>
        <v>17.500000000000004</v>
      </c>
      <c r="X69" s="20" cm="1">
        <f t="array" ref="X69">X68*(1+reele_index_opb)</f>
        <v>17.500000000000004</v>
      </c>
      <c r="Y69" s="20" cm="1">
        <f t="array" ref="Y69">Y68*(1+reele_index_opb)</f>
        <v>17.500000000000004</v>
      </c>
      <c r="Z69" s="20"/>
      <c r="AA69" s="20">
        <f t="shared" si="30"/>
        <v>87</v>
      </c>
      <c r="AB69" s="41">
        <f t="shared" si="38"/>
        <v>17.500000000000004</v>
      </c>
      <c r="AC69" s="41">
        <f t="shared" si="39"/>
        <v>17.499999999999982</v>
      </c>
      <c r="AD69" s="20">
        <f t="shared" si="40"/>
        <v>17.500000000000004</v>
      </c>
      <c r="AE69" s="20">
        <f t="shared" si="41"/>
        <v>17.500000000000004</v>
      </c>
      <c r="AF69" s="20">
        <f t="shared" si="64"/>
        <v>17.500000000000004</v>
      </c>
      <c r="AG69" s="20">
        <f t="shared" si="42"/>
        <v>17.500000000000004</v>
      </c>
      <c r="AI69" s="73">
        <f t="shared" si="43"/>
        <v>0</v>
      </c>
      <c r="AJ69" s="73">
        <f t="shared" si="44"/>
        <v>17.500000000000004</v>
      </c>
      <c r="AK69" s="73">
        <f t="shared" si="45"/>
        <v>17.499999999999982</v>
      </c>
      <c r="AL69" s="73">
        <f t="shared" si="46"/>
        <v>17.500000000000004</v>
      </c>
      <c r="AM69" s="73">
        <f t="shared" si="47"/>
        <v>17.500000000000004</v>
      </c>
      <c r="AN69" s="73">
        <f t="shared" si="48"/>
        <v>17.500000000000004</v>
      </c>
      <c r="AO69" s="73">
        <f t="shared" si="49"/>
        <v>17.500000000000004</v>
      </c>
      <c r="AQ69" s="20">
        <f t="shared" si="32"/>
        <v>87</v>
      </c>
      <c r="AR69" s="20">
        <f t="shared" si="50"/>
        <v>0</v>
      </c>
      <c r="AS69" s="18">
        <f t="shared" si="51"/>
        <v>17.500000000000004</v>
      </c>
      <c r="AT69" s="18">
        <f t="shared" si="52"/>
        <v>17.499999999999982</v>
      </c>
      <c r="AU69" s="73">
        <f t="shared" si="53"/>
        <v>17.500000000000004</v>
      </c>
      <c r="AV69" s="73">
        <f t="shared" si="54"/>
        <v>17.500000000000004</v>
      </c>
      <c r="AW69" s="18">
        <f t="shared" si="33"/>
        <v>17.500000000000004</v>
      </c>
      <c r="AX69" s="18">
        <f t="shared" si="34"/>
        <v>17.500000000000004</v>
      </c>
      <c r="AZ69" s="5">
        <f>Premie_leeftijd!J68</f>
        <v>3.7556106775584741E-2</v>
      </c>
      <c r="BA69" s="5"/>
      <c r="BB69" s="54">
        <v>62</v>
      </c>
      <c r="BC69" s="54">
        <f t="shared" si="55"/>
        <v>107</v>
      </c>
      <c r="BD69" s="54">
        <f t="shared" si="56"/>
        <v>107</v>
      </c>
      <c r="BE69" s="54" t="b">
        <f t="shared" si="62"/>
        <v>1</v>
      </c>
      <c r="BF69" s="54">
        <f t="shared" si="57"/>
        <v>17.500000000000004</v>
      </c>
      <c r="BG69" s="54">
        <f t="shared" si="58"/>
        <v>17.499999999999996</v>
      </c>
      <c r="BH69" s="54">
        <f t="shared" si="59"/>
        <v>25</v>
      </c>
      <c r="BI69" s="54">
        <f t="shared" si="60"/>
        <v>17.5</v>
      </c>
      <c r="BJ69" s="54">
        <f t="shared" si="61"/>
        <v>17.500000000000004</v>
      </c>
    </row>
    <row r="70" spans="1:62" x14ac:dyDescent="0.25">
      <c r="A70" s="73">
        <f>Grondslag!A65</f>
        <v>88</v>
      </c>
      <c r="C70" s="73">
        <f t="shared" si="37"/>
        <v>88</v>
      </c>
      <c r="L70"/>
      <c r="M70" s="18">
        <f t="shared" si="65"/>
        <v>0</v>
      </c>
      <c r="N70" s="18">
        <f t="shared" si="65"/>
        <v>0</v>
      </c>
      <c r="O70" s="18">
        <f>Settings!$I$3*Grondslag!J65</f>
        <v>0</v>
      </c>
      <c r="P70" s="18">
        <f>Settings!$I$7*MAX(Grondslag!J65 - x*voltijdfranchise/1000*(Premie_leeftijd!T69=0),0)</f>
        <v>0</v>
      </c>
      <c r="Q70" s="18">
        <f>Settings!$I$7*MAX(Grondslag!J65 - voltijdfranchise/1000*(Premie_leeftijd!T69=0),0)</f>
        <v>0</v>
      </c>
      <c r="R70" s="18">
        <f>Settings!$I$3*Grondslag!J65*(1-Premie_leeftijd!R69)</f>
        <v>0</v>
      </c>
      <c r="S70" s="73">
        <f t="shared" si="29"/>
        <v>0</v>
      </c>
      <c r="U70" s="20" cm="1">
        <f t="array" ref="U70">U69*(1+reele_index_opb)</f>
        <v>17.500000000000004</v>
      </c>
      <c r="V70" s="20" cm="1">
        <f t="array" ref="V70">V69*(1+reele_index_opb)</f>
        <v>17.499999999999982</v>
      </c>
      <c r="W70" s="39" cm="1">
        <f t="array" ref="W70">W69*(1+reele_index_opb)</f>
        <v>17.500000000000004</v>
      </c>
      <c r="X70" s="20" cm="1">
        <f t="array" ref="X70">X69*(1+reele_index_opb)</f>
        <v>17.500000000000004</v>
      </c>
      <c r="Y70" s="20" cm="1">
        <f t="array" ref="Y70">Y69*(1+reele_index_opb)</f>
        <v>17.500000000000004</v>
      </c>
      <c r="Z70" s="20"/>
      <c r="AA70" s="20">
        <f t="shared" si="30"/>
        <v>88</v>
      </c>
      <c r="AB70" s="41">
        <f t="shared" si="38"/>
        <v>17.500000000000004</v>
      </c>
      <c r="AC70" s="41">
        <f t="shared" si="39"/>
        <v>17.499999999999982</v>
      </c>
      <c r="AD70" s="20">
        <f t="shared" si="40"/>
        <v>17.500000000000004</v>
      </c>
      <c r="AE70" s="20">
        <f t="shared" si="41"/>
        <v>17.500000000000004</v>
      </c>
      <c r="AF70" s="20">
        <f t="shared" si="64"/>
        <v>17.500000000000004</v>
      </c>
      <c r="AG70" s="20">
        <f t="shared" si="42"/>
        <v>17.500000000000004</v>
      </c>
      <c r="AI70" s="73">
        <f t="shared" si="43"/>
        <v>0</v>
      </c>
      <c r="AJ70" s="73">
        <f t="shared" si="44"/>
        <v>17.500000000000004</v>
      </c>
      <c r="AK70" s="73">
        <f t="shared" si="45"/>
        <v>17.499999999999982</v>
      </c>
      <c r="AL70" s="73">
        <f t="shared" si="46"/>
        <v>17.500000000000004</v>
      </c>
      <c r="AM70" s="73">
        <f t="shared" si="47"/>
        <v>17.500000000000004</v>
      </c>
      <c r="AN70" s="73">
        <f t="shared" si="48"/>
        <v>17.500000000000004</v>
      </c>
      <c r="AO70" s="73">
        <f t="shared" si="49"/>
        <v>17.500000000000004</v>
      </c>
      <c r="AQ70" s="20">
        <f t="shared" si="32"/>
        <v>88</v>
      </c>
      <c r="AR70" s="20">
        <f t="shared" si="50"/>
        <v>0</v>
      </c>
      <c r="AS70" s="18">
        <f t="shared" si="51"/>
        <v>17.500000000000004</v>
      </c>
      <c r="AT70" s="18">
        <f t="shared" si="52"/>
        <v>17.499999999999982</v>
      </c>
      <c r="AU70" s="73">
        <f t="shared" si="53"/>
        <v>17.500000000000004</v>
      </c>
      <c r="AV70" s="73">
        <f t="shared" si="54"/>
        <v>17.500000000000004</v>
      </c>
      <c r="AW70" s="18">
        <f t="shared" si="33"/>
        <v>17.500000000000004</v>
      </c>
      <c r="AX70" s="18">
        <f t="shared" si="34"/>
        <v>17.500000000000004</v>
      </c>
      <c r="AZ70" s="5">
        <f>Premie_leeftijd!J69</f>
        <v>4.0438920030085868E-2</v>
      </c>
      <c r="BA70" s="5"/>
      <c r="BB70" s="54">
        <v>63</v>
      </c>
      <c r="BC70" s="54">
        <f t="shared" si="55"/>
        <v>108</v>
      </c>
      <c r="BD70" s="54">
        <f t="shared" si="56"/>
        <v>108</v>
      </c>
      <c r="BE70" s="54" t="b">
        <f t="shared" si="62"/>
        <v>1</v>
      </c>
      <c r="BF70" s="54">
        <f t="shared" si="57"/>
        <v>17.500000000000004</v>
      </c>
      <c r="BG70" s="54">
        <f t="shared" si="58"/>
        <v>17.499999999999996</v>
      </c>
      <c r="BH70" s="54">
        <f t="shared" si="59"/>
        <v>25</v>
      </c>
      <c r="BI70" s="54">
        <f t="shared" si="60"/>
        <v>17.5</v>
      </c>
      <c r="BJ70" s="54">
        <f t="shared" si="61"/>
        <v>17.500000000000004</v>
      </c>
    </row>
    <row r="71" spans="1:62" x14ac:dyDescent="0.25">
      <c r="A71" s="73">
        <f>Grondslag!A66</f>
        <v>89</v>
      </c>
      <c r="C71" s="73">
        <f t="shared" ref="C71:C82" si="66">A71+(geb_deeln-geb_partner)</f>
        <v>89</v>
      </c>
      <c r="L71"/>
      <c r="M71" s="18">
        <f t="shared" si="65"/>
        <v>0</v>
      </c>
      <c r="N71" s="18">
        <f t="shared" si="65"/>
        <v>0</v>
      </c>
      <c r="O71" s="18">
        <f>Settings!$I$3*Grondslag!J66</f>
        <v>0</v>
      </c>
      <c r="P71" s="18">
        <f>Settings!$I$7*MAX(Grondslag!J66 - x*voltijdfranchise/1000*(Premie_leeftijd!T70=0),0)</f>
        <v>0</v>
      </c>
      <c r="Q71" s="18">
        <f>Settings!$I$7*MAX(Grondslag!J66 - voltijdfranchise/1000*(Premie_leeftijd!T70=0),0)</f>
        <v>0</v>
      </c>
      <c r="R71" s="18">
        <f>Settings!$I$3*Grondslag!J66*(1-Premie_leeftijd!R70)</f>
        <v>0</v>
      </c>
      <c r="S71" s="73">
        <f t="shared" si="29"/>
        <v>0</v>
      </c>
      <c r="U71" s="20" cm="1">
        <f t="array" ref="U71">U70*(1+reele_index_opb)</f>
        <v>17.500000000000004</v>
      </c>
      <c r="V71" s="20" cm="1">
        <f t="array" ref="V71">V70*(1+reele_index_opb)</f>
        <v>17.499999999999982</v>
      </c>
      <c r="W71" s="39" cm="1">
        <f t="array" ref="W71">W70*(1+reele_index_opb)</f>
        <v>17.500000000000004</v>
      </c>
      <c r="X71" s="20" cm="1">
        <f t="array" ref="X71">X70*(1+reele_index_opb)</f>
        <v>17.500000000000004</v>
      </c>
      <c r="Y71" s="20" cm="1">
        <f t="array" ref="Y71">Y70*(1+reele_index_opb)</f>
        <v>17.500000000000004</v>
      </c>
      <c r="Z71" s="20"/>
      <c r="AA71" s="20">
        <f t="shared" si="30"/>
        <v>89</v>
      </c>
      <c r="AB71" s="41">
        <f t="shared" ref="AB71:AB82" si="67">U71 + ($C71&lt;AOWlftd)*volledigAnw/1000</f>
        <v>17.500000000000004</v>
      </c>
      <c r="AC71" s="41">
        <f t="shared" ref="AC71:AC82" si="68">V71 + ($C71&lt;AOWlftd)*volledigAnw/1000</f>
        <v>17.499999999999982</v>
      </c>
      <c r="AD71" s="20">
        <f t="shared" ref="AD71:AD82" si="69">IF($A71&gt;=AOWlftd, $W71, IF( $C71&lt;AOWlftd, $O71, P71))</f>
        <v>17.500000000000004</v>
      </c>
      <c r="AE71" s="20">
        <f t="shared" ref="AE71:AE82" si="70">IF($A71&gt;=AOWlftd, $W71, IF( $C71&lt;AOWlftd, $O71, Q71))</f>
        <v>17.500000000000004</v>
      </c>
      <c r="AF71" s="20">
        <f t="shared" si="64"/>
        <v>17.500000000000004</v>
      </c>
      <c r="AG71" s="20">
        <f t="shared" ref="AG71:AG82" si="71">S71+Y71</f>
        <v>17.500000000000004</v>
      </c>
      <c r="AI71" s="73">
        <f t="shared" ref="AI71:AI82" si="72">MAX(0, AOWlftd-$C71-1)</f>
        <v>0</v>
      </c>
      <c r="AJ71" s="73">
        <f t="shared" ref="AJ71:AJ82" si="73">U71*(1+reele_index_opb)^$AI71 + ($C71&lt;AOWlftd)*volledigAnw/1000*(1+reele_index_ris)^$AI71</f>
        <v>17.500000000000004</v>
      </c>
      <c r="AK71" s="73">
        <f t="shared" ref="AK71:AK82" si="74">V71*(1+reele_index_opb)^$AI71 + ($C71&lt;AOWlftd)*volledigAnw/1000*(1+reele_index_ris)^$AI71</f>
        <v>17.499999999999982</v>
      </c>
      <c r="AL71" s="73">
        <f t="shared" ref="AL71:AL82" si="75">IF($A71&gt;=AOWlftd, $W71 *(1+reele_index_opb)^$AI71, AD71*(1+ reele_index_ris)^$AI71 )</f>
        <v>17.500000000000004</v>
      </c>
      <c r="AM71" s="73">
        <f t="shared" ref="AM71:AM82" si="76">IF($A71&gt;=AOWlftd, $W71 *(1+reele_index_opb)^$AI71, AE71*(1+ reele_index_ris)^$AI71 )</f>
        <v>17.500000000000004</v>
      </c>
      <c r="AN71" s="73">
        <f t="shared" ref="AN71:AN82" si="77">AF71*(1+IF($A71&lt;AOWlftd,reele_index_ris,reele_index_opb))^$AI71</f>
        <v>17.500000000000004</v>
      </c>
      <c r="AO71" s="73">
        <f t="shared" ref="AO71:AO82" si="78">AG71*(1+IF($A71&lt;AOWlftd,reele_index_ris,reele_index_opb))^$AI71</f>
        <v>17.500000000000004</v>
      </c>
      <c r="AQ71" s="20">
        <f t="shared" si="32"/>
        <v>89</v>
      </c>
      <c r="AR71" s="20">
        <f t="shared" ref="AR71:AR82" si="79">MAX(0, AOWlftd-$C71)</f>
        <v>0</v>
      </c>
      <c r="AS71" s="18">
        <f t="shared" ref="AS71:AS82" si="80">U71*(1+reele_index_opb)^$AR71</f>
        <v>17.500000000000004</v>
      </c>
      <c r="AT71" s="18">
        <f t="shared" ref="AT71:AT82" si="81">V71*(1+reele_index_opb)^$AR71</f>
        <v>17.499999999999982</v>
      </c>
      <c r="AU71" s="73">
        <f t="shared" ref="AU71:AU82" si="82">IF($A71&gt;=AOWlftd, $W71*(1+reele_index_opb)^$AR71, P71*(1+reele_index_ris)^$AR71)</f>
        <v>17.500000000000004</v>
      </c>
      <c r="AV71" s="73">
        <f t="shared" ref="AV71:AV82" si="83">IF($A71&gt;=AOWlftd, $W71*(1+reele_index_opb)^$AR71, Q71*(1+reele_index_ris)^$AR71)</f>
        <v>17.500000000000004</v>
      </c>
      <c r="AW71" s="18">
        <f t="shared" si="33"/>
        <v>17.500000000000004</v>
      </c>
      <c r="AX71" s="18">
        <f t="shared" si="34"/>
        <v>17.500000000000004</v>
      </c>
      <c r="AZ71" s="5">
        <f>Premie_leeftijd!J70</f>
        <v>4.3016325323881388E-2</v>
      </c>
      <c r="BA71" s="5"/>
      <c r="BB71" s="54">
        <v>64</v>
      </c>
      <c r="BC71" s="54">
        <f t="shared" ref="BC71:BC82" si="84">$BH$1+BB71</f>
        <v>109</v>
      </c>
      <c r="BD71" s="54">
        <f t="shared" ref="BD71:BD82" si="85">$BH$2+BB71</f>
        <v>109</v>
      </c>
      <c r="BE71" s="54" t="b">
        <f t="shared" si="62"/>
        <v>1</v>
      </c>
      <c r="BF71" s="54">
        <f t="shared" ref="BF71:BF82" si="86" xml:space="preserve"> IF(OR($BC71=$BH$1, $BD71=AOWlftd), VLOOKUP($BH$1, IF($BE71, $AQ$7:$AX$82, $AA$7:$AG$82), 2+BF$5, FALSE), BF70*(1+reele_index_opb))</f>
        <v>17.500000000000004</v>
      </c>
      <c r="BG71" s="54">
        <f t="shared" ref="BG71:BG82" si="87" xml:space="preserve"> IF(OR($BC71=$BH$1, $BD71=AOWlftd), VLOOKUP($BH$1, IF($BE71, $AQ$7:$AX$82, $AA$7:$AG$82), 2+BG$5, FALSE), BG70*(1+reele_index_opb))</f>
        <v>17.499999999999996</v>
      </c>
      <c r="BH71" s="54">
        <f t="shared" ref="BH71:BH82" si="88" xml:space="preserve"> IF(OR($BC71=$BH$1, $BD71=AOWlftd), VLOOKUP($BH$1, IF($BE71, $AQ$7:$AX$82, $AA$7:$AG$82), 2+BH$5, FALSE), BH70*(1+reele_index_opb))</f>
        <v>25</v>
      </c>
      <c r="BI71" s="54">
        <f t="shared" ref="BI71:BI82" si="89" xml:space="preserve"> IF(OR($BC71=$BH$1, $BD71=AOWlftd), VLOOKUP($BH$1, IF($BE71, $AQ$7:$AX$82, $AA$7:$AG$82), 2+BI$5, FALSE), BI70*(1+reele_index_opb))</f>
        <v>17.5</v>
      </c>
      <c r="BJ71" s="54">
        <f t="shared" ref="BJ71:BJ82" si="90" xml:space="preserve"> IF(OR($BC71=$BH$1, $BD71=AOWlftd), VLOOKUP($BH$1, IF($BE71, $AQ$7:$AX$82, $AA$7:$AG$82), 2+BJ$5, FALSE), BJ70*(1+reele_index_opb))</f>
        <v>17.500000000000004</v>
      </c>
    </row>
    <row r="72" spans="1:62" x14ac:dyDescent="0.25">
      <c r="A72" s="73">
        <f>Grondslag!A67</f>
        <v>90</v>
      </c>
      <c r="C72" s="73">
        <f t="shared" si="66"/>
        <v>90</v>
      </c>
      <c r="L72"/>
      <c r="M72" s="18">
        <f t="shared" si="65"/>
        <v>0</v>
      </c>
      <c r="N72" s="18">
        <f t="shared" si="65"/>
        <v>0</v>
      </c>
      <c r="O72" s="18">
        <f>Settings!$I$3*Grondslag!J67</f>
        <v>0</v>
      </c>
      <c r="P72" s="18">
        <f>Settings!$I$7*MAX(Grondslag!J67 - x*voltijdfranchise/1000*(Premie_leeftijd!T71=0),0)</f>
        <v>0</v>
      </c>
      <c r="Q72" s="18">
        <f>Settings!$I$7*MAX(Grondslag!J67 - voltijdfranchise/1000*(Premie_leeftijd!T71=0),0)</f>
        <v>0</v>
      </c>
      <c r="R72" s="18">
        <f>Settings!$I$3*Grondslag!J67*(1-Premie_leeftijd!R71)</f>
        <v>0</v>
      </c>
      <c r="S72" s="73">
        <f t="shared" ref="S72:S82" si="91">MAX(R72-Y72,0)</f>
        <v>0</v>
      </c>
      <c r="U72" s="20" cm="1">
        <f t="array" ref="U72">U71*(1+reele_index_opb)</f>
        <v>17.500000000000004</v>
      </c>
      <c r="V72" s="20" cm="1">
        <f t="array" ref="V72">V71*(1+reele_index_opb)</f>
        <v>17.499999999999982</v>
      </c>
      <c r="W72" s="39" cm="1">
        <f t="array" ref="W72">W71*(1+reele_index_opb)</f>
        <v>17.500000000000004</v>
      </c>
      <c r="X72" s="20" cm="1">
        <f t="array" ref="X72">X71*(1+reele_index_opb)</f>
        <v>17.500000000000004</v>
      </c>
      <c r="Y72" s="20" cm="1">
        <f t="array" ref="Y72">Y71*(1+reele_index_opb)</f>
        <v>17.500000000000004</v>
      </c>
      <c r="Z72" s="20"/>
      <c r="AA72" s="20">
        <f t="shared" ref="AA72:AA82" si="92">$A72</f>
        <v>90</v>
      </c>
      <c r="AB72" s="41">
        <f t="shared" si="67"/>
        <v>17.500000000000004</v>
      </c>
      <c r="AC72" s="41">
        <f t="shared" si="68"/>
        <v>17.499999999999982</v>
      </c>
      <c r="AD72" s="20">
        <f t="shared" si="69"/>
        <v>17.500000000000004</v>
      </c>
      <c r="AE72" s="20">
        <f t="shared" si="70"/>
        <v>17.500000000000004</v>
      </c>
      <c r="AF72" s="20">
        <f t="shared" si="64"/>
        <v>17.500000000000004</v>
      </c>
      <c r="AG72" s="20">
        <f t="shared" si="71"/>
        <v>17.500000000000004</v>
      </c>
      <c r="AI72" s="73">
        <f t="shared" si="72"/>
        <v>0</v>
      </c>
      <c r="AJ72" s="73">
        <f t="shared" si="73"/>
        <v>17.500000000000004</v>
      </c>
      <c r="AK72" s="73">
        <f t="shared" si="74"/>
        <v>17.499999999999982</v>
      </c>
      <c r="AL72" s="73">
        <f t="shared" si="75"/>
        <v>17.500000000000004</v>
      </c>
      <c r="AM72" s="73">
        <f t="shared" si="76"/>
        <v>17.500000000000004</v>
      </c>
      <c r="AN72" s="73">
        <f t="shared" si="77"/>
        <v>17.500000000000004</v>
      </c>
      <c r="AO72" s="73">
        <f t="shared" si="78"/>
        <v>17.500000000000004</v>
      </c>
      <c r="AQ72" s="20">
        <f t="shared" ref="AQ72:AQ82" si="93">$A72</f>
        <v>90</v>
      </c>
      <c r="AR72" s="20">
        <f t="shared" si="79"/>
        <v>0</v>
      </c>
      <c r="AS72" s="18">
        <f t="shared" si="80"/>
        <v>17.500000000000004</v>
      </c>
      <c r="AT72" s="18">
        <f t="shared" si="81"/>
        <v>17.499999999999982</v>
      </c>
      <c r="AU72" s="73">
        <f t="shared" si="82"/>
        <v>17.500000000000004</v>
      </c>
      <c r="AV72" s="73">
        <f t="shared" si="83"/>
        <v>17.500000000000004</v>
      </c>
      <c r="AW72" s="18">
        <f t="shared" ref="AW72:AW82" si="94">AS72</f>
        <v>17.500000000000004</v>
      </c>
      <c r="AX72" s="18">
        <f t="shared" ref="AX72:AX82" si="95">AS72</f>
        <v>17.500000000000004</v>
      </c>
      <c r="AZ72" s="5">
        <f>Premie_leeftijd!J71</f>
        <v>4.5084748614697967E-2</v>
      </c>
      <c r="BA72" s="5"/>
      <c r="BB72" s="54">
        <v>65</v>
      </c>
      <c r="BC72" s="54">
        <f t="shared" si="84"/>
        <v>110</v>
      </c>
      <c r="BD72" s="54">
        <f t="shared" si="85"/>
        <v>110</v>
      </c>
      <c r="BE72" s="54" t="b">
        <f t="shared" ref="BE72:BE82" si="96">BD72&gt;=AOWlftd</f>
        <v>1</v>
      </c>
      <c r="BF72" s="54">
        <f t="shared" si="86"/>
        <v>17.500000000000004</v>
      </c>
      <c r="BG72" s="54">
        <f t="shared" si="87"/>
        <v>17.499999999999996</v>
      </c>
      <c r="BH72" s="54">
        <f t="shared" si="88"/>
        <v>25</v>
      </c>
      <c r="BI72" s="54">
        <f t="shared" si="89"/>
        <v>17.5</v>
      </c>
      <c r="BJ72" s="54">
        <f t="shared" si="90"/>
        <v>17.500000000000004</v>
      </c>
    </row>
    <row r="73" spans="1:62" x14ac:dyDescent="0.25">
      <c r="A73" s="73">
        <f>Grondslag!A68</f>
        <v>91</v>
      </c>
      <c r="C73" s="73">
        <f t="shared" si="66"/>
        <v>91</v>
      </c>
      <c r="L73"/>
      <c r="M73" s="18">
        <f t="shared" si="65"/>
        <v>0</v>
      </c>
      <c r="N73" s="18">
        <f t="shared" si="65"/>
        <v>0</v>
      </c>
      <c r="O73" s="18">
        <f>Settings!$I$3*Grondslag!J68</f>
        <v>0</v>
      </c>
      <c r="P73" s="18">
        <f>Settings!$I$7*MAX(Grondslag!J68 - x*voltijdfranchise/1000*(Premie_leeftijd!T72=0),0)</f>
        <v>0</v>
      </c>
      <c r="Q73" s="18">
        <f>Settings!$I$7*MAX(Grondslag!J68 - voltijdfranchise/1000*(Premie_leeftijd!T72=0),0)</f>
        <v>0</v>
      </c>
      <c r="R73" s="18">
        <f>Settings!$I$3*Grondslag!J68*(1-Premie_leeftijd!R72)</f>
        <v>0</v>
      </c>
      <c r="S73" s="73">
        <f t="shared" si="91"/>
        <v>0</v>
      </c>
      <c r="U73" s="20" cm="1">
        <f t="array" ref="U73">U72*(1+reele_index_opb)</f>
        <v>17.500000000000004</v>
      </c>
      <c r="V73" s="20" cm="1">
        <f t="array" ref="V73">V72*(1+reele_index_opb)</f>
        <v>17.499999999999982</v>
      </c>
      <c r="W73" s="39" cm="1">
        <f t="array" ref="W73">W72*(1+reele_index_opb)</f>
        <v>17.500000000000004</v>
      </c>
      <c r="X73" s="20" cm="1">
        <f t="array" ref="X73">X72*(1+reele_index_opb)</f>
        <v>17.500000000000004</v>
      </c>
      <c r="Y73" s="20" cm="1">
        <f t="array" ref="Y73">Y72*(1+reele_index_opb)</f>
        <v>17.500000000000004</v>
      </c>
      <c r="Z73" s="20"/>
      <c r="AA73" s="20">
        <f t="shared" si="92"/>
        <v>91</v>
      </c>
      <c r="AB73" s="41">
        <f t="shared" si="67"/>
        <v>17.500000000000004</v>
      </c>
      <c r="AC73" s="41">
        <f t="shared" si="68"/>
        <v>17.499999999999982</v>
      </c>
      <c r="AD73" s="20">
        <f t="shared" si="69"/>
        <v>17.500000000000004</v>
      </c>
      <c r="AE73" s="20">
        <f t="shared" si="70"/>
        <v>17.500000000000004</v>
      </c>
      <c r="AF73" s="20">
        <f t="shared" si="64"/>
        <v>17.500000000000004</v>
      </c>
      <c r="AG73" s="20">
        <f t="shared" si="71"/>
        <v>17.500000000000004</v>
      </c>
      <c r="AI73" s="73">
        <f t="shared" si="72"/>
        <v>0</v>
      </c>
      <c r="AJ73" s="73">
        <f t="shared" si="73"/>
        <v>17.500000000000004</v>
      </c>
      <c r="AK73" s="73">
        <f t="shared" si="74"/>
        <v>17.499999999999982</v>
      </c>
      <c r="AL73" s="73">
        <f t="shared" si="75"/>
        <v>17.500000000000004</v>
      </c>
      <c r="AM73" s="73">
        <f t="shared" si="76"/>
        <v>17.500000000000004</v>
      </c>
      <c r="AN73" s="73">
        <f t="shared" si="77"/>
        <v>17.500000000000004</v>
      </c>
      <c r="AO73" s="73">
        <f t="shared" si="78"/>
        <v>17.500000000000004</v>
      </c>
      <c r="AQ73" s="20">
        <f t="shared" si="93"/>
        <v>91</v>
      </c>
      <c r="AR73" s="20">
        <f t="shared" si="79"/>
        <v>0</v>
      </c>
      <c r="AS73" s="18">
        <f t="shared" si="80"/>
        <v>17.500000000000004</v>
      </c>
      <c r="AT73" s="18">
        <f t="shared" si="81"/>
        <v>17.499999999999982</v>
      </c>
      <c r="AU73" s="73">
        <f t="shared" si="82"/>
        <v>17.500000000000004</v>
      </c>
      <c r="AV73" s="73">
        <f t="shared" si="83"/>
        <v>17.500000000000004</v>
      </c>
      <c r="AW73" s="18">
        <f t="shared" si="94"/>
        <v>17.500000000000004</v>
      </c>
      <c r="AX73" s="18">
        <f t="shared" si="95"/>
        <v>17.500000000000004</v>
      </c>
      <c r="AZ73" s="5">
        <f>Premie_leeftijd!J72</f>
        <v>4.674732133298326E-2</v>
      </c>
      <c r="BA73" s="5"/>
      <c r="BB73" s="54">
        <v>66</v>
      </c>
      <c r="BC73" s="54">
        <f t="shared" si="84"/>
        <v>111</v>
      </c>
      <c r="BD73" s="54">
        <f t="shared" si="85"/>
        <v>111</v>
      </c>
      <c r="BE73" s="54" t="b">
        <f t="shared" si="96"/>
        <v>1</v>
      </c>
      <c r="BF73" s="54">
        <f t="shared" si="86"/>
        <v>17.500000000000004</v>
      </c>
      <c r="BG73" s="54">
        <f t="shared" si="87"/>
        <v>17.499999999999996</v>
      </c>
      <c r="BH73" s="54">
        <f t="shared" si="88"/>
        <v>25</v>
      </c>
      <c r="BI73" s="54">
        <f t="shared" si="89"/>
        <v>17.5</v>
      </c>
      <c r="BJ73" s="54">
        <f t="shared" si="90"/>
        <v>17.500000000000004</v>
      </c>
    </row>
    <row r="74" spans="1:62" x14ac:dyDescent="0.25">
      <c r="A74" s="73">
        <f>Grondslag!A69</f>
        <v>92</v>
      </c>
      <c r="C74" s="73">
        <f t="shared" si="66"/>
        <v>92</v>
      </c>
      <c r="L74"/>
      <c r="M74" s="18">
        <f t="shared" si="65"/>
        <v>0</v>
      </c>
      <c r="N74" s="18">
        <f t="shared" si="65"/>
        <v>0</v>
      </c>
      <c r="O74" s="18">
        <f>Settings!$I$3*Grondslag!J69</f>
        <v>0</v>
      </c>
      <c r="P74" s="18">
        <f>Settings!$I$7*MAX(Grondslag!J69 - x*voltijdfranchise/1000*(Premie_leeftijd!T73=0),0)</f>
        <v>0</v>
      </c>
      <c r="Q74" s="18">
        <f>Settings!$I$7*MAX(Grondslag!J69 - voltijdfranchise/1000*(Premie_leeftijd!T73=0),0)</f>
        <v>0</v>
      </c>
      <c r="R74" s="18">
        <f>Settings!$I$3*Grondslag!J69*(1-Premie_leeftijd!R73)</f>
        <v>0</v>
      </c>
      <c r="S74" s="73">
        <f t="shared" si="91"/>
        <v>0</v>
      </c>
      <c r="U74" s="20" cm="1">
        <f t="array" ref="U74">U73*(1+reele_index_opb)</f>
        <v>17.500000000000004</v>
      </c>
      <c r="V74" s="20" cm="1">
        <f t="array" ref="V74">V73*(1+reele_index_opb)</f>
        <v>17.499999999999982</v>
      </c>
      <c r="W74" s="39" cm="1">
        <f t="array" ref="W74">W73*(1+reele_index_opb)</f>
        <v>17.500000000000004</v>
      </c>
      <c r="X74" s="20" cm="1">
        <f t="array" ref="X74">X73*(1+reele_index_opb)</f>
        <v>17.500000000000004</v>
      </c>
      <c r="Y74" s="20" cm="1">
        <f t="array" ref="Y74">Y73*(1+reele_index_opb)</f>
        <v>17.500000000000004</v>
      </c>
      <c r="Z74" s="20"/>
      <c r="AA74" s="20">
        <f t="shared" si="92"/>
        <v>92</v>
      </c>
      <c r="AB74" s="41">
        <f t="shared" si="67"/>
        <v>17.500000000000004</v>
      </c>
      <c r="AC74" s="41">
        <f t="shared" si="68"/>
        <v>17.499999999999982</v>
      </c>
      <c r="AD74" s="20">
        <f t="shared" si="69"/>
        <v>17.500000000000004</v>
      </c>
      <c r="AE74" s="20">
        <f t="shared" si="70"/>
        <v>17.500000000000004</v>
      </c>
      <c r="AF74" s="20">
        <f t="shared" si="64"/>
        <v>17.500000000000004</v>
      </c>
      <c r="AG74" s="20">
        <f t="shared" si="71"/>
        <v>17.500000000000004</v>
      </c>
      <c r="AI74" s="73">
        <f t="shared" si="72"/>
        <v>0</v>
      </c>
      <c r="AJ74" s="73">
        <f t="shared" si="73"/>
        <v>17.500000000000004</v>
      </c>
      <c r="AK74" s="73">
        <f t="shared" si="74"/>
        <v>17.499999999999982</v>
      </c>
      <c r="AL74" s="73">
        <f t="shared" si="75"/>
        <v>17.500000000000004</v>
      </c>
      <c r="AM74" s="73">
        <f t="shared" si="76"/>
        <v>17.500000000000004</v>
      </c>
      <c r="AN74" s="73">
        <f t="shared" si="77"/>
        <v>17.500000000000004</v>
      </c>
      <c r="AO74" s="73">
        <f t="shared" si="78"/>
        <v>17.500000000000004</v>
      </c>
      <c r="AQ74" s="20">
        <f t="shared" si="93"/>
        <v>92</v>
      </c>
      <c r="AR74" s="20">
        <f t="shared" si="79"/>
        <v>0</v>
      </c>
      <c r="AS74" s="18">
        <f t="shared" si="80"/>
        <v>17.500000000000004</v>
      </c>
      <c r="AT74" s="18">
        <f t="shared" si="81"/>
        <v>17.499999999999982</v>
      </c>
      <c r="AU74" s="73">
        <f t="shared" si="82"/>
        <v>17.500000000000004</v>
      </c>
      <c r="AV74" s="73">
        <f t="shared" si="83"/>
        <v>17.500000000000004</v>
      </c>
      <c r="AW74" s="18">
        <f t="shared" si="94"/>
        <v>17.500000000000004</v>
      </c>
      <c r="AX74" s="18">
        <f t="shared" si="95"/>
        <v>17.500000000000004</v>
      </c>
      <c r="AZ74" s="5">
        <f>Premie_leeftijd!J73</f>
        <v>4.6330500005117903E-2</v>
      </c>
      <c r="BA74" s="5"/>
      <c r="BB74" s="54">
        <v>67</v>
      </c>
      <c r="BC74" s="54">
        <f t="shared" si="84"/>
        <v>112</v>
      </c>
      <c r="BD74" s="54">
        <f t="shared" si="85"/>
        <v>112</v>
      </c>
      <c r="BE74" s="54" t="b">
        <f t="shared" si="96"/>
        <v>1</v>
      </c>
      <c r="BF74" s="54">
        <f t="shared" si="86"/>
        <v>17.500000000000004</v>
      </c>
      <c r="BG74" s="54">
        <f t="shared" si="87"/>
        <v>17.499999999999996</v>
      </c>
      <c r="BH74" s="54">
        <f t="shared" si="88"/>
        <v>25</v>
      </c>
      <c r="BI74" s="54">
        <f t="shared" si="89"/>
        <v>17.5</v>
      </c>
      <c r="BJ74" s="54">
        <f t="shared" si="90"/>
        <v>17.500000000000004</v>
      </c>
    </row>
    <row r="75" spans="1:62" x14ac:dyDescent="0.25">
      <c r="A75" s="73">
        <f>Grondslag!A70</f>
        <v>93</v>
      </c>
      <c r="C75" s="73">
        <f t="shared" si="66"/>
        <v>93</v>
      </c>
      <c r="L75"/>
      <c r="M75" s="18">
        <f t="shared" si="65"/>
        <v>0</v>
      </c>
      <c r="N75" s="18">
        <f t="shared" si="65"/>
        <v>0</v>
      </c>
      <c r="O75" s="18">
        <f>Settings!$I$3*Grondslag!J70</f>
        <v>0</v>
      </c>
      <c r="P75" s="18">
        <f>Settings!$I$7*MAX(Grondslag!J70 - x*voltijdfranchise/1000*(Premie_leeftijd!T74=0),0)</f>
        <v>0</v>
      </c>
      <c r="Q75" s="18">
        <f>Settings!$I$7*MAX(Grondslag!J70 - voltijdfranchise/1000*(Premie_leeftijd!T74=0),0)</f>
        <v>0</v>
      </c>
      <c r="R75" s="18">
        <f>Settings!$I$3*Grondslag!J70*(1-Premie_leeftijd!R74)</f>
        <v>0</v>
      </c>
      <c r="S75" s="73">
        <f t="shared" si="91"/>
        <v>0</v>
      </c>
      <c r="U75" s="20" cm="1">
        <f t="array" ref="U75">U74*(1+reele_index_opb)</f>
        <v>17.500000000000004</v>
      </c>
      <c r="V75" s="20" cm="1">
        <f t="array" ref="V75">V74*(1+reele_index_opb)</f>
        <v>17.499999999999982</v>
      </c>
      <c r="W75" s="39" cm="1">
        <f t="array" ref="W75">W74*(1+reele_index_opb)</f>
        <v>17.500000000000004</v>
      </c>
      <c r="X75" s="20" cm="1">
        <f t="array" ref="X75">X74*(1+reele_index_opb)</f>
        <v>17.500000000000004</v>
      </c>
      <c r="Y75" s="20" cm="1">
        <f t="array" ref="Y75">Y74*(1+reele_index_opb)</f>
        <v>17.500000000000004</v>
      </c>
      <c r="Z75" s="20"/>
      <c r="AA75" s="20">
        <f t="shared" si="92"/>
        <v>93</v>
      </c>
      <c r="AB75" s="41">
        <f t="shared" si="67"/>
        <v>17.500000000000004</v>
      </c>
      <c r="AC75" s="41">
        <f t="shared" si="68"/>
        <v>17.499999999999982</v>
      </c>
      <c r="AD75" s="20">
        <f t="shared" si="69"/>
        <v>17.500000000000004</v>
      </c>
      <c r="AE75" s="20">
        <f t="shared" si="70"/>
        <v>17.500000000000004</v>
      </c>
      <c r="AF75" s="20">
        <f t="shared" si="64"/>
        <v>17.500000000000004</v>
      </c>
      <c r="AG75" s="20">
        <f t="shared" si="71"/>
        <v>17.500000000000004</v>
      </c>
      <c r="AI75" s="73">
        <f t="shared" si="72"/>
        <v>0</v>
      </c>
      <c r="AJ75" s="73">
        <f t="shared" si="73"/>
        <v>17.500000000000004</v>
      </c>
      <c r="AK75" s="73">
        <f t="shared" si="74"/>
        <v>17.499999999999982</v>
      </c>
      <c r="AL75" s="73">
        <f t="shared" si="75"/>
        <v>17.500000000000004</v>
      </c>
      <c r="AM75" s="73">
        <f t="shared" si="76"/>
        <v>17.500000000000004</v>
      </c>
      <c r="AN75" s="73">
        <f t="shared" si="77"/>
        <v>17.500000000000004</v>
      </c>
      <c r="AO75" s="73">
        <f t="shared" si="78"/>
        <v>17.500000000000004</v>
      </c>
      <c r="AQ75" s="20">
        <f t="shared" si="93"/>
        <v>93</v>
      </c>
      <c r="AR75" s="20">
        <f t="shared" si="79"/>
        <v>0</v>
      </c>
      <c r="AS75" s="18">
        <f t="shared" si="80"/>
        <v>17.500000000000004</v>
      </c>
      <c r="AT75" s="18">
        <f t="shared" si="81"/>
        <v>17.499999999999982</v>
      </c>
      <c r="AU75" s="73">
        <f t="shared" si="82"/>
        <v>17.500000000000004</v>
      </c>
      <c r="AV75" s="73">
        <f t="shared" si="83"/>
        <v>17.500000000000004</v>
      </c>
      <c r="AW75" s="18">
        <f t="shared" si="94"/>
        <v>17.500000000000004</v>
      </c>
      <c r="AX75" s="18">
        <f t="shared" si="95"/>
        <v>17.500000000000004</v>
      </c>
      <c r="AZ75" s="5">
        <f>Premie_leeftijd!J74</f>
        <v>4.5783481225988687E-2</v>
      </c>
      <c r="BA75" s="5"/>
      <c r="BB75" s="54">
        <v>68</v>
      </c>
      <c r="BC75" s="54">
        <f t="shared" si="84"/>
        <v>113</v>
      </c>
      <c r="BD75" s="54">
        <f t="shared" si="85"/>
        <v>113</v>
      </c>
      <c r="BE75" s="54" t="b">
        <f t="shared" si="96"/>
        <v>1</v>
      </c>
      <c r="BF75" s="54">
        <f t="shared" si="86"/>
        <v>17.500000000000004</v>
      </c>
      <c r="BG75" s="54">
        <f t="shared" si="87"/>
        <v>17.499999999999996</v>
      </c>
      <c r="BH75" s="54">
        <f t="shared" si="88"/>
        <v>25</v>
      </c>
      <c r="BI75" s="54">
        <f t="shared" si="89"/>
        <v>17.5</v>
      </c>
      <c r="BJ75" s="54">
        <f t="shared" si="90"/>
        <v>17.500000000000004</v>
      </c>
    </row>
    <row r="76" spans="1:62" x14ac:dyDescent="0.25">
      <c r="A76" s="73">
        <f>Grondslag!A71</f>
        <v>94</v>
      </c>
      <c r="C76" s="73">
        <f t="shared" si="66"/>
        <v>94</v>
      </c>
      <c r="L76"/>
      <c r="M76" s="18">
        <f t="shared" si="65"/>
        <v>0</v>
      </c>
      <c r="N76" s="18">
        <f t="shared" si="65"/>
        <v>0</v>
      </c>
      <c r="O76" s="18">
        <f>Settings!$I$3*Grondslag!J71</f>
        <v>0</v>
      </c>
      <c r="P76" s="18">
        <f>Settings!$I$7*MAX(Grondslag!J71 - x*voltijdfranchise/1000*(Premie_leeftijd!T75=0),0)</f>
        <v>0</v>
      </c>
      <c r="Q76" s="18">
        <f>Settings!$I$7*MAX(Grondslag!J71 - voltijdfranchise/1000*(Premie_leeftijd!T75=0),0)</f>
        <v>0</v>
      </c>
      <c r="R76" s="18">
        <f>Settings!$I$3*Grondslag!J71*(1-Premie_leeftijd!R75)</f>
        <v>0</v>
      </c>
      <c r="S76" s="73">
        <f t="shared" si="91"/>
        <v>0</v>
      </c>
      <c r="U76" s="20" cm="1">
        <f t="array" ref="U76">U75*(1+reele_index_opb)</f>
        <v>17.500000000000004</v>
      </c>
      <c r="V76" s="20" cm="1">
        <f t="array" ref="V76">V75*(1+reele_index_opb)</f>
        <v>17.499999999999982</v>
      </c>
      <c r="W76" s="39" cm="1">
        <f t="array" ref="W76">W75*(1+reele_index_opb)</f>
        <v>17.500000000000004</v>
      </c>
      <c r="X76" s="20" cm="1">
        <f t="array" ref="X76">X75*(1+reele_index_opb)</f>
        <v>17.500000000000004</v>
      </c>
      <c r="Y76" s="20" cm="1">
        <f t="array" ref="Y76">Y75*(1+reele_index_opb)</f>
        <v>17.500000000000004</v>
      </c>
      <c r="Z76" s="20"/>
      <c r="AA76" s="20">
        <f t="shared" si="92"/>
        <v>94</v>
      </c>
      <c r="AB76" s="41">
        <f t="shared" si="67"/>
        <v>17.500000000000004</v>
      </c>
      <c r="AC76" s="41">
        <f t="shared" si="68"/>
        <v>17.499999999999982</v>
      </c>
      <c r="AD76" s="20">
        <f t="shared" si="69"/>
        <v>17.500000000000004</v>
      </c>
      <c r="AE76" s="20">
        <f t="shared" si="70"/>
        <v>17.500000000000004</v>
      </c>
      <c r="AF76" s="20">
        <f t="shared" si="64"/>
        <v>17.500000000000004</v>
      </c>
      <c r="AG76" s="20">
        <f t="shared" si="71"/>
        <v>17.500000000000004</v>
      </c>
      <c r="AI76" s="73">
        <f t="shared" si="72"/>
        <v>0</v>
      </c>
      <c r="AJ76" s="73">
        <f t="shared" si="73"/>
        <v>17.500000000000004</v>
      </c>
      <c r="AK76" s="73">
        <f t="shared" si="74"/>
        <v>17.499999999999982</v>
      </c>
      <c r="AL76" s="73">
        <f t="shared" si="75"/>
        <v>17.500000000000004</v>
      </c>
      <c r="AM76" s="73">
        <f t="shared" si="76"/>
        <v>17.500000000000004</v>
      </c>
      <c r="AN76" s="73">
        <f t="shared" si="77"/>
        <v>17.500000000000004</v>
      </c>
      <c r="AO76" s="73">
        <f t="shared" si="78"/>
        <v>17.500000000000004</v>
      </c>
      <c r="AQ76" s="20">
        <f t="shared" si="93"/>
        <v>94</v>
      </c>
      <c r="AR76" s="20">
        <f t="shared" si="79"/>
        <v>0</v>
      </c>
      <c r="AS76" s="18">
        <f t="shared" si="80"/>
        <v>17.500000000000004</v>
      </c>
      <c r="AT76" s="18">
        <f t="shared" si="81"/>
        <v>17.499999999999982</v>
      </c>
      <c r="AU76" s="73">
        <f t="shared" si="82"/>
        <v>17.500000000000004</v>
      </c>
      <c r="AV76" s="73">
        <f t="shared" si="83"/>
        <v>17.500000000000004</v>
      </c>
      <c r="AW76" s="18">
        <f t="shared" si="94"/>
        <v>17.500000000000004</v>
      </c>
      <c r="AX76" s="18">
        <f t="shared" si="95"/>
        <v>17.500000000000004</v>
      </c>
      <c r="AZ76" s="5">
        <f>Premie_leeftijd!J75</f>
        <v>4.4175330225620146E-2</v>
      </c>
      <c r="BA76" s="5"/>
      <c r="BB76" s="54">
        <v>69</v>
      </c>
      <c r="BC76" s="54">
        <f t="shared" si="84"/>
        <v>114</v>
      </c>
      <c r="BD76" s="54">
        <f t="shared" si="85"/>
        <v>114</v>
      </c>
      <c r="BE76" s="54" t="b">
        <f t="shared" si="96"/>
        <v>1</v>
      </c>
      <c r="BF76" s="54">
        <f t="shared" si="86"/>
        <v>17.500000000000004</v>
      </c>
      <c r="BG76" s="54">
        <f t="shared" si="87"/>
        <v>17.499999999999996</v>
      </c>
      <c r="BH76" s="54">
        <f t="shared" si="88"/>
        <v>25</v>
      </c>
      <c r="BI76" s="54">
        <f t="shared" si="89"/>
        <v>17.5</v>
      </c>
      <c r="BJ76" s="54">
        <f t="shared" si="90"/>
        <v>17.500000000000004</v>
      </c>
    </row>
    <row r="77" spans="1:62" x14ac:dyDescent="0.25">
      <c r="A77" s="73">
        <f>Grondslag!A72</f>
        <v>95</v>
      </c>
      <c r="C77" s="73">
        <f t="shared" si="66"/>
        <v>95</v>
      </c>
      <c r="L77"/>
      <c r="M77" s="18">
        <f t="shared" si="65"/>
        <v>0</v>
      </c>
      <c r="N77" s="18">
        <f t="shared" si="65"/>
        <v>0</v>
      </c>
      <c r="O77" s="18">
        <f>Settings!$I$3*Grondslag!J72</f>
        <v>0</v>
      </c>
      <c r="P77" s="18">
        <f>Settings!$I$7*MAX(Grondslag!J72 - x*voltijdfranchise/1000*(Premie_leeftijd!T76=0),0)</f>
        <v>0</v>
      </c>
      <c r="Q77" s="18">
        <f>Settings!$I$7*MAX(Grondslag!J72 - voltijdfranchise/1000*(Premie_leeftijd!T76=0),0)</f>
        <v>0</v>
      </c>
      <c r="R77" s="18">
        <f>Settings!$I$3*Grondslag!J72*(1-Premie_leeftijd!R76)</f>
        <v>0</v>
      </c>
      <c r="S77" s="73">
        <f t="shared" si="91"/>
        <v>0</v>
      </c>
      <c r="U77" s="20" cm="1">
        <f t="array" ref="U77">U76*(1+reele_index_opb)</f>
        <v>17.500000000000004</v>
      </c>
      <c r="V77" s="20" cm="1">
        <f t="array" ref="V77">V76*(1+reele_index_opb)</f>
        <v>17.499999999999982</v>
      </c>
      <c r="W77" s="39" cm="1">
        <f t="array" ref="W77">W76*(1+reele_index_opb)</f>
        <v>17.500000000000004</v>
      </c>
      <c r="X77" s="20" cm="1">
        <f t="array" ref="X77">X76*(1+reele_index_opb)</f>
        <v>17.500000000000004</v>
      </c>
      <c r="Y77" s="20" cm="1">
        <f t="array" ref="Y77">Y76*(1+reele_index_opb)</f>
        <v>17.500000000000004</v>
      </c>
      <c r="Z77" s="20"/>
      <c r="AA77" s="20">
        <f t="shared" si="92"/>
        <v>95</v>
      </c>
      <c r="AB77" s="41">
        <f t="shared" si="67"/>
        <v>17.500000000000004</v>
      </c>
      <c r="AC77" s="41">
        <f t="shared" si="68"/>
        <v>17.499999999999982</v>
      </c>
      <c r="AD77" s="20">
        <f t="shared" si="69"/>
        <v>17.500000000000004</v>
      </c>
      <c r="AE77" s="20">
        <f t="shared" si="70"/>
        <v>17.500000000000004</v>
      </c>
      <c r="AF77" s="20">
        <f t="shared" si="64"/>
        <v>17.500000000000004</v>
      </c>
      <c r="AG77" s="20">
        <f t="shared" si="71"/>
        <v>17.500000000000004</v>
      </c>
      <c r="AI77" s="73">
        <f t="shared" si="72"/>
        <v>0</v>
      </c>
      <c r="AJ77" s="73">
        <f t="shared" si="73"/>
        <v>17.500000000000004</v>
      </c>
      <c r="AK77" s="73">
        <f t="shared" si="74"/>
        <v>17.499999999999982</v>
      </c>
      <c r="AL77" s="73">
        <f t="shared" si="75"/>
        <v>17.500000000000004</v>
      </c>
      <c r="AM77" s="73">
        <f t="shared" si="76"/>
        <v>17.500000000000004</v>
      </c>
      <c r="AN77" s="73">
        <f t="shared" si="77"/>
        <v>17.500000000000004</v>
      </c>
      <c r="AO77" s="73">
        <f t="shared" si="78"/>
        <v>17.500000000000004</v>
      </c>
      <c r="AQ77" s="20">
        <f t="shared" si="93"/>
        <v>95</v>
      </c>
      <c r="AR77" s="20">
        <f t="shared" si="79"/>
        <v>0</v>
      </c>
      <c r="AS77" s="18">
        <f t="shared" si="80"/>
        <v>17.500000000000004</v>
      </c>
      <c r="AT77" s="18">
        <f t="shared" si="81"/>
        <v>17.499999999999982</v>
      </c>
      <c r="AU77" s="73">
        <f t="shared" si="82"/>
        <v>17.500000000000004</v>
      </c>
      <c r="AV77" s="73">
        <f t="shared" si="83"/>
        <v>17.500000000000004</v>
      </c>
      <c r="AW77" s="18">
        <f t="shared" si="94"/>
        <v>17.500000000000004</v>
      </c>
      <c r="AX77" s="18">
        <f t="shared" si="95"/>
        <v>17.500000000000004</v>
      </c>
      <c r="AZ77" s="5">
        <f>Premie_leeftijd!J76</f>
        <v>4.1481795409287286E-2</v>
      </c>
      <c r="BA77" s="5"/>
      <c r="BB77" s="54">
        <v>70</v>
      </c>
      <c r="BC77" s="54">
        <f t="shared" si="84"/>
        <v>115</v>
      </c>
      <c r="BD77" s="54">
        <f t="shared" si="85"/>
        <v>115</v>
      </c>
      <c r="BE77" s="54" t="b">
        <f t="shared" si="96"/>
        <v>1</v>
      </c>
      <c r="BF77" s="54">
        <f t="shared" si="86"/>
        <v>17.500000000000004</v>
      </c>
      <c r="BG77" s="54">
        <f t="shared" si="87"/>
        <v>17.499999999999996</v>
      </c>
      <c r="BH77" s="54">
        <f t="shared" si="88"/>
        <v>25</v>
      </c>
      <c r="BI77" s="54">
        <f t="shared" si="89"/>
        <v>17.5</v>
      </c>
      <c r="BJ77" s="54">
        <f t="shared" si="90"/>
        <v>17.500000000000004</v>
      </c>
    </row>
    <row r="78" spans="1:62" x14ac:dyDescent="0.25">
      <c r="A78" s="73">
        <f>Grondslag!A73</f>
        <v>96</v>
      </c>
      <c r="C78" s="73">
        <f t="shared" si="66"/>
        <v>96</v>
      </c>
      <c r="L78"/>
      <c r="M78" s="18">
        <f t="shared" si="65"/>
        <v>0</v>
      </c>
      <c r="N78" s="18">
        <f t="shared" si="65"/>
        <v>0</v>
      </c>
      <c r="O78" s="18">
        <f>Settings!$I$3*Grondslag!J73</f>
        <v>0</v>
      </c>
      <c r="P78" s="18">
        <f>Settings!$I$7*MAX(Grondslag!J73 - x*voltijdfranchise/1000*(Premie_leeftijd!T77=0),0)</f>
        <v>0</v>
      </c>
      <c r="Q78" s="18">
        <f>Settings!$I$7*MAX(Grondslag!J73 - voltijdfranchise/1000*(Premie_leeftijd!T77=0),0)</f>
        <v>0</v>
      </c>
      <c r="R78" s="18">
        <f>Settings!$I$3*Grondslag!J73*(1-Premie_leeftijd!R77)</f>
        <v>0</v>
      </c>
      <c r="S78" s="73">
        <f t="shared" si="91"/>
        <v>0</v>
      </c>
      <c r="U78" s="20" cm="1">
        <f t="array" ref="U78">U77*(1+reele_index_opb)</f>
        <v>17.500000000000004</v>
      </c>
      <c r="V78" s="20" cm="1">
        <f t="array" ref="V78">V77*(1+reele_index_opb)</f>
        <v>17.499999999999982</v>
      </c>
      <c r="W78" s="39" cm="1">
        <f t="array" ref="W78">W77*(1+reele_index_opb)</f>
        <v>17.500000000000004</v>
      </c>
      <c r="X78" s="20" cm="1">
        <f t="array" ref="X78">X77*(1+reele_index_opb)</f>
        <v>17.500000000000004</v>
      </c>
      <c r="Y78" s="20" cm="1">
        <f t="array" ref="Y78">Y77*(1+reele_index_opb)</f>
        <v>17.500000000000004</v>
      </c>
      <c r="Z78" s="20"/>
      <c r="AA78" s="20">
        <f t="shared" si="92"/>
        <v>96</v>
      </c>
      <c r="AB78" s="41">
        <f t="shared" si="67"/>
        <v>17.500000000000004</v>
      </c>
      <c r="AC78" s="41">
        <f t="shared" si="68"/>
        <v>17.499999999999982</v>
      </c>
      <c r="AD78" s="20">
        <f t="shared" si="69"/>
        <v>17.500000000000004</v>
      </c>
      <c r="AE78" s="20">
        <f t="shared" si="70"/>
        <v>17.500000000000004</v>
      </c>
      <c r="AF78" s="20">
        <f t="shared" si="64"/>
        <v>17.500000000000004</v>
      </c>
      <c r="AG78" s="20">
        <f t="shared" si="71"/>
        <v>17.500000000000004</v>
      </c>
      <c r="AI78" s="73">
        <f t="shared" si="72"/>
        <v>0</v>
      </c>
      <c r="AJ78" s="73">
        <f t="shared" si="73"/>
        <v>17.500000000000004</v>
      </c>
      <c r="AK78" s="73">
        <f t="shared" si="74"/>
        <v>17.499999999999982</v>
      </c>
      <c r="AL78" s="73">
        <f t="shared" si="75"/>
        <v>17.500000000000004</v>
      </c>
      <c r="AM78" s="73">
        <f t="shared" si="76"/>
        <v>17.500000000000004</v>
      </c>
      <c r="AN78" s="73">
        <f t="shared" si="77"/>
        <v>17.500000000000004</v>
      </c>
      <c r="AO78" s="73">
        <f t="shared" si="78"/>
        <v>17.500000000000004</v>
      </c>
      <c r="AQ78" s="20">
        <f t="shared" si="93"/>
        <v>96</v>
      </c>
      <c r="AR78" s="20">
        <f t="shared" si="79"/>
        <v>0</v>
      </c>
      <c r="AS78" s="18">
        <f t="shared" si="80"/>
        <v>17.500000000000004</v>
      </c>
      <c r="AT78" s="18">
        <f t="shared" si="81"/>
        <v>17.499999999999982</v>
      </c>
      <c r="AU78" s="73">
        <f t="shared" si="82"/>
        <v>17.500000000000004</v>
      </c>
      <c r="AV78" s="73">
        <f t="shared" si="83"/>
        <v>17.500000000000004</v>
      </c>
      <c r="AW78" s="18">
        <f t="shared" si="94"/>
        <v>17.500000000000004</v>
      </c>
      <c r="AX78" s="18">
        <f t="shared" si="95"/>
        <v>17.500000000000004</v>
      </c>
      <c r="AZ78" s="5">
        <f>Premie_leeftijd!J77</f>
        <v>3.7776705054921228E-2</v>
      </c>
      <c r="BA78" s="5"/>
      <c r="BB78" s="54">
        <v>71</v>
      </c>
      <c r="BC78" s="54">
        <f t="shared" si="84"/>
        <v>116</v>
      </c>
      <c r="BD78" s="54">
        <f t="shared" si="85"/>
        <v>116</v>
      </c>
      <c r="BE78" s="54" t="b">
        <f t="shared" si="96"/>
        <v>1</v>
      </c>
      <c r="BF78" s="54">
        <f t="shared" si="86"/>
        <v>17.500000000000004</v>
      </c>
      <c r="BG78" s="54">
        <f t="shared" si="87"/>
        <v>17.499999999999996</v>
      </c>
      <c r="BH78" s="54">
        <f t="shared" si="88"/>
        <v>25</v>
      </c>
      <c r="BI78" s="54">
        <f t="shared" si="89"/>
        <v>17.5</v>
      </c>
      <c r="BJ78" s="54">
        <f t="shared" si="90"/>
        <v>17.500000000000004</v>
      </c>
    </row>
    <row r="79" spans="1:62" x14ac:dyDescent="0.25">
      <c r="A79" s="73">
        <f>Grondslag!A74</f>
        <v>97</v>
      </c>
      <c r="C79" s="73">
        <f t="shared" si="66"/>
        <v>97</v>
      </c>
      <c r="L79"/>
      <c r="M79" s="18">
        <f t="shared" si="65"/>
        <v>0</v>
      </c>
      <c r="N79" s="18">
        <f t="shared" si="65"/>
        <v>0</v>
      </c>
      <c r="O79" s="18">
        <f>Settings!$I$3*Grondslag!J74</f>
        <v>0</v>
      </c>
      <c r="P79" s="18">
        <f>Settings!$I$7*MAX(Grondslag!J74 - x*voltijdfranchise/1000*(Premie_leeftijd!T78=0),0)</f>
        <v>0</v>
      </c>
      <c r="Q79" s="18">
        <f>Settings!$I$7*MAX(Grondslag!J74 - voltijdfranchise/1000*(Premie_leeftijd!T78=0),0)</f>
        <v>0</v>
      </c>
      <c r="R79" s="18">
        <f>Settings!$I$3*Grondslag!J74*(1-Premie_leeftijd!R78)</f>
        <v>0</v>
      </c>
      <c r="S79" s="73">
        <f t="shared" si="91"/>
        <v>0</v>
      </c>
      <c r="U79" s="20" cm="1">
        <f t="array" ref="U79">U78*(1+reele_index_opb)</f>
        <v>17.500000000000004</v>
      </c>
      <c r="V79" s="20" cm="1">
        <f t="array" ref="V79">V78*(1+reele_index_opb)</f>
        <v>17.499999999999982</v>
      </c>
      <c r="W79" s="39" cm="1">
        <f t="array" ref="W79">W78*(1+reele_index_opb)</f>
        <v>17.500000000000004</v>
      </c>
      <c r="X79" s="20" cm="1">
        <f t="array" ref="X79">X78*(1+reele_index_opb)</f>
        <v>17.500000000000004</v>
      </c>
      <c r="Y79" s="20" cm="1">
        <f t="array" ref="Y79">Y78*(1+reele_index_opb)</f>
        <v>17.500000000000004</v>
      </c>
      <c r="Z79" s="20"/>
      <c r="AA79" s="20">
        <f t="shared" si="92"/>
        <v>97</v>
      </c>
      <c r="AB79" s="41">
        <f t="shared" si="67"/>
        <v>17.500000000000004</v>
      </c>
      <c r="AC79" s="41">
        <f t="shared" si="68"/>
        <v>17.499999999999982</v>
      </c>
      <c r="AD79" s="20">
        <f t="shared" si="69"/>
        <v>17.500000000000004</v>
      </c>
      <c r="AE79" s="20">
        <f t="shared" si="70"/>
        <v>17.500000000000004</v>
      </c>
      <c r="AF79" s="20">
        <f t="shared" si="64"/>
        <v>17.500000000000004</v>
      </c>
      <c r="AG79" s="20">
        <f t="shared" si="71"/>
        <v>17.500000000000004</v>
      </c>
      <c r="AI79" s="73">
        <f t="shared" si="72"/>
        <v>0</v>
      </c>
      <c r="AJ79" s="73">
        <f t="shared" si="73"/>
        <v>17.500000000000004</v>
      </c>
      <c r="AK79" s="73">
        <f t="shared" si="74"/>
        <v>17.499999999999982</v>
      </c>
      <c r="AL79" s="73">
        <f t="shared" si="75"/>
        <v>17.500000000000004</v>
      </c>
      <c r="AM79" s="73">
        <f t="shared" si="76"/>
        <v>17.500000000000004</v>
      </c>
      <c r="AN79" s="73">
        <f t="shared" si="77"/>
        <v>17.500000000000004</v>
      </c>
      <c r="AO79" s="73">
        <f t="shared" si="78"/>
        <v>17.500000000000004</v>
      </c>
      <c r="AQ79" s="20">
        <f t="shared" si="93"/>
        <v>97</v>
      </c>
      <c r="AR79" s="20">
        <f t="shared" si="79"/>
        <v>0</v>
      </c>
      <c r="AS79" s="18">
        <f t="shared" si="80"/>
        <v>17.500000000000004</v>
      </c>
      <c r="AT79" s="18">
        <f t="shared" si="81"/>
        <v>17.499999999999982</v>
      </c>
      <c r="AU79" s="73">
        <f t="shared" si="82"/>
        <v>17.500000000000004</v>
      </c>
      <c r="AV79" s="73">
        <f t="shared" si="83"/>
        <v>17.500000000000004</v>
      </c>
      <c r="AW79" s="18">
        <f t="shared" si="94"/>
        <v>17.500000000000004</v>
      </c>
      <c r="AX79" s="18">
        <f t="shared" si="95"/>
        <v>17.500000000000004</v>
      </c>
      <c r="AZ79" s="5">
        <f>Premie_leeftijd!J78</f>
        <v>3.3242456213949639E-2</v>
      </c>
      <c r="BA79" s="5"/>
      <c r="BB79" s="54">
        <v>72</v>
      </c>
      <c r="BC79" s="54">
        <f t="shared" si="84"/>
        <v>117</v>
      </c>
      <c r="BD79" s="54">
        <f t="shared" si="85"/>
        <v>117</v>
      </c>
      <c r="BE79" s="54" t="b">
        <f t="shared" si="96"/>
        <v>1</v>
      </c>
      <c r="BF79" s="54">
        <f t="shared" si="86"/>
        <v>17.500000000000004</v>
      </c>
      <c r="BG79" s="54">
        <f t="shared" si="87"/>
        <v>17.499999999999996</v>
      </c>
      <c r="BH79" s="54">
        <f t="shared" si="88"/>
        <v>25</v>
      </c>
      <c r="BI79" s="54">
        <f t="shared" si="89"/>
        <v>17.5</v>
      </c>
      <c r="BJ79" s="54">
        <f t="shared" si="90"/>
        <v>17.500000000000004</v>
      </c>
    </row>
    <row r="80" spans="1:62" x14ac:dyDescent="0.25">
      <c r="A80" s="73">
        <f>Grondslag!A75</f>
        <v>98</v>
      </c>
      <c r="C80" s="73">
        <f t="shared" si="66"/>
        <v>98</v>
      </c>
      <c r="L80"/>
      <c r="M80" s="18">
        <f t="shared" si="65"/>
        <v>0</v>
      </c>
      <c r="N80" s="18">
        <f t="shared" si="65"/>
        <v>0</v>
      </c>
      <c r="O80" s="18">
        <f>Settings!$I$3*Grondslag!J75</f>
        <v>0</v>
      </c>
      <c r="P80" s="18">
        <f>Settings!$I$7*MAX(Grondslag!J75 - x*voltijdfranchise/1000*(Premie_leeftijd!T79=0),0)</f>
        <v>0</v>
      </c>
      <c r="Q80" s="18">
        <f>Settings!$I$7*MAX(Grondslag!J75 - voltijdfranchise/1000*(Premie_leeftijd!T79=0),0)</f>
        <v>0</v>
      </c>
      <c r="R80" s="18">
        <f>Settings!$I$3*Grondslag!J75*(1-Premie_leeftijd!R79)</f>
        <v>0</v>
      </c>
      <c r="S80" s="73">
        <f t="shared" si="91"/>
        <v>0</v>
      </c>
      <c r="U80" s="20" cm="1">
        <f t="array" ref="U80">U79*(1+reele_index_opb)</f>
        <v>17.500000000000004</v>
      </c>
      <c r="V80" s="20" cm="1">
        <f t="array" ref="V80">V79*(1+reele_index_opb)</f>
        <v>17.499999999999982</v>
      </c>
      <c r="W80" s="39" cm="1">
        <f t="array" ref="W80">W79*(1+reele_index_opb)</f>
        <v>17.500000000000004</v>
      </c>
      <c r="X80" s="20" cm="1">
        <f t="array" ref="X80">X79*(1+reele_index_opb)</f>
        <v>17.500000000000004</v>
      </c>
      <c r="Y80" s="20" cm="1">
        <f t="array" ref="Y80">Y79*(1+reele_index_opb)</f>
        <v>17.500000000000004</v>
      </c>
      <c r="Z80" s="20"/>
      <c r="AA80" s="20">
        <f t="shared" si="92"/>
        <v>98</v>
      </c>
      <c r="AB80" s="41">
        <f t="shared" si="67"/>
        <v>17.500000000000004</v>
      </c>
      <c r="AC80" s="41">
        <f t="shared" si="68"/>
        <v>17.499999999999982</v>
      </c>
      <c r="AD80" s="20">
        <f t="shared" si="69"/>
        <v>17.500000000000004</v>
      </c>
      <c r="AE80" s="20">
        <f t="shared" si="70"/>
        <v>17.500000000000004</v>
      </c>
      <c r="AF80" s="20">
        <f t="shared" si="64"/>
        <v>17.500000000000004</v>
      </c>
      <c r="AG80" s="20">
        <f t="shared" si="71"/>
        <v>17.500000000000004</v>
      </c>
      <c r="AI80" s="73">
        <f t="shared" si="72"/>
        <v>0</v>
      </c>
      <c r="AJ80" s="73">
        <f t="shared" si="73"/>
        <v>17.500000000000004</v>
      </c>
      <c r="AK80" s="73">
        <f t="shared" si="74"/>
        <v>17.499999999999982</v>
      </c>
      <c r="AL80" s="73">
        <f t="shared" si="75"/>
        <v>17.500000000000004</v>
      </c>
      <c r="AM80" s="73">
        <f t="shared" si="76"/>
        <v>17.500000000000004</v>
      </c>
      <c r="AN80" s="73">
        <f t="shared" si="77"/>
        <v>17.500000000000004</v>
      </c>
      <c r="AO80" s="73">
        <f t="shared" si="78"/>
        <v>17.500000000000004</v>
      </c>
      <c r="AQ80" s="20">
        <f t="shared" si="93"/>
        <v>98</v>
      </c>
      <c r="AR80" s="20">
        <f t="shared" si="79"/>
        <v>0</v>
      </c>
      <c r="AS80" s="18">
        <f t="shared" si="80"/>
        <v>17.500000000000004</v>
      </c>
      <c r="AT80" s="18">
        <f t="shared" si="81"/>
        <v>17.499999999999982</v>
      </c>
      <c r="AU80" s="73">
        <f t="shared" si="82"/>
        <v>17.500000000000004</v>
      </c>
      <c r="AV80" s="73">
        <f t="shared" si="83"/>
        <v>17.500000000000004</v>
      </c>
      <c r="AW80" s="18">
        <f t="shared" si="94"/>
        <v>17.500000000000004</v>
      </c>
      <c r="AX80" s="18">
        <f t="shared" si="95"/>
        <v>17.500000000000004</v>
      </c>
      <c r="AZ80" s="5">
        <f>Premie_leeftijd!J79</f>
        <v>2.8161131771948233E-2</v>
      </c>
      <c r="BA80" s="5"/>
      <c r="BB80" s="54">
        <v>73</v>
      </c>
      <c r="BC80" s="54">
        <f t="shared" si="84"/>
        <v>118</v>
      </c>
      <c r="BD80" s="54">
        <f t="shared" si="85"/>
        <v>118</v>
      </c>
      <c r="BE80" s="54" t="b">
        <f t="shared" si="96"/>
        <v>1</v>
      </c>
      <c r="BF80" s="54">
        <f t="shared" si="86"/>
        <v>17.500000000000004</v>
      </c>
      <c r="BG80" s="54">
        <f t="shared" si="87"/>
        <v>17.499999999999996</v>
      </c>
      <c r="BH80" s="54">
        <f t="shared" si="88"/>
        <v>25</v>
      </c>
      <c r="BI80" s="54">
        <f t="shared" si="89"/>
        <v>17.5</v>
      </c>
      <c r="BJ80" s="54">
        <f t="shared" si="90"/>
        <v>17.500000000000004</v>
      </c>
    </row>
    <row r="81" spans="1:62" x14ac:dyDescent="0.25">
      <c r="A81" s="73">
        <f>Grondslag!A76</f>
        <v>99</v>
      </c>
      <c r="C81" s="73">
        <f t="shared" si="66"/>
        <v>99</v>
      </c>
      <c r="L81"/>
      <c r="M81" s="18">
        <f t="shared" si="65"/>
        <v>0</v>
      </c>
      <c r="N81" s="18">
        <f t="shared" si="65"/>
        <v>0</v>
      </c>
      <c r="O81" s="18">
        <f>Settings!$I$3*Grondslag!J76</f>
        <v>0</v>
      </c>
      <c r="P81" s="18">
        <f>Settings!$I$7*MAX(Grondslag!J76 - x*voltijdfranchise/1000*(Premie_leeftijd!T80=0),0)</f>
        <v>0</v>
      </c>
      <c r="Q81" s="18">
        <f>Settings!$I$7*MAX(Grondslag!J76 - voltijdfranchise/1000*(Premie_leeftijd!T80=0),0)</f>
        <v>0</v>
      </c>
      <c r="R81" s="18">
        <f>Settings!$I$3*Grondslag!J76*(1-Premie_leeftijd!R80)</f>
        <v>0</v>
      </c>
      <c r="S81" s="73">
        <f t="shared" si="91"/>
        <v>0</v>
      </c>
      <c r="U81" s="20" cm="1">
        <f t="array" ref="U81">U80*(1+reele_index_opb)</f>
        <v>17.500000000000004</v>
      </c>
      <c r="V81" s="20" cm="1">
        <f t="array" ref="V81">V80*(1+reele_index_opb)</f>
        <v>17.499999999999982</v>
      </c>
      <c r="W81" s="39" cm="1">
        <f t="array" ref="W81">W80*(1+reele_index_opb)</f>
        <v>17.500000000000004</v>
      </c>
      <c r="X81" s="20" cm="1">
        <f t="array" ref="X81">X80*(1+reele_index_opb)</f>
        <v>17.500000000000004</v>
      </c>
      <c r="Y81" s="20" cm="1">
        <f t="array" ref="Y81">Y80*(1+reele_index_opb)</f>
        <v>17.500000000000004</v>
      </c>
      <c r="Z81" s="20"/>
      <c r="AA81" s="20">
        <f t="shared" si="92"/>
        <v>99</v>
      </c>
      <c r="AB81" s="41">
        <f t="shared" si="67"/>
        <v>17.500000000000004</v>
      </c>
      <c r="AC81" s="41">
        <f t="shared" si="68"/>
        <v>17.499999999999982</v>
      </c>
      <c r="AD81" s="20">
        <f t="shared" si="69"/>
        <v>17.500000000000004</v>
      </c>
      <c r="AE81" s="20">
        <f t="shared" si="70"/>
        <v>17.500000000000004</v>
      </c>
      <c r="AF81" s="20">
        <f t="shared" si="64"/>
        <v>17.500000000000004</v>
      </c>
      <c r="AG81" s="20">
        <f t="shared" si="71"/>
        <v>17.500000000000004</v>
      </c>
      <c r="AI81" s="73">
        <f t="shared" si="72"/>
        <v>0</v>
      </c>
      <c r="AJ81" s="73">
        <f t="shared" si="73"/>
        <v>17.500000000000004</v>
      </c>
      <c r="AK81" s="73">
        <f t="shared" si="74"/>
        <v>17.499999999999982</v>
      </c>
      <c r="AL81" s="73">
        <f t="shared" si="75"/>
        <v>17.500000000000004</v>
      </c>
      <c r="AM81" s="73">
        <f t="shared" si="76"/>
        <v>17.500000000000004</v>
      </c>
      <c r="AN81" s="73">
        <f t="shared" si="77"/>
        <v>17.500000000000004</v>
      </c>
      <c r="AO81" s="73">
        <f t="shared" si="78"/>
        <v>17.500000000000004</v>
      </c>
      <c r="AQ81" s="20">
        <f t="shared" si="93"/>
        <v>99</v>
      </c>
      <c r="AR81" s="20">
        <f t="shared" si="79"/>
        <v>0</v>
      </c>
      <c r="AS81" s="18">
        <f t="shared" si="80"/>
        <v>17.500000000000004</v>
      </c>
      <c r="AT81" s="18">
        <f t="shared" si="81"/>
        <v>17.499999999999982</v>
      </c>
      <c r="AU81" s="73">
        <f t="shared" si="82"/>
        <v>17.500000000000004</v>
      </c>
      <c r="AV81" s="73">
        <f t="shared" si="83"/>
        <v>17.500000000000004</v>
      </c>
      <c r="AW81" s="18">
        <f t="shared" si="94"/>
        <v>17.500000000000004</v>
      </c>
      <c r="AX81" s="18">
        <f t="shared" si="95"/>
        <v>17.500000000000004</v>
      </c>
      <c r="AZ81" s="5">
        <f>Premie_leeftijd!J80</f>
        <v>2.2882634286400812E-2</v>
      </c>
      <c r="BA81" s="5"/>
      <c r="BB81" s="54">
        <v>74</v>
      </c>
      <c r="BC81" s="54">
        <f t="shared" si="84"/>
        <v>119</v>
      </c>
      <c r="BD81" s="54">
        <f t="shared" si="85"/>
        <v>119</v>
      </c>
      <c r="BE81" s="54" t="b">
        <f t="shared" si="96"/>
        <v>1</v>
      </c>
      <c r="BF81" s="54">
        <f t="shared" si="86"/>
        <v>17.500000000000004</v>
      </c>
      <c r="BG81" s="54">
        <f t="shared" si="87"/>
        <v>17.499999999999996</v>
      </c>
      <c r="BH81" s="54">
        <f t="shared" si="88"/>
        <v>25</v>
      </c>
      <c r="BI81" s="54">
        <f t="shared" si="89"/>
        <v>17.5</v>
      </c>
      <c r="BJ81" s="54">
        <f t="shared" si="90"/>
        <v>17.500000000000004</v>
      </c>
    </row>
    <row r="82" spans="1:62" x14ac:dyDescent="0.25">
      <c r="A82" s="73">
        <f>Grondslag!A77</f>
        <v>100</v>
      </c>
      <c r="C82" s="73">
        <f t="shared" si="66"/>
        <v>100</v>
      </c>
      <c r="L82"/>
      <c r="M82" s="18">
        <f t="shared" si="65"/>
        <v>0</v>
      </c>
      <c r="N82" s="18">
        <f t="shared" si="65"/>
        <v>0</v>
      </c>
      <c r="O82" s="18">
        <f>Settings!$I$3*Grondslag!J77</f>
        <v>0</v>
      </c>
      <c r="P82" s="18">
        <f>Settings!$I$7*MAX(Grondslag!J77 - x*voltijdfranchise/1000*(Premie_leeftijd!T81=0),0)</f>
        <v>0</v>
      </c>
      <c r="Q82" s="18">
        <f>Settings!$I$7*MAX(Grondslag!J77 - voltijdfranchise/1000*(Premie_leeftijd!T81=0),0)</f>
        <v>0</v>
      </c>
      <c r="R82" s="18">
        <f>Settings!$I$3*Grondslag!J77*(1-Premie_leeftijd!R81)</f>
        <v>0</v>
      </c>
      <c r="S82" s="73">
        <f t="shared" si="91"/>
        <v>0</v>
      </c>
      <c r="U82" s="20" cm="1">
        <f t="array" ref="U82">U81*(1+reele_index_opb)</f>
        <v>17.500000000000004</v>
      </c>
      <c r="V82" s="20" cm="1">
        <f t="array" ref="V82">V81*(1+reele_index_opb)</f>
        <v>17.499999999999982</v>
      </c>
      <c r="W82" s="39" cm="1">
        <f t="array" ref="W82">W81*(1+reele_index_opb)</f>
        <v>17.500000000000004</v>
      </c>
      <c r="X82" s="20" cm="1">
        <f t="array" ref="X82">X81*(1+reele_index_opb)</f>
        <v>17.500000000000004</v>
      </c>
      <c r="Y82" s="20" cm="1">
        <f t="array" ref="Y82">Y81*(1+reele_index_opb)</f>
        <v>17.500000000000004</v>
      </c>
      <c r="Z82" s="20"/>
      <c r="AA82" s="20">
        <f t="shared" si="92"/>
        <v>100</v>
      </c>
      <c r="AB82" s="41">
        <f t="shared" si="67"/>
        <v>17.500000000000004</v>
      </c>
      <c r="AC82" s="41">
        <f t="shared" si="68"/>
        <v>17.499999999999982</v>
      </c>
      <c r="AD82" s="20">
        <f t="shared" si="69"/>
        <v>17.500000000000004</v>
      </c>
      <c r="AE82" s="20">
        <f t="shared" si="70"/>
        <v>17.500000000000004</v>
      </c>
      <c r="AF82" s="20">
        <f t="shared" si="64"/>
        <v>17.500000000000004</v>
      </c>
      <c r="AG82" s="20">
        <f t="shared" si="71"/>
        <v>17.500000000000004</v>
      </c>
      <c r="AI82" s="73">
        <f t="shared" si="72"/>
        <v>0</v>
      </c>
      <c r="AJ82" s="73">
        <f t="shared" si="73"/>
        <v>17.500000000000004</v>
      </c>
      <c r="AK82" s="73">
        <f t="shared" si="74"/>
        <v>17.499999999999982</v>
      </c>
      <c r="AL82" s="73">
        <f t="shared" si="75"/>
        <v>17.500000000000004</v>
      </c>
      <c r="AM82" s="73">
        <f t="shared" si="76"/>
        <v>17.500000000000004</v>
      </c>
      <c r="AN82" s="73">
        <f t="shared" si="77"/>
        <v>17.500000000000004</v>
      </c>
      <c r="AO82" s="73">
        <f t="shared" si="78"/>
        <v>17.500000000000004</v>
      </c>
      <c r="AQ82" s="20">
        <f t="shared" si="93"/>
        <v>100</v>
      </c>
      <c r="AR82" s="20">
        <f t="shared" si="79"/>
        <v>0</v>
      </c>
      <c r="AS82" s="18">
        <f t="shared" si="80"/>
        <v>17.500000000000004</v>
      </c>
      <c r="AT82" s="18">
        <f t="shared" si="81"/>
        <v>17.499999999999982</v>
      </c>
      <c r="AU82" s="73">
        <f t="shared" si="82"/>
        <v>17.500000000000004</v>
      </c>
      <c r="AV82" s="73">
        <f t="shared" si="83"/>
        <v>17.500000000000004</v>
      </c>
      <c r="AW82" s="18">
        <f t="shared" si="94"/>
        <v>17.500000000000004</v>
      </c>
      <c r="AX82" s="18">
        <f t="shared" si="95"/>
        <v>17.500000000000004</v>
      </c>
      <c r="AZ82" s="5">
        <f>Premie_leeftijd!J81</f>
        <v>1.7773114136451433E-2</v>
      </c>
      <c r="BA82" s="5"/>
      <c r="BB82" s="54">
        <v>75</v>
      </c>
      <c r="BC82" s="54">
        <f t="shared" si="84"/>
        <v>120</v>
      </c>
      <c r="BD82" s="54">
        <f t="shared" si="85"/>
        <v>120</v>
      </c>
      <c r="BE82" s="54" t="b">
        <f t="shared" si="96"/>
        <v>1</v>
      </c>
      <c r="BF82" s="54">
        <f t="shared" si="86"/>
        <v>17.500000000000004</v>
      </c>
      <c r="BG82" s="54">
        <f t="shared" si="87"/>
        <v>17.499999999999996</v>
      </c>
      <c r="BH82" s="54">
        <f t="shared" si="88"/>
        <v>25</v>
      </c>
      <c r="BI82" s="54">
        <f t="shared" si="89"/>
        <v>17.5</v>
      </c>
      <c r="BJ82" s="54">
        <f t="shared" si="90"/>
        <v>17.500000000000004</v>
      </c>
    </row>
    <row r="83" spans="1:62" x14ac:dyDescent="0.25">
      <c r="L83"/>
      <c r="M83" s="73"/>
      <c r="N83" s="73"/>
      <c r="O83"/>
      <c r="P83" s="73"/>
      <c r="Q83" s="73"/>
      <c r="AZ83" s="5"/>
      <c r="BA83" s="5"/>
      <c r="BB83" s="54"/>
      <c r="BC83" s="54"/>
      <c r="BD83" s="5"/>
      <c r="BE83" s="5"/>
      <c r="BF83" s="5"/>
      <c r="BG83" s="5"/>
      <c r="BH83" s="5"/>
      <c r="BI83" s="5"/>
      <c r="BJ83" s="5"/>
    </row>
  </sheetData>
  <mergeCells count="5">
    <mergeCell ref="AB5:AG5"/>
    <mergeCell ref="U5:Y5"/>
    <mergeCell ref="AJ5:AO5"/>
    <mergeCell ref="AS5:AX5"/>
    <mergeCell ref="M5:S5"/>
  </mergeCells>
  <pageMargins left="0.7" right="0.7" top="0.75" bottom="0.75" header="0.3" footer="0.3"/>
  <pageSetup orientation="portrait" horizont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5AD1D-1E88-443C-90DF-B0ECBC874706}">
  <sheetPr>
    <tabColor theme="0" tint="-0.499984740745262"/>
  </sheetPr>
  <dimension ref="A1:BH83"/>
  <sheetViews>
    <sheetView zoomScale="70" zoomScaleNormal="70" workbookViewId="0">
      <pane xSplit="1" ySplit="6" topLeftCell="AY7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cols>
    <col min="1" max="9" width="9.140625" style="73"/>
    <col min="10" max="15" width="9.140625" style="5"/>
    <col min="16" max="18" width="9.140625" style="73"/>
    <col min="19" max="19" width="9.140625" style="20"/>
    <col min="20" max="20" width="9.140625" style="73"/>
    <col min="21" max="22" width="9.140625" style="20"/>
    <col min="23" max="51" width="9.140625" style="73"/>
    <col min="52" max="53" width="9.140625" style="20"/>
    <col min="54" max="16384" width="9.140625" style="73"/>
  </cols>
  <sheetData>
    <row r="1" spans="1:60" x14ac:dyDescent="0.25">
      <c r="B1" s="79"/>
      <c r="J1" s="73"/>
      <c r="K1" s="73"/>
      <c r="L1" s="73"/>
      <c r="M1" s="73"/>
      <c r="N1" s="73"/>
      <c r="O1" s="73"/>
      <c r="S1" s="64" t="s">
        <v>235</v>
      </c>
      <c r="T1" s="64"/>
      <c r="U1" s="64"/>
      <c r="V1" s="64"/>
      <c r="W1" s="64"/>
      <c r="BE1" s="13" t="s">
        <v>244</v>
      </c>
      <c r="BF1" s="6">
        <v>50</v>
      </c>
    </row>
    <row r="2" spans="1:60" x14ac:dyDescent="0.25">
      <c r="J2" s="73"/>
      <c r="K2" s="73"/>
      <c r="L2" s="73"/>
      <c r="M2" s="73"/>
      <c r="N2" s="73"/>
      <c r="O2" s="73"/>
      <c r="S2" s="82" t="s">
        <v>225</v>
      </c>
      <c r="T2" s="83"/>
      <c r="U2" s="82"/>
      <c r="V2" s="82"/>
      <c r="W2" s="83"/>
      <c r="BE2" s="13" t="s">
        <v>245</v>
      </c>
      <c r="BF2" s="73">
        <f>BF1+geb_deeln-geb_partner</f>
        <v>50</v>
      </c>
    </row>
    <row r="3" spans="1:60" x14ac:dyDescent="0.25">
      <c r="J3" s="73"/>
      <c r="K3" s="73"/>
      <c r="L3" s="73"/>
      <c r="M3" s="73"/>
      <c r="N3" s="73"/>
      <c r="O3" s="73"/>
      <c r="S3" s="65" t="s">
        <v>236</v>
      </c>
      <c r="T3" s="9"/>
      <c r="U3" s="65"/>
      <c r="V3" s="65"/>
      <c r="W3" s="9"/>
      <c r="BE3" s="13" t="s">
        <v>246</v>
      </c>
      <c r="BF3" s="73">
        <f>MATCH(BF1,A7:A102,0)</f>
        <v>26</v>
      </c>
    </row>
    <row r="4" spans="1:60" x14ac:dyDescent="0.25">
      <c r="J4" s="73"/>
      <c r="K4" s="73"/>
      <c r="L4" s="73"/>
      <c r="M4" s="73"/>
      <c r="N4" s="73"/>
      <c r="O4" s="73"/>
      <c r="S4" s="82" t="s">
        <v>237</v>
      </c>
      <c r="T4" s="83"/>
      <c r="U4" s="82"/>
      <c r="V4" s="82"/>
      <c r="W4" s="83"/>
      <c r="Z4" s="110"/>
      <c r="BE4" s="84" t="s">
        <v>247</v>
      </c>
      <c r="BF4" s="3">
        <f>MATCH(AOWlftd, C7:C102, 0)</f>
        <v>44</v>
      </c>
    </row>
    <row r="5" spans="1:60" x14ac:dyDescent="0.25">
      <c r="K5" s="161" t="s">
        <v>174</v>
      </c>
      <c r="L5" s="161"/>
      <c r="M5" s="161"/>
      <c r="N5" s="161"/>
      <c r="O5" s="161"/>
      <c r="P5" s="161"/>
      <c r="Q5" s="161"/>
      <c r="R5" s="37"/>
      <c r="S5" s="159" t="s">
        <v>234</v>
      </c>
      <c r="T5" s="159"/>
      <c r="U5" s="159"/>
      <c r="V5" s="159"/>
      <c r="W5" s="159"/>
      <c r="X5" s="40"/>
      <c r="Y5" s="40"/>
      <c r="Z5" s="159" t="s">
        <v>238</v>
      </c>
      <c r="AA5" s="159"/>
      <c r="AB5" s="159"/>
      <c r="AC5" s="159"/>
      <c r="AD5" s="159"/>
      <c r="AE5" s="159"/>
      <c r="AH5" s="157" t="s">
        <v>243</v>
      </c>
      <c r="AI5" s="157"/>
      <c r="AJ5" s="157"/>
      <c r="AK5" s="157"/>
      <c r="AL5" s="157"/>
      <c r="AM5" s="157"/>
      <c r="AQ5" s="157" t="s">
        <v>239</v>
      </c>
      <c r="AR5" s="157"/>
      <c r="AS5" s="157"/>
      <c r="AT5" s="157"/>
      <c r="AU5" s="157"/>
      <c r="AV5" s="157"/>
      <c r="AZ5" s="85" t="str">
        <f xml:space="preserve"> "Ontwikkeling NP-uitkering na overlijden op " &amp; BF1 &amp; "-jarige leeftijd"</f>
        <v>Ontwikkeling NP-uitkering na overlijden op 50-jarige leeftijd</v>
      </c>
      <c r="BD5" s="73">
        <v>1</v>
      </c>
      <c r="BE5" s="73">
        <v>2</v>
      </c>
      <c r="BF5" s="73">
        <v>3</v>
      </c>
      <c r="BG5" s="73">
        <v>4</v>
      </c>
      <c r="BH5" s="73">
        <v>5</v>
      </c>
    </row>
    <row r="6" spans="1:60" s="3" customFormat="1" x14ac:dyDescent="0.25">
      <c r="A6" s="3" t="s">
        <v>226</v>
      </c>
      <c r="B6" s="3" t="s">
        <v>231</v>
      </c>
      <c r="C6" s="3" t="s">
        <v>208</v>
      </c>
      <c r="D6" s="3" t="s">
        <v>215</v>
      </c>
      <c r="E6" s="3" t="s">
        <v>211</v>
      </c>
      <c r="F6" s="3" t="s">
        <v>136</v>
      </c>
      <c r="G6" s="3" t="s">
        <v>229</v>
      </c>
      <c r="H6" s="3" t="s">
        <v>173</v>
      </c>
      <c r="I6" s="3" t="s">
        <v>22</v>
      </c>
      <c r="K6" s="43" t="s">
        <v>178</v>
      </c>
      <c r="L6" s="3" t="s">
        <v>317</v>
      </c>
      <c r="M6" s="18" t="s">
        <v>137</v>
      </c>
      <c r="N6" s="18" t="str">
        <f xml:space="preserve"> "MvT, x" &amp; Settings!I8</f>
        <v>MvT, x0</v>
      </c>
      <c r="O6" s="18" t="s">
        <v>315</v>
      </c>
      <c r="P6" s="18" t="s">
        <v>325</v>
      </c>
      <c r="Q6" s="3" t="s">
        <v>322</v>
      </c>
      <c r="S6" s="43" t="s">
        <v>178</v>
      </c>
      <c r="T6" s="3" t="s">
        <v>317</v>
      </c>
      <c r="U6" s="3" t="s">
        <v>137</v>
      </c>
      <c r="V6" s="35" t="s">
        <v>325</v>
      </c>
      <c r="W6" s="35" t="s">
        <v>322</v>
      </c>
      <c r="X6" s="35"/>
      <c r="Y6" s="20" t="str">
        <f>$A6</f>
        <v>leeftijd deelnemer</v>
      </c>
      <c r="Z6" s="43" t="s">
        <v>178</v>
      </c>
      <c r="AA6" s="41" t="s">
        <v>317</v>
      </c>
      <c r="AB6" s="35" t="str">
        <f xml:space="preserve"> N6</f>
        <v>MvT, x0</v>
      </c>
      <c r="AC6" s="35" t="str">
        <f xml:space="preserve"> O6</f>
        <v>MvT met overbrugging</v>
      </c>
      <c r="AD6" s="35" t="s">
        <v>325</v>
      </c>
      <c r="AE6" s="35" t="s">
        <v>322</v>
      </c>
      <c r="AG6" s="3" t="s">
        <v>269</v>
      </c>
      <c r="AH6" s="3" t="str">
        <f t="shared" ref="AH6:AM6" si="0">Z6</f>
        <v>Huidig (degr.)</v>
      </c>
      <c r="AI6" s="3" t="str">
        <f t="shared" si="0"/>
        <v>Uitkeringsregeling (DSS)</v>
      </c>
      <c r="AJ6" s="3" t="str">
        <f t="shared" si="0"/>
        <v>MvT, x0</v>
      </c>
      <c r="AK6" s="3" t="str">
        <f t="shared" si="0"/>
        <v>MvT met overbrugging</v>
      </c>
      <c r="AL6" s="3" t="str">
        <f t="shared" si="0"/>
        <v>Uitkeringsknip</v>
      </c>
      <c r="AM6" s="3" t="str">
        <f t="shared" si="0"/>
        <v>Saldomethode</v>
      </c>
      <c r="AO6" s="20" t="str">
        <f>$A6</f>
        <v>leeftijd deelnemer</v>
      </c>
      <c r="AP6" s="20" t="s">
        <v>262</v>
      </c>
      <c r="AQ6" s="18" t="str">
        <f t="shared" ref="AQ6:AV6" si="1">Z6</f>
        <v>Huidig (degr.)</v>
      </c>
      <c r="AR6" s="18" t="str">
        <f t="shared" si="1"/>
        <v>Uitkeringsregeling (DSS)</v>
      </c>
      <c r="AS6" s="3" t="str">
        <f t="shared" si="1"/>
        <v>MvT, x0</v>
      </c>
      <c r="AT6" s="3" t="str">
        <f t="shared" si="1"/>
        <v>MvT met overbrugging</v>
      </c>
      <c r="AU6" s="3" t="str">
        <f t="shared" si="1"/>
        <v>Uitkeringsknip</v>
      </c>
      <c r="AV6" s="3" t="str">
        <f t="shared" si="1"/>
        <v>Saldomethode</v>
      </c>
      <c r="AX6" s="12" t="s">
        <v>135</v>
      </c>
      <c r="AY6" s="12"/>
      <c r="AZ6" s="49" t="s">
        <v>250</v>
      </c>
      <c r="BA6" s="49" t="s">
        <v>226</v>
      </c>
      <c r="BB6" s="12" t="s">
        <v>208</v>
      </c>
      <c r="BC6" s="12" t="s">
        <v>249</v>
      </c>
      <c r="BD6" s="12" t="str">
        <f>Z6</f>
        <v>Huidig (degr.)</v>
      </c>
      <c r="BE6" s="12" t="str">
        <f>AA6</f>
        <v>Uitkeringsregeling (DSS)</v>
      </c>
      <c r="BF6" s="12" t="str">
        <f>AB6</f>
        <v>MvT, x0</v>
      </c>
      <c r="BG6" s="12" t="str">
        <f>AD6</f>
        <v>Uitkeringsknip</v>
      </c>
      <c r="BH6" s="12" t="str">
        <f>AE6</f>
        <v>Saldomethode</v>
      </c>
    </row>
    <row r="7" spans="1:60" x14ac:dyDescent="0.25">
      <c r="A7" s="73">
        <f>Grondslag!A2</f>
        <v>25</v>
      </c>
      <c r="B7" s="19">
        <v>1</v>
      </c>
      <c r="C7" s="73">
        <f t="shared" ref="C7:C38" si="2">A7+(geb_deeln-geb_partner)</f>
        <v>25</v>
      </c>
      <c r="D7" s="73">
        <f>B7*Grondslag!I2</f>
        <v>50</v>
      </c>
      <c r="E7" s="73">
        <f>B7*(Grondslag!I2 - voltijdfranchise/1000 )</f>
        <v>35</v>
      </c>
      <c r="F7" s="73">
        <f t="shared" ref="F7:F49" si="3">OPperjr*E7</f>
        <v>0.58139534883720934</v>
      </c>
      <c r="G7" s="73" cm="1">
        <f t="array" ref="G7">G8*(1+reele_index_opb)</f>
        <v>1</v>
      </c>
      <c r="H7" s="73">
        <f>SUMPRODUCT(F$7:F7, G$7:G7)/G7</f>
        <v>0.58139534883720934</v>
      </c>
      <c r="I7" s="73">
        <f>(1+I8)/(1+0)</f>
        <v>42</v>
      </c>
      <c r="J7" s="73"/>
      <c r="K7" s="73">
        <f t="shared" ref="K7:L26" si="4">volledigAnw/1000</f>
        <v>0</v>
      </c>
      <c r="L7" s="73">
        <f t="shared" si="4"/>
        <v>0</v>
      </c>
      <c r="M7" s="18">
        <f>Settings!$I$3*D7</f>
        <v>25</v>
      </c>
      <c r="N7" s="18">
        <f>Settings!$I$7*MAX($D7 - x*voltijdfranchise/1000*(Premie_leeftijd!T6=0),0)</f>
        <v>25</v>
      </c>
      <c r="O7" s="18">
        <f>Settings!$I$7*MAX($D7 - x*voltijdfranchise/1000*(Premie_leeftijd!U6=0),0)</f>
        <v>25</v>
      </c>
      <c r="P7" s="18">
        <f>Settings!$I$3*D7*(1-Premie_leeftijd!R6)</f>
        <v>25</v>
      </c>
      <c r="Q7" s="73">
        <f>MAX(P7-W7, 0)</f>
        <v>24.53323342326043</v>
      </c>
      <c r="S7" s="80" cm="1">
        <f t="array" ref="S7">SUMPRODUCT(Premie_leeftijd!AL$6:AL6, 1/Premie_leeftijd!AJ$6:AJ6, E$7:E7, G$7:G7)/G7 + Premie_leeftijd!AN7*E7</f>
        <v>17.500000000000004</v>
      </c>
      <c r="T7" s="73">
        <f t="shared" ref="T7:T49" si="5">NP_OP*(H7+I7*F7)</f>
        <v>17.5</v>
      </c>
      <c r="U7" s="31">
        <f>E7*Premie_leeftijd!CG6/Premie_leeftijd!CE6</f>
        <v>0.57299892710066491</v>
      </c>
      <c r="V7" s="31">
        <f>E7*Premie_leeftijd!BY6/Premie_leeftijd!BW6</f>
        <v>0.52575620148699376</v>
      </c>
      <c r="W7" s="20">
        <f>Premie_leeftijd!AL6*E7/Premie_leeftijd!AJ6</f>
        <v>0.4667665767395684</v>
      </c>
      <c r="X7" s="20"/>
      <c r="Y7" s="20">
        <f>$A7</f>
        <v>25</v>
      </c>
      <c r="Z7" s="41">
        <f t="shared" ref="Z7:Z38" si="6">S7 + ($C7&lt;AOWlftd)*volledigAnw/1000</f>
        <v>17.500000000000004</v>
      </c>
      <c r="AA7" s="41">
        <f t="shared" ref="AA7:AA38" si="7">T7 + ($C7&lt;AOWlftd)*volledigAnw/1000</f>
        <v>17.5</v>
      </c>
      <c r="AB7" s="20">
        <f t="shared" ref="AB7:AB38" si="8" xml:space="preserve"> IF($A7&gt;=AOWlftd, $U7, IF( $C7&lt;AOWlftd, $M7, N7))</f>
        <v>25</v>
      </c>
      <c r="AC7" s="20">
        <f t="shared" ref="AC7:AC38" si="9" xml:space="preserve"> IF($A7&gt;=AOWlftd, $U7, IF( $C7&lt;AOWlftd, $M7, O7))</f>
        <v>25</v>
      </c>
      <c r="AD7" s="20">
        <f t="shared" ref="AD7:AD49" si="10">P7</f>
        <v>25</v>
      </c>
      <c r="AE7" s="20">
        <f t="shared" ref="AE7:AE38" si="11">Q7+W7</f>
        <v>25</v>
      </c>
      <c r="AG7" s="73">
        <f t="shared" ref="AG7:AG38" si="12">MAX(0, AOWlftd-$C7-1)</f>
        <v>42</v>
      </c>
      <c r="AH7" s="73">
        <f t="shared" ref="AH7:AH38" si="13">S7*(1+reele_index_opb)^$AG7 + ($C7&lt;AOWlftd)*volledigAnw/1000*(1+reele_index_ris)^$AG7</f>
        <v>17.500000000000004</v>
      </c>
      <c r="AI7" s="73">
        <f t="shared" ref="AI7:AI38" si="14">T7*(1+reele_index_opb)^$AG7 + ($C7&lt;AOWlftd)*volledigAnw/1000*(1+reele_index_ris)^$AG7</f>
        <v>17.5</v>
      </c>
      <c r="AJ7" s="73">
        <f t="shared" ref="AJ7:AJ38" si="15">IF($A7&gt;=AOWlftd,$U7 *(1+reele_index_opb)^$AG7, AB7*(1+ reele_index_ris)^$AG7 )</f>
        <v>25</v>
      </c>
      <c r="AK7" s="73">
        <f t="shared" ref="AK7:AK38" si="16">IF($A7&gt;=AOWlftd,$U7 *(1+reele_index_opb)^$AG7, AC7*(1+ reele_index_ris)^$AG7 )</f>
        <v>25</v>
      </c>
      <c r="AL7" s="73">
        <f t="shared" ref="AL7:AL38" si="17">AD7*(1+IF($A7&lt;AOWlftd,reele_index_ris,reele_index_opb))^$AG7</f>
        <v>25</v>
      </c>
      <c r="AM7" s="73">
        <f t="shared" ref="AM7:AM38" si="18">AE7*(1+IF($A7&lt;AOWlftd,reele_index_ris,reele_index_opb))^$AG7</f>
        <v>25</v>
      </c>
      <c r="AO7" s="20">
        <f>$A7</f>
        <v>25</v>
      </c>
      <c r="AP7" s="20">
        <f t="shared" ref="AP7:AP38" si="19">MAX(0, AOWlftd-$C7)</f>
        <v>43</v>
      </c>
      <c r="AQ7" s="18">
        <f t="shared" ref="AQ7:AQ38" si="20">S7*(1+reele_index_opb)^$AP7</f>
        <v>17.500000000000004</v>
      </c>
      <c r="AR7" s="18">
        <f t="shared" ref="AR7:AR38" si="21">T7*(1+reele_index_opb)^$AP7</f>
        <v>17.5</v>
      </c>
      <c r="AS7" s="73">
        <f t="shared" ref="AS7:AS38" si="22">IF($A7&gt;=AOWlftd, $U7*(1+reele_index_opb)^$AP7, N7*(1+reele_index_ris)^$AP7)</f>
        <v>25</v>
      </c>
      <c r="AT7" s="73">
        <f t="shared" ref="AT7:AT38" si="23">IF($A7&gt;=AOWlftd, $U7*(1+reele_index_opb)^$AP7, O7*(1+reele_index_ris)^$AP7)</f>
        <v>25</v>
      </c>
      <c r="AU7" s="73">
        <f>AQ7</f>
        <v>17.500000000000004</v>
      </c>
      <c r="AV7" s="73">
        <f>AQ7</f>
        <v>17.500000000000004</v>
      </c>
      <c r="AX7" s="5">
        <f>Premie_leeftijd!J6</f>
        <v>6.0013541517056623E-4</v>
      </c>
      <c r="AY7" s="5"/>
      <c r="AZ7" s="54">
        <v>0</v>
      </c>
      <c r="BA7" s="54">
        <f t="shared" ref="BA7:BA38" si="24">$BF$1+AZ7</f>
        <v>50</v>
      </c>
      <c r="BB7" s="54">
        <f t="shared" ref="BB7:BB38" si="25">$BF$2+AZ7</f>
        <v>50</v>
      </c>
      <c r="BC7" s="54" t="b">
        <f>BB7=AOWlftd</f>
        <v>0</v>
      </c>
      <c r="BD7" s="54">
        <f t="shared" ref="BD7:BD38" si="26" xml:space="preserve"> IF(OR($BA7=$BF$1, $BB7=AOWlftd), VLOOKUP($BF$1, IF($BC7, $AO$7:$AV$82, $Y$7:$AE$82), 2+BD$5, FALSE), BD6*(1+reele_index_opb))</f>
        <v>17.499999999999993</v>
      </c>
      <c r="BE7" s="54">
        <f t="shared" ref="BE7:BE38" si="27" xml:space="preserve"> IF(OR($BA7=$BF$1, $BB7=AOWlftd), VLOOKUP($BF$1, IF($BC7, $AO$7:$AV$82, $Y$7:$AE$82), 2+BE$5, FALSE), BE6*(1+reele_index_opb))</f>
        <v>25</v>
      </c>
      <c r="BF7" s="54">
        <f t="shared" ref="BF7:BF38" si="28" xml:space="preserve"> IF(OR($BA7=$BF$1, $BB7=AOWlftd), VLOOKUP($BF$1, IF($BC7, $AO$7:$AV$82, $Y$7:$AE$82), 2+BF$5, FALSE), BF6*(1+reele_index_opb))</f>
        <v>25</v>
      </c>
      <c r="BG7" s="54">
        <f t="shared" ref="BG7:BG38" si="29" xml:space="preserve"> IF(OR($BA7=$BF$1, $BB7=AOWlftd), VLOOKUP($BF$1, IF($BC7, $AO$7:$AV$82, $Y$7:$AE$82), 2+BG$5, FALSE), BG6*(1+reele_index_opb))</f>
        <v>25</v>
      </c>
      <c r="BH7" s="54">
        <f t="shared" ref="BH7:BH38" si="30" xml:space="preserve"> IF(OR($BA7=$BF$1, $BB7=AOWlftd), VLOOKUP($BF$1, IF($BC7, $AO$7:$AV$82, $Y$7:$AE$82), 2+BH$5, FALSE), BH6*(1+reele_index_opb))</f>
        <v>25</v>
      </c>
    </row>
    <row r="8" spans="1:60" x14ac:dyDescent="0.25">
      <c r="A8" s="73">
        <f>Grondslag!A3</f>
        <v>26</v>
      </c>
      <c r="B8" s="19">
        <v>1</v>
      </c>
      <c r="C8" s="73">
        <f t="shared" si="2"/>
        <v>26</v>
      </c>
      <c r="D8" s="73">
        <f>B8*Grondslag!I3</f>
        <v>50</v>
      </c>
      <c r="E8" s="73">
        <f>B8*(Grondslag!I3 - voltijdfranchise/1000 )</f>
        <v>35</v>
      </c>
      <c r="F8" s="73">
        <f t="shared" si="3"/>
        <v>0.58139534883720934</v>
      </c>
      <c r="G8" s="73" cm="1">
        <f t="array" ref="G8">G9*(1+reele_index_opb)</f>
        <v>1</v>
      </c>
      <c r="H8" s="73">
        <f>SUMPRODUCT(F$7:F8, G$7:G8)/G8</f>
        <v>1.1627906976744187</v>
      </c>
      <c r="I8" s="73">
        <f>(1+I9)/(1+Settings!I$10)</f>
        <v>41</v>
      </c>
      <c r="J8" s="73"/>
      <c r="K8" s="73">
        <f t="shared" si="4"/>
        <v>0</v>
      </c>
      <c r="L8" s="73">
        <f t="shared" si="4"/>
        <v>0</v>
      </c>
      <c r="M8" s="18">
        <f>Settings!$I$3*D8</f>
        <v>25</v>
      </c>
      <c r="N8" s="18">
        <f>Settings!$I$7*MAX($D8 - x*voltijdfranchise/1000*(Premie_leeftijd!T7=0),0)</f>
        <v>25</v>
      </c>
      <c r="O8" s="18">
        <f>Settings!$I$7*MAX($D8 - x*voltijdfranchise/1000*(Premie_leeftijd!U7=0),0)</f>
        <v>25</v>
      </c>
      <c r="P8" s="18">
        <f>Settings!$I$3*D8*(1-Premie_leeftijd!R7)</f>
        <v>25</v>
      </c>
      <c r="Q8" s="73">
        <f t="shared" ref="Q8:Q47" si="31">MAX(P8-W8, 0)</f>
        <v>24.07015525710483</v>
      </c>
      <c r="S8" s="41" cm="1">
        <f t="array" ref="S8">SUMPRODUCT(Premie_leeftijd!AL$6:AL7, 1/Premie_leeftijd!AJ$6:AJ7, E$7:E8, G$7:G8)/G8 + Premie_leeftijd!AN8*E8</f>
        <v>17.500000000000004</v>
      </c>
      <c r="T8" s="73">
        <f t="shared" si="5"/>
        <v>17.5</v>
      </c>
      <c r="U8" s="42" cm="1">
        <f t="array" ref="U8">E8*Premie_leeftijd!CG7/Premie_leeftijd!CE7 + U7*(1+reele_index_opb)</f>
        <v>1.1367917498965299</v>
      </c>
      <c r="V8" s="31" cm="1">
        <f t="array" ref="V8">E8*Premie_leeftijd!BY7/Premie_leeftijd!BW7 + V7*(1+reele_index_opb)</f>
        <v>1.0442336114664297</v>
      </c>
      <c r="W8" s="41">
        <f>Premie_leeftijd!AL7*E8/Premie_leeftijd!AJ7 + W7*(1+reele_index_opb)</f>
        <v>0.92984474289516927</v>
      </c>
      <c r="X8" s="20"/>
      <c r="Y8" s="20">
        <f t="shared" ref="Y8:Y71" si="32">$A8</f>
        <v>26</v>
      </c>
      <c r="Z8" s="41">
        <f t="shared" si="6"/>
        <v>17.500000000000004</v>
      </c>
      <c r="AA8" s="41">
        <f t="shared" si="7"/>
        <v>17.5</v>
      </c>
      <c r="AB8" s="20">
        <f t="shared" si="8"/>
        <v>25</v>
      </c>
      <c r="AC8" s="20">
        <f t="shared" si="9"/>
        <v>25</v>
      </c>
      <c r="AD8" s="20">
        <f t="shared" si="10"/>
        <v>25</v>
      </c>
      <c r="AE8" s="20">
        <f t="shared" si="11"/>
        <v>25</v>
      </c>
      <c r="AG8" s="73">
        <f t="shared" si="12"/>
        <v>41</v>
      </c>
      <c r="AH8" s="73">
        <f t="shared" si="13"/>
        <v>17.500000000000004</v>
      </c>
      <c r="AI8" s="73">
        <f t="shared" si="14"/>
        <v>17.5</v>
      </c>
      <c r="AJ8" s="73">
        <f t="shared" si="15"/>
        <v>25</v>
      </c>
      <c r="AK8" s="73">
        <f t="shared" si="16"/>
        <v>25</v>
      </c>
      <c r="AL8" s="73">
        <f t="shared" si="17"/>
        <v>25</v>
      </c>
      <c r="AM8" s="73">
        <f t="shared" si="18"/>
        <v>25</v>
      </c>
      <c r="AO8" s="20">
        <f t="shared" ref="AO8:AO71" si="33">$A8</f>
        <v>26</v>
      </c>
      <c r="AP8" s="20">
        <f t="shared" si="19"/>
        <v>42</v>
      </c>
      <c r="AQ8" s="18">
        <f t="shared" si="20"/>
        <v>17.500000000000004</v>
      </c>
      <c r="AR8" s="18">
        <f t="shared" si="21"/>
        <v>17.5</v>
      </c>
      <c r="AS8" s="73">
        <f t="shared" si="22"/>
        <v>25</v>
      </c>
      <c r="AT8" s="73">
        <f t="shared" si="23"/>
        <v>25</v>
      </c>
      <c r="AU8" s="73">
        <f t="shared" ref="AU8:AU49" si="34">AQ8</f>
        <v>17.500000000000004</v>
      </c>
      <c r="AV8" s="73">
        <f t="shared" ref="AV8:AV49" si="35">AQ8</f>
        <v>17.500000000000004</v>
      </c>
      <c r="AX8" s="5">
        <f>Premie_leeftijd!J7</f>
        <v>5.2382639776915596E-4</v>
      </c>
      <c r="AY8" s="5"/>
      <c r="AZ8" s="54">
        <v>1</v>
      </c>
      <c r="BA8" s="54">
        <f t="shared" si="24"/>
        <v>51</v>
      </c>
      <c r="BB8" s="54">
        <f t="shared" si="25"/>
        <v>51</v>
      </c>
      <c r="BC8" s="54" t="b">
        <f t="shared" ref="BC8:BC39" si="36">BB8&gt;=AOWlftd</f>
        <v>0</v>
      </c>
      <c r="BD8" s="54">
        <f t="shared" si="26"/>
        <v>17.499999999999993</v>
      </c>
      <c r="BE8" s="54">
        <f t="shared" si="27"/>
        <v>25</v>
      </c>
      <c r="BF8" s="54">
        <f t="shared" si="28"/>
        <v>25</v>
      </c>
      <c r="BG8" s="54">
        <f t="shared" si="29"/>
        <v>25</v>
      </c>
      <c r="BH8" s="54">
        <f t="shared" si="30"/>
        <v>25</v>
      </c>
    </row>
    <row r="9" spans="1:60" x14ac:dyDescent="0.25">
      <c r="A9" s="73">
        <f>Grondslag!A4</f>
        <v>27</v>
      </c>
      <c r="B9" s="19">
        <v>1</v>
      </c>
      <c r="C9" s="73">
        <f t="shared" si="2"/>
        <v>27</v>
      </c>
      <c r="D9" s="73">
        <f>B9*Grondslag!I4</f>
        <v>50</v>
      </c>
      <c r="E9" s="73">
        <f>B9*(Grondslag!I4 - voltijdfranchise/1000 )</f>
        <v>35</v>
      </c>
      <c r="F9" s="73">
        <f t="shared" si="3"/>
        <v>0.58139534883720934</v>
      </c>
      <c r="G9" s="73" cm="1">
        <f t="array" ref="G9">G10*(1+reele_index_opb)</f>
        <v>1</v>
      </c>
      <c r="H9" s="73">
        <f>SUMPRODUCT(F$7:F9, G$7:G9)/G9</f>
        <v>1.7441860465116279</v>
      </c>
      <c r="I9" s="73">
        <f>(1+I10)/(1+Settings!I$10)</f>
        <v>40</v>
      </c>
      <c r="J9" s="73"/>
      <c r="K9" s="73">
        <f t="shared" si="4"/>
        <v>0</v>
      </c>
      <c r="L9" s="73">
        <f t="shared" si="4"/>
        <v>0</v>
      </c>
      <c r="M9" s="18">
        <f>Settings!$I$3*D9</f>
        <v>25</v>
      </c>
      <c r="N9" s="18">
        <f>Settings!$I$7*MAX($D9 - x*voltijdfranchise/1000*(Premie_leeftijd!T8=0),0)</f>
        <v>25</v>
      </c>
      <c r="O9" s="18">
        <f>Settings!$I$7*MAX($D9 - x*voltijdfranchise/1000*(Premie_leeftijd!U8=0),0)</f>
        <v>25</v>
      </c>
      <c r="P9" s="18">
        <f>Settings!$I$3*D9*(1-Premie_leeftijd!R8)</f>
        <v>25</v>
      </c>
      <c r="Q9" s="73">
        <f t="shared" si="31"/>
        <v>23.611258779726924</v>
      </c>
      <c r="S9" s="41" cm="1">
        <f t="array" ref="S9">SUMPRODUCT(Premie_leeftijd!AL$6:AL8, 1/Premie_leeftijd!AJ$6:AJ8, E$7:E9, G$7:G9)/G9 + Premie_leeftijd!AN9*E9</f>
        <v>17.5</v>
      </c>
      <c r="T9" s="73">
        <f t="shared" si="5"/>
        <v>17.5</v>
      </c>
      <c r="U9" s="42" cm="1">
        <f t="array" ref="U9">E9*Premie_leeftijd!CG8/Premie_leeftijd!CE8 + U8*(1+reele_index_opb)</f>
        <v>1.691591597076068</v>
      </c>
      <c r="V9" s="31" cm="1">
        <f t="array" ref="V9">E9*Premie_leeftijd!BY8/Premie_leeftijd!BW8 + V8*(1+reele_index_opb)</f>
        <v>1.5554278662368288</v>
      </c>
      <c r="W9" s="41">
        <f>Premie_leeftijd!AL8*E9/Premie_leeftijd!AJ8 + W8*(1+reele_index_opb)</f>
        <v>1.3887412202730767</v>
      </c>
      <c r="X9" s="20"/>
      <c r="Y9" s="20">
        <f t="shared" si="32"/>
        <v>27</v>
      </c>
      <c r="Z9" s="41">
        <f t="shared" si="6"/>
        <v>17.5</v>
      </c>
      <c r="AA9" s="41">
        <f t="shared" si="7"/>
        <v>17.5</v>
      </c>
      <c r="AB9" s="20">
        <f t="shared" si="8"/>
        <v>25</v>
      </c>
      <c r="AC9" s="20">
        <f t="shared" si="9"/>
        <v>25</v>
      </c>
      <c r="AD9" s="20">
        <f t="shared" si="10"/>
        <v>25</v>
      </c>
      <c r="AE9" s="20">
        <f t="shared" si="11"/>
        <v>25</v>
      </c>
      <c r="AG9" s="73">
        <f t="shared" si="12"/>
        <v>40</v>
      </c>
      <c r="AH9" s="73">
        <f t="shared" si="13"/>
        <v>17.5</v>
      </c>
      <c r="AI9" s="73">
        <f t="shared" si="14"/>
        <v>17.5</v>
      </c>
      <c r="AJ9" s="73">
        <f t="shared" si="15"/>
        <v>25</v>
      </c>
      <c r="AK9" s="73">
        <f t="shared" si="16"/>
        <v>25</v>
      </c>
      <c r="AL9" s="73">
        <f t="shared" si="17"/>
        <v>25</v>
      </c>
      <c r="AM9" s="73">
        <f t="shared" si="18"/>
        <v>25</v>
      </c>
      <c r="AO9" s="20">
        <f t="shared" si="33"/>
        <v>27</v>
      </c>
      <c r="AP9" s="20">
        <f t="shared" si="19"/>
        <v>41</v>
      </c>
      <c r="AQ9" s="18">
        <f t="shared" si="20"/>
        <v>17.5</v>
      </c>
      <c r="AR9" s="18">
        <f t="shared" si="21"/>
        <v>17.5</v>
      </c>
      <c r="AS9" s="73">
        <f t="shared" si="22"/>
        <v>25</v>
      </c>
      <c r="AT9" s="73">
        <f t="shared" si="23"/>
        <v>25</v>
      </c>
      <c r="AU9" s="73">
        <f t="shared" si="34"/>
        <v>17.5</v>
      </c>
      <c r="AV9" s="73">
        <f t="shared" si="35"/>
        <v>17.5</v>
      </c>
      <c r="AX9" s="5">
        <f>Premie_leeftijd!J8</f>
        <v>5.3923305652703313E-4</v>
      </c>
      <c r="AY9" s="5"/>
      <c r="AZ9" s="54">
        <v>2</v>
      </c>
      <c r="BA9" s="54">
        <f t="shared" si="24"/>
        <v>52</v>
      </c>
      <c r="BB9" s="54">
        <f t="shared" si="25"/>
        <v>52</v>
      </c>
      <c r="BC9" s="54" t="b">
        <f t="shared" si="36"/>
        <v>0</v>
      </c>
      <c r="BD9" s="54">
        <f t="shared" si="26"/>
        <v>17.499999999999993</v>
      </c>
      <c r="BE9" s="54">
        <f t="shared" si="27"/>
        <v>25</v>
      </c>
      <c r="BF9" s="54">
        <f t="shared" si="28"/>
        <v>25</v>
      </c>
      <c r="BG9" s="54">
        <f t="shared" si="29"/>
        <v>25</v>
      </c>
      <c r="BH9" s="54">
        <f t="shared" si="30"/>
        <v>25</v>
      </c>
    </row>
    <row r="10" spans="1:60" x14ac:dyDescent="0.25">
      <c r="A10" s="73">
        <f>Grondslag!A5</f>
        <v>28</v>
      </c>
      <c r="B10" s="19">
        <v>1</v>
      </c>
      <c r="C10" s="73">
        <f t="shared" si="2"/>
        <v>28</v>
      </c>
      <c r="D10" s="73">
        <f>B10*Grondslag!I5</f>
        <v>50</v>
      </c>
      <c r="E10" s="73">
        <f>B10*(Grondslag!I5 - voltijdfranchise/1000 )</f>
        <v>35</v>
      </c>
      <c r="F10" s="73">
        <f t="shared" si="3"/>
        <v>0.58139534883720934</v>
      </c>
      <c r="G10" s="73" cm="1">
        <f t="array" ref="G10">G11*(1+reele_index_opb)</f>
        <v>1</v>
      </c>
      <c r="H10" s="73">
        <f>SUMPRODUCT(F$7:F10, G$7:G10)/G10</f>
        <v>2.3255813953488373</v>
      </c>
      <c r="I10" s="73">
        <f>(1+I11)/(1+Settings!I$10)</f>
        <v>39</v>
      </c>
      <c r="J10" s="73"/>
      <c r="K10" s="73">
        <f t="shared" si="4"/>
        <v>0</v>
      </c>
      <c r="L10" s="73">
        <f t="shared" si="4"/>
        <v>0</v>
      </c>
      <c r="M10" s="18">
        <f>Settings!$I$3*D10</f>
        <v>25</v>
      </c>
      <c r="N10" s="18">
        <f>Settings!$I$7*MAX($D10 - x*voltijdfranchise/1000*(Premie_leeftijd!T9=0),0)</f>
        <v>25</v>
      </c>
      <c r="O10" s="18">
        <f>Settings!$I$7*MAX($D10 - x*voltijdfranchise/1000*(Premie_leeftijd!U9=0),0)</f>
        <v>25</v>
      </c>
      <c r="P10" s="18">
        <f>Settings!$I$3*D10*(1-Premie_leeftijd!R9)</f>
        <v>25</v>
      </c>
      <c r="Q10" s="73">
        <f t="shared" si="31"/>
        <v>23.156464197592154</v>
      </c>
      <c r="S10" s="41" cm="1">
        <f t="array" ref="S10">SUMPRODUCT(Premie_leeftijd!AL$6:AL9, 1/Premie_leeftijd!AJ$6:AJ9, E$7:E10, G$7:G10)/G10 + Premie_leeftijd!AN10*E10</f>
        <v>17.5</v>
      </c>
      <c r="T10" s="73">
        <f t="shared" si="5"/>
        <v>17.5</v>
      </c>
      <c r="U10" s="42" cm="1">
        <f t="array" ref="U10">E10*Premie_leeftijd!CG9/Premie_leeftijd!CE9 + U9*(1+reele_index_opb)</f>
        <v>2.237578718891462</v>
      </c>
      <c r="V10" s="31" cm="1">
        <f t="array" ref="V10">E10*Premie_leeftijd!BY9/Premie_leeftijd!BW9 + V9*(1+reele_index_opb)</f>
        <v>2.0594933699207303</v>
      </c>
      <c r="W10" s="41">
        <f>Premie_leeftijd!AL9*E10/Premie_leeftijd!AJ9 + W9*(1+reele_index_opb)</f>
        <v>1.8435358024078454</v>
      </c>
      <c r="X10" s="20"/>
      <c r="Y10" s="20">
        <f t="shared" si="32"/>
        <v>28</v>
      </c>
      <c r="Z10" s="41">
        <f t="shared" si="6"/>
        <v>17.5</v>
      </c>
      <c r="AA10" s="41">
        <f t="shared" si="7"/>
        <v>17.5</v>
      </c>
      <c r="AB10" s="20">
        <f t="shared" si="8"/>
        <v>25</v>
      </c>
      <c r="AC10" s="20">
        <f t="shared" si="9"/>
        <v>25</v>
      </c>
      <c r="AD10" s="20">
        <f t="shared" si="10"/>
        <v>25</v>
      </c>
      <c r="AE10" s="20">
        <f t="shared" si="11"/>
        <v>25</v>
      </c>
      <c r="AG10" s="73">
        <f t="shared" si="12"/>
        <v>39</v>
      </c>
      <c r="AH10" s="73">
        <f t="shared" si="13"/>
        <v>17.5</v>
      </c>
      <c r="AI10" s="73">
        <f t="shared" si="14"/>
        <v>17.5</v>
      </c>
      <c r="AJ10" s="73">
        <f t="shared" si="15"/>
        <v>25</v>
      </c>
      <c r="AK10" s="73">
        <f t="shared" si="16"/>
        <v>25</v>
      </c>
      <c r="AL10" s="73">
        <f t="shared" si="17"/>
        <v>25</v>
      </c>
      <c r="AM10" s="73">
        <f t="shared" si="18"/>
        <v>25</v>
      </c>
      <c r="AO10" s="20">
        <f t="shared" si="33"/>
        <v>28</v>
      </c>
      <c r="AP10" s="20">
        <f t="shared" si="19"/>
        <v>40</v>
      </c>
      <c r="AQ10" s="18">
        <f t="shared" si="20"/>
        <v>17.5</v>
      </c>
      <c r="AR10" s="18">
        <f t="shared" si="21"/>
        <v>17.5</v>
      </c>
      <c r="AS10" s="73">
        <f t="shared" si="22"/>
        <v>25</v>
      </c>
      <c r="AT10" s="73">
        <f t="shared" si="23"/>
        <v>25</v>
      </c>
      <c r="AU10" s="73">
        <f t="shared" si="34"/>
        <v>17.5</v>
      </c>
      <c r="AV10" s="73">
        <f t="shared" si="35"/>
        <v>17.5</v>
      </c>
      <c r="AX10" s="5">
        <f>Premie_leeftijd!J9</f>
        <v>5.3923305652703313E-4</v>
      </c>
      <c r="AY10" s="5"/>
      <c r="AZ10" s="54">
        <v>3</v>
      </c>
      <c r="BA10" s="54">
        <f t="shared" si="24"/>
        <v>53</v>
      </c>
      <c r="BB10" s="54">
        <f t="shared" si="25"/>
        <v>53</v>
      </c>
      <c r="BC10" s="54" t="b">
        <f t="shared" si="36"/>
        <v>0</v>
      </c>
      <c r="BD10" s="54">
        <f t="shared" si="26"/>
        <v>17.499999999999993</v>
      </c>
      <c r="BE10" s="54">
        <f t="shared" si="27"/>
        <v>25</v>
      </c>
      <c r="BF10" s="54">
        <f t="shared" si="28"/>
        <v>25</v>
      </c>
      <c r="BG10" s="54">
        <f t="shared" si="29"/>
        <v>25</v>
      </c>
      <c r="BH10" s="54">
        <f t="shared" si="30"/>
        <v>25</v>
      </c>
    </row>
    <row r="11" spans="1:60" x14ac:dyDescent="0.25">
      <c r="A11" s="73">
        <f>Grondslag!A6</f>
        <v>29</v>
      </c>
      <c r="B11" s="19">
        <v>1</v>
      </c>
      <c r="C11" s="73">
        <f t="shared" si="2"/>
        <v>29</v>
      </c>
      <c r="D11" s="73">
        <f>B11*Grondslag!I6</f>
        <v>50</v>
      </c>
      <c r="E11" s="73">
        <f>B11*(Grondslag!I6 - voltijdfranchise/1000 )</f>
        <v>35</v>
      </c>
      <c r="F11" s="73">
        <f t="shared" si="3"/>
        <v>0.58139534883720934</v>
      </c>
      <c r="G11" s="73" cm="1">
        <f t="array" ref="G11">G12*(1+reele_index_opb)</f>
        <v>1</v>
      </c>
      <c r="H11" s="73">
        <f>SUMPRODUCT(F$7:F11, G$7:G11)/G11</f>
        <v>2.9069767441860468</v>
      </c>
      <c r="I11" s="73">
        <f>(1+I12)/(1+Settings!I$10)</f>
        <v>38</v>
      </c>
      <c r="J11" s="73"/>
      <c r="K11" s="73">
        <f t="shared" si="4"/>
        <v>0</v>
      </c>
      <c r="L11" s="73">
        <f t="shared" si="4"/>
        <v>0</v>
      </c>
      <c r="M11" s="18">
        <f>Settings!$I$3*D11</f>
        <v>25</v>
      </c>
      <c r="N11" s="18">
        <f>Settings!$I$7*MAX($D11 - x*voltijdfranchise/1000*(Premie_leeftijd!T10=0),0)</f>
        <v>25</v>
      </c>
      <c r="O11" s="18">
        <f>Settings!$I$7*MAX($D11 - x*voltijdfranchise/1000*(Premie_leeftijd!U10=0),0)</f>
        <v>25</v>
      </c>
      <c r="P11" s="18">
        <f>Settings!$I$3*D11*(1-Premie_leeftijd!R10)</f>
        <v>25</v>
      </c>
      <c r="Q11" s="73">
        <f t="shared" si="31"/>
        <v>22.705749348833749</v>
      </c>
      <c r="S11" s="41" cm="1">
        <f t="array" ref="S11">SUMPRODUCT(Premie_leeftijd!AL$6:AL10, 1/Premie_leeftijd!AJ$6:AJ10, E$7:E11, G$7:G11)/G11 + Premie_leeftijd!AN11*E11</f>
        <v>17.5</v>
      </c>
      <c r="T11" s="73">
        <f t="shared" si="5"/>
        <v>17.5</v>
      </c>
      <c r="U11" s="42" cm="1">
        <f t="array" ref="U11">E11*Premie_leeftijd!CG10/Premie_leeftijd!CE10 + U10*(1+reele_index_opb)</f>
        <v>2.7749576444662321</v>
      </c>
      <c r="V11" s="31" cm="1">
        <f t="array" ref="V11">E11*Premie_leeftijd!BY10/Premie_leeftijd!BW10 + V10*(1+reele_index_opb)</f>
        <v>2.5565864518802051</v>
      </c>
      <c r="W11" s="41">
        <f>Premie_leeftijd!AL10*E11/Premie_leeftijd!AJ10 + W10*(1+reele_index_opb)</f>
        <v>2.2942506511662515</v>
      </c>
      <c r="X11" s="20"/>
      <c r="Y11" s="20">
        <f t="shared" si="32"/>
        <v>29</v>
      </c>
      <c r="Z11" s="41">
        <f t="shared" si="6"/>
        <v>17.5</v>
      </c>
      <c r="AA11" s="41">
        <f t="shared" si="7"/>
        <v>17.5</v>
      </c>
      <c r="AB11" s="20">
        <f t="shared" si="8"/>
        <v>25</v>
      </c>
      <c r="AC11" s="20">
        <f t="shared" si="9"/>
        <v>25</v>
      </c>
      <c r="AD11" s="20">
        <f t="shared" si="10"/>
        <v>25</v>
      </c>
      <c r="AE11" s="20">
        <f t="shared" si="11"/>
        <v>25</v>
      </c>
      <c r="AG11" s="73">
        <f t="shared" si="12"/>
        <v>38</v>
      </c>
      <c r="AH11" s="73">
        <f t="shared" si="13"/>
        <v>17.5</v>
      </c>
      <c r="AI11" s="73">
        <f t="shared" si="14"/>
        <v>17.5</v>
      </c>
      <c r="AJ11" s="73">
        <f t="shared" si="15"/>
        <v>25</v>
      </c>
      <c r="AK11" s="73">
        <f t="shared" si="16"/>
        <v>25</v>
      </c>
      <c r="AL11" s="73">
        <f t="shared" si="17"/>
        <v>25</v>
      </c>
      <c r="AM11" s="73">
        <f t="shared" si="18"/>
        <v>25</v>
      </c>
      <c r="AO11" s="20">
        <f t="shared" si="33"/>
        <v>29</v>
      </c>
      <c r="AP11" s="20">
        <f t="shared" si="19"/>
        <v>39</v>
      </c>
      <c r="AQ11" s="18">
        <f t="shared" si="20"/>
        <v>17.5</v>
      </c>
      <c r="AR11" s="18">
        <f t="shared" si="21"/>
        <v>17.5</v>
      </c>
      <c r="AS11" s="73">
        <f t="shared" si="22"/>
        <v>25</v>
      </c>
      <c r="AT11" s="73">
        <f t="shared" si="23"/>
        <v>25</v>
      </c>
      <c r="AU11" s="73">
        <f t="shared" si="34"/>
        <v>17.5</v>
      </c>
      <c r="AV11" s="73">
        <f t="shared" si="35"/>
        <v>17.5</v>
      </c>
      <c r="AX11" s="5">
        <f>Premie_leeftijd!J10</f>
        <v>4.930130802532906E-4</v>
      </c>
      <c r="AY11" s="5"/>
      <c r="AZ11" s="54">
        <v>4</v>
      </c>
      <c r="BA11" s="54">
        <f t="shared" si="24"/>
        <v>54</v>
      </c>
      <c r="BB11" s="54">
        <f t="shared" si="25"/>
        <v>54</v>
      </c>
      <c r="BC11" s="54" t="b">
        <f t="shared" si="36"/>
        <v>0</v>
      </c>
      <c r="BD11" s="54">
        <f t="shared" si="26"/>
        <v>17.499999999999993</v>
      </c>
      <c r="BE11" s="54">
        <f t="shared" si="27"/>
        <v>25</v>
      </c>
      <c r="BF11" s="54">
        <f t="shared" si="28"/>
        <v>25</v>
      </c>
      <c r="BG11" s="54">
        <f t="shared" si="29"/>
        <v>25</v>
      </c>
      <c r="BH11" s="54">
        <f t="shared" si="30"/>
        <v>25</v>
      </c>
    </row>
    <row r="12" spans="1:60" x14ac:dyDescent="0.25">
      <c r="A12" s="73">
        <f>Grondslag!A7</f>
        <v>30</v>
      </c>
      <c r="B12" s="19">
        <v>1</v>
      </c>
      <c r="C12" s="73">
        <f t="shared" si="2"/>
        <v>30</v>
      </c>
      <c r="D12" s="73">
        <f>B12*Grondslag!I7</f>
        <v>50</v>
      </c>
      <c r="E12" s="73">
        <f>B12*(Grondslag!I7 - voltijdfranchise/1000 )</f>
        <v>35</v>
      </c>
      <c r="F12" s="73">
        <f t="shared" si="3"/>
        <v>0.58139534883720934</v>
      </c>
      <c r="G12" s="73" cm="1">
        <f t="array" ref="G12">G13*(1+reele_index_opb)</f>
        <v>1</v>
      </c>
      <c r="H12" s="73">
        <f>SUMPRODUCT(F$7:F12, G$7:G12)/G12</f>
        <v>3.4883720930232562</v>
      </c>
      <c r="I12" s="73">
        <f>(1+I13)/(1+Settings!I$10)</f>
        <v>37</v>
      </c>
      <c r="J12" s="73"/>
      <c r="K12" s="73">
        <f t="shared" si="4"/>
        <v>0</v>
      </c>
      <c r="L12" s="73">
        <f t="shared" si="4"/>
        <v>0</v>
      </c>
      <c r="M12" s="18">
        <f>Settings!$I$3*D12</f>
        <v>25</v>
      </c>
      <c r="N12" s="18">
        <f>Settings!$I$7*MAX($D12 - x*voltijdfranchise/1000*(Premie_leeftijd!T11=0),0)</f>
        <v>25</v>
      </c>
      <c r="O12" s="18">
        <f>Settings!$I$7*MAX($D12 - x*voltijdfranchise/1000*(Premie_leeftijd!U11=0),0)</f>
        <v>25</v>
      </c>
      <c r="P12" s="18">
        <f>Settings!$I$3*D12*(1-Premie_leeftijd!R11)</f>
        <v>25</v>
      </c>
      <c r="Q12" s="73">
        <f t="shared" si="31"/>
        <v>22.259513975445032</v>
      </c>
      <c r="S12" s="41" cm="1">
        <f t="array" ref="S12">SUMPRODUCT(Premie_leeftijd!AL$6:AL11, 1/Premie_leeftijd!AJ$6:AJ11, E$7:E12, G$7:G12)/G12 + Premie_leeftijd!AN12*E12</f>
        <v>17.5</v>
      </c>
      <c r="T12" s="73">
        <f t="shared" si="5"/>
        <v>17.5</v>
      </c>
      <c r="U12" s="42" cm="1">
        <f t="array" ref="U12">E12*Premie_leeftijd!CG11/Premie_leeftijd!CE11 + U11*(1+reele_index_opb)</f>
        <v>3.3037277636351905</v>
      </c>
      <c r="V12" s="31" cm="1">
        <f t="array" ref="V12">E12*Premie_leeftijd!BY11/Premie_leeftijd!BW11 + V11*(1+reele_index_opb)</f>
        <v>3.0465956796306339</v>
      </c>
      <c r="W12" s="41">
        <f>Premie_leeftijd!AL11*E12/Premie_leeftijd!AJ11 + W11*(1+reele_index_opb)</f>
        <v>2.7404860245549671</v>
      </c>
      <c r="X12" s="20"/>
      <c r="Y12" s="20">
        <f t="shared" si="32"/>
        <v>30</v>
      </c>
      <c r="Z12" s="41">
        <f t="shared" si="6"/>
        <v>17.5</v>
      </c>
      <c r="AA12" s="41">
        <f t="shared" si="7"/>
        <v>17.5</v>
      </c>
      <c r="AB12" s="20">
        <f t="shared" si="8"/>
        <v>25</v>
      </c>
      <c r="AC12" s="20">
        <f t="shared" si="9"/>
        <v>25</v>
      </c>
      <c r="AD12" s="20">
        <f t="shared" si="10"/>
        <v>25</v>
      </c>
      <c r="AE12" s="20">
        <f t="shared" si="11"/>
        <v>25</v>
      </c>
      <c r="AG12" s="73">
        <f t="shared" si="12"/>
        <v>37</v>
      </c>
      <c r="AH12" s="73">
        <f t="shared" si="13"/>
        <v>17.5</v>
      </c>
      <c r="AI12" s="73">
        <f t="shared" si="14"/>
        <v>17.5</v>
      </c>
      <c r="AJ12" s="73">
        <f t="shared" si="15"/>
        <v>25</v>
      </c>
      <c r="AK12" s="73">
        <f t="shared" si="16"/>
        <v>25</v>
      </c>
      <c r="AL12" s="73">
        <f t="shared" si="17"/>
        <v>25</v>
      </c>
      <c r="AM12" s="73">
        <f t="shared" si="18"/>
        <v>25</v>
      </c>
      <c r="AO12" s="20">
        <f t="shared" si="33"/>
        <v>30</v>
      </c>
      <c r="AP12" s="20">
        <f t="shared" si="19"/>
        <v>38</v>
      </c>
      <c r="AQ12" s="18">
        <f t="shared" si="20"/>
        <v>17.5</v>
      </c>
      <c r="AR12" s="18">
        <f t="shared" si="21"/>
        <v>17.5</v>
      </c>
      <c r="AS12" s="73">
        <f t="shared" si="22"/>
        <v>25</v>
      </c>
      <c r="AT12" s="73">
        <f t="shared" si="23"/>
        <v>25</v>
      </c>
      <c r="AU12" s="73">
        <f t="shared" si="34"/>
        <v>17.5</v>
      </c>
      <c r="AV12" s="73">
        <f t="shared" si="35"/>
        <v>17.5</v>
      </c>
      <c r="AX12" s="5">
        <f>Premie_leeftijd!J11</f>
        <v>6.2653745615515177E-4</v>
      </c>
      <c r="AY12" s="5"/>
      <c r="AZ12" s="54">
        <v>5</v>
      </c>
      <c r="BA12" s="54">
        <f t="shared" si="24"/>
        <v>55</v>
      </c>
      <c r="BB12" s="54">
        <f t="shared" si="25"/>
        <v>55</v>
      </c>
      <c r="BC12" s="54" t="b">
        <f t="shared" si="36"/>
        <v>0</v>
      </c>
      <c r="BD12" s="54">
        <f t="shared" si="26"/>
        <v>17.499999999999993</v>
      </c>
      <c r="BE12" s="54">
        <f t="shared" si="27"/>
        <v>25</v>
      </c>
      <c r="BF12" s="54">
        <f t="shared" si="28"/>
        <v>25</v>
      </c>
      <c r="BG12" s="54">
        <f t="shared" si="29"/>
        <v>25</v>
      </c>
      <c r="BH12" s="54">
        <f t="shared" si="30"/>
        <v>25</v>
      </c>
    </row>
    <row r="13" spans="1:60" x14ac:dyDescent="0.25">
      <c r="A13" s="73">
        <f>Grondslag!A8</f>
        <v>31</v>
      </c>
      <c r="B13" s="19">
        <v>1</v>
      </c>
      <c r="C13" s="73">
        <f t="shared" si="2"/>
        <v>31</v>
      </c>
      <c r="D13" s="73">
        <f>B13*Grondslag!I8</f>
        <v>50</v>
      </c>
      <c r="E13" s="73">
        <f>B13*(Grondslag!I8 - voltijdfranchise/1000 )</f>
        <v>35</v>
      </c>
      <c r="F13" s="73">
        <f t="shared" si="3"/>
        <v>0.58139534883720934</v>
      </c>
      <c r="G13" s="73" cm="1">
        <f t="array" ref="G13">G14*(1+reele_index_opb)</f>
        <v>1</v>
      </c>
      <c r="H13" s="73">
        <f>SUMPRODUCT(F$7:F13, G$7:G13)/G13</f>
        <v>4.0697674418604652</v>
      </c>
      <c r="I13" s="73">
        <f>(1+I14)/(1+Settings!I$10)</f>
        <v>36</v>
      </c>
      <c r="J13" s="73"/>
      <c r="K13" s="73">
        <f t="shared" si="4"/>
        <v>0</v>
      </c>
      <c r="L13" s="73">
        <f t="shared" si="4"/>
        <v>0</v>
      </c>
      <c r="M13" s="18">
        <f>Settings!$I$3*D13</f>
        <v>25</v>
      </c>
      <c r="N13" s="18">
        <f>Settings!$I$7*MAX($D13 - x*voltijdfranchise/1000*(Premie_leeftijd!T12=0),0)</f>
        <v>25</v>
      </c>
      <c r="O13" s="18">
        <f>Settings!$I$7*MAX($D13 - x*voltijdfranchise/1000*(Premie_leeftijd!U12=0),0)</f>
        <v>25</v>
      </c>
      <c r="P13" s="18">
        <f>Settings!$I$3*D13*(1-Premie_leeftijd!R12)</f>
        <v>25</v>
      </c>
      <c r="Q13" s="73">
        <f t="shared" si="31"/>
        <v>21.816994859436871</v>
      </c>
      <c r="S13" s="41" cm="1">
        <f t="array" ref="S13">SUMPRODUCT(Premie_leeftijd!AL$6:AL12, 1/Premie_leeftijd!AJ$6:AJ12, E$7:E13, G$7:G13)/G13 + Premie_leeftijd!AN13*E13</f>
        <v>17.5</v>
      </c>
      <c r="T13" s="73">
        <f t="shared" si="5"/>
        <v>17.5</v>
      </c>
      <c r="U13" s="42" cm="1">
        <f t="array" ref="U13">E13*Premie_leeftijd!CG12/Premie_leeftijd!CE12 + U12*(1+reele_index_opb)</f>
        <v>3.8240873940210758</v>
      </c>
      <c r="V13" s="31" cm="1">
        <f t="array" ref="V13">E13*Premie_leeftijd!BY12/Premie_leeftijd!BW12 + V12*(1+reele_index_opb)</f>
        <v>3.529913927488979</v>
      </c>
      <c r="W13" s="41">
        <f>Premie_leeftijd!AL12*E13/Premie_leeftijd!AJ12 + W12*(1+reele_index_opb)</f>
        <v>3.1830051405631274</v>
      </c>
      <c r="X13" s="20"/>
      <c r="Y13" s="20">
        <f t="shared" si="32"/>
        <v>31</v>
      </c>
      <c r="Z13" s="41">
        <f t="shared" si="6"/>
        <v>17.5</v>
      </c>
      <c r="AA13" s="41">
        <f t="shared" si="7"/>
        <v>17.5</v>
      </c>
      <c r="AB13" s="20">
        <f t="shared" si="8"/>
        <v>25</v>
      </c>
      <c r="AC13" s="20">
        <f t="shared" si="9"/>
        <v>25</v>
      </c>
      <c r="AD13" s="20">
        <f t="shared" si="10"/>
        <v>25</v>
      </c>
      <c r="AE13" s="20">
        <f t="shared" si="11"/>
        <v>25</v>
      </c>
      <c r="AG13" s="73">
        <f t="shared" si="12"/>
        <v>36</v>
      </c>
      <c r="AH13" s="73">
        <f t="shared" si="13"/>
        <v>17.5</v>
      </c>
      <c r="AI13" s="73">
        <f t="shared" si="14"/>
        <v>17.5</v>
      </c>
      <c r="AJ13" s="73">
        <f t="shared" si="15"/>
        <v>25</v>
      </c>
      <c r="AK13" s="73">
        <f t="shared" si="16"/>
        <v>25</v>
      </c>
      <c r="AL13" s="73">
        <f t="shared" si="17"/>
        <v>25</v>
      </c>
      <c r="AM13" s="73">
        <f t="shared" si="18"/>
        <v>25</v>
      </c>
      <c r="AO13" s="20">
        <f t="shared" si="33"/>
        <v>31</v>
      </c>
      <c r="AP13" s="20">
        <f t="shared" si="19"/>
        <v>37</v>
      </c>
      <c r="AQ13" s="18">
        <f t="shared" si="20"/>
        <v>17.5</v>
      </c>
      <c r="AR13" s="18">
        <f t="shared" si="21"/>
        <v>17.5</v>
      </c>
      <c r="AS13" s="73">
        <f t="shared" si="22"/>
        <v>25</v>
      </c>
      <c r="AT13" s="73">
        <f t="shared" si="23"/>
        <v>25</v>
      </c>
      <c r="AU13" s="73">
        <f t="shared" si="34"/>
        <v>17.5</v>
      </c>
      <c r="AV13" s="73">
        <f t="shared" si="35"/>
        <v>17.5</v>
      </c>
      <c r="AX13" s="5">
        <f>Premie_leeftijd!J12</f>
        <v>5.7004637404289848E-4</v>
      </c>
      <c r="AY13" s="5"/>
      <c r="AZ13" s="54">
        <v>6</v>
      </c>
      <c r="BA13" s="54">
        <f t="shared" si="24"/>
        <v>56</v>
      </c>
      <c r="BB13" s="54">
        <f t="shared" si="25"/>
        <v>56</v>
      </c>
      <c r="BC13" s="54" t="b">
        <f t="shared" si="36"/>
        <v>0</v>
      </c>
      <c r="BD13" s="54">
        <f t="shared" si="26"/>
        <v>17.499999999999993</v>
      </c>
      <c r="BE13" s="54">
        <f t="shared" si="27"/>
        <v>25</v>
      </c>
      <c r="BF13" s="54">
        <f t="shared" si="28"/>
        <v>25</v>
      </c>
      <c r="BG13" s="54">
        <f t="shared" si="29"/>
        <v>25</v>
      </c>
      <c r="BH13" s="54">
        <f t="shared" si="30"/>
        <v>25</v>
      </c>
    </row>
    <row r="14" spans="1:60" x14ac:dyDescent="0.25">
      <c r="A14" s="73">
        <f>Grondslag!A9</f>
        <v>32</v>
      </c>
      <c r="B14" s="19">
        <v>1</v>
      </c>
      <c r="C14" s="73">
        <f t="shared" si="2"/>
        <v>32</v>
      </c>
      <c r="D14" s="73">
        <f>B14*Grondslag!I9</f>
        <v>50</v>
      </c>
      <c r="E14" s="73">
        <f>B14*(Grondslag!I9 - voltijdfranchise/1000 )</f>
        <v>35</v>
      </c>
      <c r="F14" s="73">
        <f t="shared" si="3"/>
        <v>0.58139534883720934</v>
      </c>
      <c r="G14" s="73" cm="1">
        <f t="array" ref="G14">G15*(1+reele_index_opb)</f>
        <v>1</v>
      </c>
      <c r="H14" s="73">
        <f>SUMPRODUCT(F$7:F14, G$7:G14)/G14</f>
        <v>4.6511627906976747</v>
      </c>
      <c r="I14" s="73">
        <f>(1+I15)/(1+Settings!I$10)</f>
        <v>35</v>
      </c>
      <c r="J14" s="73"/>
      <c r="K14" s="73">
        <f t="shared" si="4"/>
        <v>0</v>
      </c>
      <c r="L14" s="73">
        <f t="shared" si="4"/>
        <v>0</v>
      </c>
      <c r="M14" s="18">
        <f>Settings!$I$3*D14</f>
        <v>25</v>
      </c>
      <c r="N14" s="18">
        <f>Settings!$I$7*MAX($D14 - x*voltijdfranchise/1000*(Premie_leeftijd!T13=0),0)</f>
        <v>25</v>
      </c>
      <c r="O14" s="18">
        <f>Settings!$I$7*MAX($D14 - x*voltijdfranchise/1000*(Premie_leeftijd!U13=0),0)</f>
        <v>25</v>
      </c>
      <c r="P14" s="18">
        <f>Settings!$I$3*D14*(1-Premie_leeftijd!R13)</f>
        <v>25</v>
      </c>
      <c r="Q14" s="73">
        <f t="shared" si="31"/>
        <v>21.378542402259619</v>
      </c>
      <c r="S14" s="41" cm="1">
        <f t="array" ref="S14">SUMPRODUCT(Premie_leeftijd!AL$6:AL13, 1/Premie_leeftijd!AJ$6:AJ13, E$7:E14, G$7:G14)/G14 + Premie_leeftijd!AN14*E14</f>
        <v>17.5</v>
      </c>
      <c r="T14" s="73">
        <f t="shared" si="5"/>
        <v>17.5</v>
      </c>
      <c r="U14" s="42" cm="1">
        <f t="array" ref="U14">E14*Premie_leeftijd!CG13/Premie_leeftijd!CE13 + U13*(1+reele_index_opb)</f>
        <v>4.3361494050913194</v>
      </c>
      <c r="V14" s="31" cm="1">
        <f t="array" ref="V14">E14*Premie_leeftijd!BY13/Premie_leeftijd!BW13 + V13*(1+reele_index_opb)</f>
        <v>4.006516891482776</v>
      </c>
      <c r="W14" s="41">
        <f>Premie_leeftijd!AL13*E14/Premie_leeftijd!AJ13 + W13*(1+reele_index_opb)</f>
        <v>3.6214575977403829</v>
      </c>
      <c r="X14" s="20"/>
      <c r="Y14" s="20">
        <f t="shared" si="32"/>
        <v>32</v>
      </c>
      <c r="Z14" s="41">
        <f t="shared" si="6"/>
        <v>17.5</v>
      </c>
      <c r="AA14" s="41">
        <f t="shared" si="7"/>
        <v>17.5</v>
      </c>
      <c r="AB14" s="20">
        <f t="shared" si="8"/>
        <v>25</v>
      </c>
      <c r="AC14" s="20">
        <f t="shared" si="9"/>
        <v>25</v>
      </c>
      <c r="AD14" s="20">
        <f t="shared" si="10"/>
        <v>25</v>
      </c>
      <c r="AE14" s="20">
        <f t="shared" si="11"/>
        <v>25</v>
      </c>
      <c r="AG14" s="73">
        <f t="shared" si="12"/>
        <v>35</v>
      </c>
      <c r="AH14" s="73">
        <f t="shared" si="13"/>
        <v>17.5</v>
      </c>
      <c r="AI14" s="73">
        <f t="shared" si="14"/>
        <v>17.5</v>
      </c>
      <c r="AJ14" s="73">
        <f t="shared" si="15"/>
        <v>25</v>
      </c>
      <c r="AK14" s="73">
        <f t="shared" si="16"/>
        <v>25</v>
      </c>
      <c r="AL14" s="73">
        <f t="shared" si="17"/>
        <v>25</v>
      </c>
      <c r="AM14" s="73">
        <f t="shared" si="18"/>
        <v>25</v>
      </c>
      <c r="AO14" s="20">
        <f t="shared" si="33"/>
        <v>32</v>
      </c>
      <c r="AP14" s="20">
        <f t="shared" si="19"/>
        <v>36</v>
      </c>
      <c r="AQ14" s="18">
        <f t="shared" si="20"/>
        <v>17.5</v>
      </c>
      <c r="AR14" s="18">
        <f t="shared" si="21"/>
        <v>17.5</v>
      </c>
      <c r="AS14" s="73">
        <f t="shared" si="22"/>
        <v>25</v>
      </c>
      <c r="AT14" s="73">
        <f t="shared" si="23"/>
        <v>25</v>
      </c>
      <c r="AU14" s="73">
        <f t="shared" si="34"/>
        <v>17.5</v>
      </c>
      <c r="AV14" s="73">
        <f t="shared" si="35"/>
        <v>17.5</v>
      </c>
      <c r="AX14" s="5">
        <f>Premie_leeftijd!J13</f>
        <v>5.9058858572003103E-4</v>
      </c>
      <c r="AY14" s="5"/>
      <c r="AZ14" s="54">
        <v>7</v>
      </c>
      <c r="BA14" s="54">
        <f t="shared" si="24"/>
        <v>57</v>
      </c>
      <c r="BB14" s="54">
        <f t="shared" si="25"/>
        <v>57</v>
      </c>
      <c r="BC14" s="54" t="b">
        <f t="shared" si="36"/>
        <v>0</v>
      </c>
      <c r="BD14" s="54">
        <f t="shared" si="26"/>
        <v>17.499999999999993</v>
      </c>
      <c r="BE14" s="54">
        <f t="shared" si="27"/>
        <v>25</v>
      </c>
      <c r="BF14" s="54">
        <f t="shared" si="28"/>
        <v>25</v>
      </c>
      <c r="BG14" s="54">
        <f t="shared" si="29"/>
        <v>25</v>
      </c>
      <c r="BH14" s="54">
        <f t="shared" si="30"/>
        <v>25</v>
      </c>
    </row>
    <row r="15" spans="1:60" x14ac:dyDescent="0.25">
      <c r="A15" s="73">
        <f>Grondslag!A10</f>
        <v>33</v>
      </c>
      <c r="B15" s="19">
        <v>1</v>
      </c>
      <c r="C15" s="73">
        <f t="shared" si="2"/>
        <v>33</v>
      </c>
      <c r="D15" s="73">
        <f>B15*Grondslag!I10</f>
        <v>50</v>
      </c>
      <c r="E15" s="73">
        <f>B15*(Grondslag!I10 - voltijdfranchise/1000 )</f>
        <v>35</v>
      </c>
      <c r="F15" s="73">
        <f t="shared" si="3"/>
        <v>0.58139534883720934</v>
      </c>
      <c r="G15" s="73" cm="1">
        <f t="array" ref="G15">G16*(1+reele_index_opb)</f>
        <v>1</v>
      </c>
      <c r="H15" s="73">
        <f>SUMPRODUCT(F$7:F15, G$7:G15)/G15</f>
        <v>5.2325581395348841</v>
      </c>
      <c r="I15" s="73">
        <f>(1+I16)/(1+Settings!I$10)</f>
        <v>34</v>
      </c>
      <c r="J15" s="73"/>
      <c r="K15" s="73">
        <f t="shared" si="4"/>
        <v>0</v>
      </c>
      <c r="L15" s="73">
        <f t="shared" si="4"/>
        <v>0</v>
      </c>
      <c r="M15" s="18">
        <f>Settings!$I$3*D15</f>
        <v>25</v>
      </c>
      <c r="N15" s="18">
        <f>Settings!$I$7*MAX($D15 - x*voltijdfranchise/1000*(Premie_leeftijd!T14=0),0)</f>
        <v>25</v>
      </c>
      <c r="O15" s="18">
        <f>Settings!$I$7*MAX($D15 - x*voltijdfranchise/1000*(Premie_leeftijd!U14=0),0)</f>
        <v>25</v>
      </c>
      <c r="P15" s="18">
        <f>Settings!$I$3*D15*(1-Premie_leeftijd!R14)</f>
        <v>25</v>
      </c>
      <c r="Q15" s="73">
        <f t="shared" si="31"/>
        <v>20.944124381303659</v>
      </c>
      <c r="S15" s="41" cm="1">
        <f t="array" ref="S15">SUMPRODUCT(Premie_leeftijd!AL$6:AL14, 1/Premie_leeftijd!AJ$6:AJ14, E$7:E15, G$7:G15)/G15 + Premie_leeftijd!AN15*E15</f>
        <v>17.5</v>
      </c>
      <c r="T15" s="73">
        <f t="shared" si="5"/>
        <v>17.5</v>
      </c>
      <c r="U15" s="42" cm="1">
        <f t="array" ref="U15">E15*Premie_leeftijd!CG14/Premie_leeftijd!CE14 + U14*(1+reele_index_opb)</f>
        <v>4.8399887200294573</v>
      </c>
      <c r="V15" s="31" cm="1">
        <f t="array" ref="V15">E15*Premie_leeftijd!BY14/Premie_leeftijd!BW14 + V14*(1+reele_index_opb)</f>
        <v>4.4764816836532528</v>
      </c>
      <c r="W15" s="41">
        <f>Premie_leeftijd!AL14*E15/Premie_leeftijd!AJ14 + W14*(1+reele_index_opb)</f>
        <v>4.0558756186963389</v>
      </c>
      <c r="X15" s="20"/>
      <c r="Y15" s="20">
        <f t="shared" si="32"/>
        <v>33</v>
      </c>
      <c r="Z15" s="41">
        <f t="shared" si="6"/>
        <v>17.5</v>
      </c>
      <c r="AA15" s="41">
        <f t="shared" si="7"/>
        <v>17.5</v>
      </c>
      <c r="AB15" s="20">
        <f t="shared" si="8"/>
        <v>25</v>
      </c>
      <c r="AC15" s="20">
        <f t="shared" si="9"/>
        <v>25</v>
      </c>
      <c r="AD15" s="20">
        <f t="shared" si="10"/>
        <v>25</v>
      </c>
      <c r="AE15" s="20">
        <f t="shared" si="11"/>
        <v>25</v>
      </c>
      <c r="AG15" s="73">
        <f t="shared" si="12"/>
        <v>34</v>
      </c>
      <c r="AH15" s="73">
        <f t="shared" si="13"/>
        <v>17.5</v>
      </c>
      <c r="AI15" s="73">
        <f t="shared" si="14"/>
        <v>17.5</v>
      </c>
      <c r="AJ15" s="73">
        <f t="shared" si="15"/>
        <v>25</v>
      </c>
      <c r="AK15" s="73">
        <f t="shared" si="16"/>
        <v>25</v>
      </c>
      <c r="AL15" s="73">
        <f t="shared" si="17"/>
        <v>25</v>
      </c>
      <c r="AM15" s="73">
        <f t="shared" si="18"/>
        <v>25</v>
      </c>
      <c r="AO15" s="20">
        <f t="shared" si="33"/>
        <v>33</v>
      </c>
      <c r="AP15" s="20">
        <f t="shared" si="19"/>
        <v>35</v>
      </c>
      <c r="AQ15" s="18">
        <f t="shared" si="20"/>
        <v>17.5</v>
      </c>
      <c r="AR15" s="18">
        <f t="shared" si="21"/>
        <v>17.5</v>
      </c>
      <c r="AS15" s="73">
        <f t="shared" si="22"/>
        <v>25</v>
      </c>
      <c r="AT15" s="73">
        <f t="shared" si="23"/>
        <v>25</v>
      </c>
      <c r="AU15" s="73">
        <f t="shared" si="34"/>
        <v>17.5</v>
      </c>
      <c r="AV15" s="73">
        <f t="shared" si="35"/>
        <v>17.5</v>
      </c>
      <c r="AX15" s="5">
        <f>Premie_leeftijd!J14</f>
        <v>6.4707966783250637E-4</v>
      </c>
      <c r="AY15" s="5"/>
      <c r="AZ15" s="54">
        <v>8</v>
      </c>
      <c r="BA15" s="54">
        <f t="shared" si="24"/>
        <v>58</v>
      </c>
      <c r="BB15" s="54">
        <f t="shared" si="25"/>
        <v>58</v>
      </c>
      <c r="BC15" s="54" t="b">
        <f t="shared" si="36"/>
        <v>0</v>
      </c>
      <c r="BD15" s="54">
        <f t="shared" si="26"/>
        <v>17.499999999999993</v>
      </c>
      <c r="BE15" s="54">
        <f t="shared" si="27"/>
        <v>25</v>
      </c>
      <c r="BF15" s="54">
        <f t="shared" si="28"/>
        <v>25</v>
      </c>
      <c r="BG15" s="54">
        <f t="shared" si="29"/>
        <v>25</v>
      </c>
      <c r="BH15" s="54">
        <f t="shared" si="30"/>
        <v>25</v>
      </c>
    </row>
    <row r="16" spans="1:60" x14ac:dyDescent="0.25">
      <c r="A16" s="73">
        <f>Grondslag!A11</f>
        <v>34</v>
      </c>
      <c r="B16" s="19">
        <v>1</v>
      </c>
      <c r="C16" s="73">
        <f t="shared" si="2"/>
        <v>34</v>
      </c>
      <c r="D16" s="73">
        <f>B16*Grondslag!I11</f>
        <v>50</v>
      </c>
      <c r="E16" s="73">
        <f>B16*(Grondslag!I11 - voltijdfranchise/1000 )</f>
        <v>35</v>
      </c>
      <c r="F16" s="73">
        <f t="shared" si="3"/>
        <v>0.58139534883720934</v>
      </c>
      <c r="G16" s="73" cm="1">
        <f t="array" ref="G16">G17*(1+reele_index_opb)</f>
        <v>1</v>
      </c>
      <c r="H16" s="73">
        <f>SUMPRODUCT(F$7:F16, G$7:G16)/G16</f>
        <v>5.8139534883720936</v>
      </c>
      <c r="I16" s="73">
        <f>(1+I17)/(1+Settings!I$10)</f>
        <v>33</v>
      </c>
      <c r="J16" s="73"/>
      <c r="K16" s="73">
        <f t="shared" si="4"/>
        <v>0</v>
      </c>
      <c r="L16" s="73">
        <f t="shared" si="4"/>
        <v>0</v>
      </c>
      <c r="M16" s="18">
        <f>Settings!$I$3*D16</f>
        <v>25</v>
      </c>
      <c r="N16" s="18">
        <f>Settings!$I$7*MAX($D16 - x*voltijdfranchise/1000*(Premie_leeftijd!T15=0),0)</f>
        <v>25</v>
      </c>
      <c r="O16" s="18">
        <f>Settings!$I$7*MAX($D16 - x*voltijdfranchise/1000*(Premie_leeftijd!U15=0),0)</f>
        <v>25</v>
      </c>
      <c r="P16" s="18">
        <f>Settings!$I$3*D16*(1-Premie_leeftijd!R15)</f>
        <v>25</v>
      </c>
      <c r="Q16" s="73">
        <f t="shared" si="31"/>
        <v>20.513489520948852</v>
      </c>
      <c r="S16" s="41" cm="1">
        <f t="array" ref="S16">SUMPRODUCT(Premie_leeftijd!AL$6:AL15, 1/Premie_leeftijd!AJ$6:AJ15, E$7:E16, G$7:G16)/G16 + Premie_leeftijd!AN16*E16</f>
        <v>17.5</v>
      </c>
      <c r="T16" s="73">
        <f t="shared" si="5"/>
        <v>17.5</v>
      </c>
      <c r="U16" s="42" cm="1">
        <f t="array" ref="U16">E16*Premie_leeftijd!CG15/Premie_leeftijd!CE15 + U15*(1+reele_index_opb)</f>
        <v>5.3357318788995869</v>
      </c>
      <c r="V16" s="31" cm="1">
        <f t="array" ref="V16">E16*Premie_leeftijd!BY15/Premie_leeftijd!BW15 + V15*(1+reele_index_opb)</f>
        <v>4.9399938961896197</v>
      </c>
      <c r="W16" s="41">
        <f>Premie_leeftijd!AL15*E16/Premie_leeftijd!AJ15 + W15*(1+reele_index_opb)</f>
        <v>4.4865104790511499</v>
      </c>
      <c r="X16" s="20"/>
      <c r="Y16" s="20">
        <f t="shared" si="32"/>
        <v>34</v>
      </c>
      <c r="Z16" s="41">
        <f t="shared" si="6"/>
        <v>17.5</v>
      </c>
      <c r="AA16" s="41">
        <f t="shared" si="7"/>
        <v>17.5</v>
      </c>
      <c r="AB16" s="20">
        <f t="shared" si="8"/>
        <v>25</v>
      </c>
      <c r="AC16" s="20">
        <f t="shared" si="9"/>
        <v>25</v>
      </c>
      <c r="AD16" s="20">
        <f t="shared" si="10"/>
        <v>25</v>
      </c>
      <c r="AE16" s="20">
        <f t="shared" si="11"/>
        <v>25</v>
      </c>
      <c r="AG16" s="73">
        <f t="shared" si="12"/>
        <v>33</v>
      </c>
      <c r="AH16" s="73">
        <f t="shared" si="13"/>
        <v>17.5</v>
      </c>
      <c r="AI16" s="73">
        <f t="shared" si="14"/>
        <v>17.5</v>
      </c>
      <c r="AJ16" s="73">
        <f t="shared" si="15"/>
        <v>25</v>
      </c>
      <c r="AK16" s="73">
        <f t="shared" si="16"/>
        <v>25</v>
      </c>
      <c r="AL16" s="73">
        <f t="shared" si="17"/>
        <v>25</v>
      </c>
      <c r="AM16" s="73">
        <f t="shared" si="18"/>
        <v>25</v>
      </c>
      <c r="AO16" s="20">
        <f t="shared" si="33"/>
        <v>34</v>
      </c>
      <c r="AP16" s="20">
        <f t="shared" si="19"/>
        <v>34</v>
      </c>
      <c r="AQ16" s="18">
        <f t="shared" si="20"/>
        <v>17.5</v>
      </c>
      <c r="AR16" s="18">
        <f t="shared" si="21"/>
        <v>17.5</v>
      </c>
      <c r="AS16" s="73">
        <f t="shared" si="22"/>
        <v>25</v>
      </c>
      <c r="AT16" s="73">
        <f t="shared" si="23"/>
        <v>25</v>
      </c>
      <c r="AU16" s="73">
        <f t="shared" si="34"/>
        <v>17.5</v>
      </c>
      <c r="AV16" s="73">
        <f t="shared" si="35"/>
        <v>17.5</v>
      </c>
      <c r="AX16" s="5">
        <f>Premie_leeftijd!J15</f>
        <v>6.5221522075165073E-4</v>
      </c>
      <c r="AY16" s="5"/>
      <c r="AZ16" s="54">
        <v>9</v>
      </c>
      <c r="BA16" s="54">
        <f t="shared" si="24"/>
        <v>59</v>
      </c>
      <c r="BB16" s="54">
        <f t="shared" si="25"/>
        <v>59</v>
      </c>
      <c r="BC16" s="54" t="b">
        <f t="shared" si="36"/>
        <v>0</v>
      </c>
      <c r="BD16" s="54">
        <f t="shared" si="26"/>
        <v>17.499999999999993</v>
      </c>
      <c r="BE16" s="54">
        <f t="shared" si="27"/>
        <v>25</v>
      </c>
      <c r="BF16" s="54">
        <f t="shared" si="28"/>
        <v>25</v>
      </c>
      <c r="BG16" s="54">
        <f t="shared" si="29"/>
        <v>25</v>
      </c>
      <c r="BH16" s="54">
        <f t="shared" si="30"/>
        <v>25</v>
      </c>
    </row>
    <row r="17" spans="1:60" x14ac:dyDescent="0.25">
      <c r="A17" s="73">
        <f>Grondslag!A12</f>
        <v>35</v>
      </c>
      <c r="B17" s="19">
        <v>1</v>
      </c>
      <c r="C17" s="73">
        <f t="shared" si="2"/>
        <v>35</v>
      </c>
      <c r="D17" s="73">
        <f>B17*Grondslag!I12</f>
        <v>50</v>
      </c>
      <c r="E17" s="73">
        <f>B17*(Grondslag!I12 - voltijdfranchise/1000 )</f>
        <v>35</v>
      </c>
      <c r="F17" s="73">
        <f t="shared" si="3"/>
        <v>0.58139534883720934</v>
      </c>
      <c r="G17" s="73" cm="1">
        <f t="array" ref="G17">G18*(1+reele_index_opb)</f>
        <v>1</v>
      </c>
      <c r="H17" s="73">
        <f>SUMPRODUCT(F$7:F17, G$7:G17)/G17</f>
        <v>6.395348837209303</v>
      </c>
      <c r="I17" s="73">
        <f>(1+I18)/(1+Settings!I$10)</f>
        <v>32</v>
      </c>
      <c r="J17" s="73"/>
      <c r="K17" s="73">
        <f t="shared" si="4"/>
        <v>0</v>
      </c>
      <c r="L17" s="73">
        <f t="shared" si="4"/>
        <v>0</v>
      </c>
      <c r="M17" s="18">
        <f>Settings!$I$3*D17</f>
        <v>25</v>
      </c>
      <c r="N17" s="18">
        <f>Settings!$I$7*MAX($D17 - x*voltijdfranchise/1000*(Premie_leeftijd!T16=0),0)</f>
        <v>25</v>
      </c>
      <c r="O17" s="18">
        <f>Settings!$I$7*MAX($D17 - x*voltijdfranchise/1000*(Premie_leeftijd!U16=0),0)</f>
        <v>25</v>
      </c>
      <c r="P17" s="18">
        <f>Settings!$I$3*D17*(1-Premie_leeftijd!R16)</f>
        <v>25</v>
      </c>
      <c r="Q17" s="73">
        <f t="shared" si="31"/>
        <v>20.086672168047759</v>
      </c>
      <c r="S17" s="41" cm="1">
        <f t="array" ref="S17">SUMPRODUCT(Premie_leeftijd!AL$6:AL16, 1/Premie_leeftijd!AJ$6:AJ16, E$7:E17, G$7:G17)/G17 + Premie_leeftijd!AN17*E17</f>
        <v>17.500000000000004</v>
      </c>
      <c r="T17" s="73">
        <f t="shared" si="5"/>
        <v>17.5</v>
      </c>
      <c r="U17" s="42" cm="1">
        <f t="array" ref="U17">E17*Premie_leeftijd!CG16/Premie_leeftijd!CE16 + U16*(1+reele_index_opb)</f>
        <v>5.8234783314588441</v>
      </c>
      <c r="V17" s="31" cm="1">
        <f t="array" ref="V17">E17*Premie_leeftijd!BY16/Premie_leeftijd!BW16 + V16*(1+reele_index_opb)</f>
        <v>5.3971246228425036</v>
      </c>
      <c r="W17" s="41">
        <f>Premie_leeftijd!AL16*E17/Premie_leeftijd!AJ16 + W16*(1+reele_index_opb)</f>
        <v>4.913327831952242</v>
      </c>
      <c r="X17" s="20"/>
      <c r="Y17" s="20">
        <f t="shared" si="32"/>
        <v>35</v>
      </c>
      <c r="Z17" s="41">
        <f t="shared" si="6"/>
        <v>17.500000000000004</v>
      </c>
      <c r="AA17" s="41">
        <f t="shared" si="7"/>
        <v>17.5</v>
      </c>
      <c r="AB17" s="20">
        <f t="shared" si="8"/>
        <v>25</v>
      </c>
      <c r="AC17" s="20">
        <f t="shared" si="9"/>
        <v>25</v>
      </c>
      <c r="AD17" s="20">
        <f t="shared" si="10"/>
        <v>25</v>
      </c>
      <c r="AE17" s="20">
        <f t="shared" si="11"/>
        <v>25</v>
      </c>
      <c r="AG17" s="73">
        <f t="shared" si="12"/>
        <v>32</v>
      </c>
      <c r="AH17" s="73">
        <f t="shared" si="13"/>
        <v>17.500000000000004</v>
      </c>
      <c r="AI17" s="73">
        <f t="shared" si="14"/>
        <v>17.5</v>
      </c>
      <c r="AJ17" s="73">
        <f t="shared" si="15"/>
        <v>25</v>
      </c>
      <c r="AK17" s="73">
        <f t="shared" si="16"/>
        <v>25</v>
      </c>
      <c r="AL17" s="73">
        <f t="shared" si="17"/>
        <v>25</v>
      </c>
      <c r="AM17" s="73">
        <f t="shared" si="18"/>
        <v>25</v>
      </c>
      <c r="AO17" s="20">
        <f t="shared" si="33"/>
        <v>35</v>
      </c>
      <c r="AP17" s="20">
        <f t="shared" si="19"/>
        <v>33</v>
      </c>
      <c r="AQ17" s="18">
        <f t="shared" si="20"/>
        <v>17.500000000000004</v>
      </c>
      <c r="AR17" s="18">
        <f t="shared" si="21"/>
        <v>17.5</v>
      </c>
      <c r="AS17" s="73">
        <f t="shared" si="22"/>
        <v>25</v>
      </c>
      <c r="AT17" s="73">
        <f t="shared" si="23"/>
        <v>25</v>
      </c>
      <c r="AU17" s="73">
        <f t="shared" si="34"/>
        <v>17.500000000000004</v>
      </c>
      <c r="AV17" s="73">
        <f t="shared" si="35"/>
        <v>17.500000000000004</v>
      </c>
      <c r="AX17" s="5">
        <f>Premie_leeftijd!J16</f>
        <v>6.8302853826762711E-4</v>
      </c>
      <c r="AY17" s="5"/>
      <c r="AZ17" s="54">
        <v>10</v>
      </c>
      <c r="BA17" s="54">
        <f t="shared" si="24"/>
        <v>60</v>
      </c>
      <c r="BB17" s="54">
        <f t="shared" si="25"/>
        <v>60</v>
      </c>
      <c r="BC17" s="54" t="b">
        <f t="shared" si="36"/>
        <v>0</v>
      </c>
      <c r="BD17" s="54">
        <f t="shared" si="26"/>
        <v>17.499999999999993</v>
      </c>
      <c r="BE17" s="54">
        <f t="shared" si="27"/>
        <v>25</v>
      </c>
      <c r="BF17" s="54">
        <f t="shared" si="28"/>
        <v>25</v>
      </c>
      <c r="BG17" s="54">
        <f t="shared" si="29"/>
        <v>25</v>
      </c>
      <c r="BH17" s="54">
        <f t="shared" si="30"/>
        <v>25</v>
      </c>
    </row>
    <row r="18" spans="1:60" x14ac:dyDescent="0.25">
      <c r="A18" s="73">
        <f>Grondslag!A13</f>
        <v>36</v>
      </c>
      <c r="B18" s="19">
        <v>1</v>
      </c>
      <c r="C18" s="73">
        <f t="shared" si="2"/>
        <v>36</v>
      </c>
      <c r="D18" s="73">
        <f>B18*Grondslag!I13</f>
        <v>50</v>
      </c>
      <c r="E18" s="73">
        <f>B18*(Grondslag!I13 - voltijdfranchise/1000 )</f>
        <v>35</v>
      </c>
      <c r="F18" s="73">
        <f t="shared" si="3"/>
        <v>0.58139534883720934</v>
      </c>
      <c r="G18" s="73" cm="1">
        <f t="array" ref="G18">G19*(1+reele_index_opb)</f>
        <v>1</v>
      </c>
      <c r="H18" s="73">
        <f>SUMPRODUCT(F$7:F18, G$7:G18)/G18</f>
        <v>6.9767441860465125</v>
      </c>
      <c r="I18" s="73">
        <f>(1+I19)/(1+Settings!I$10)</f>
        <v>31</v>
      </c>
      <c r="J18" s="73"/>
      <c r="K18" s="73">
        <f t="shared" si="4"/>
        <v>0</v>
      </c>
      <c r="L18" s="73">
        <f t="shared" si="4"/>
        <v>0</v>
      </c>
      <c r="M18" s="18">
        <f>Settings!$I$3*D18</f>
        <v>25</v>
      </c>
      <c r="N18" s="18">
        <f>Settings!$I$7*MAX($D18 - x*voltijdfranchise/1000*(Premie_leeftijd!T17=0),0)</f>
        <v>25</v>
      </c>
      <c r="O18" s="18">
        <f>Settings!$I$7*MAX($D18 - x*voltijdfranchise/1000*(Premie_leeftijd!U17=0),0)</f>
        <v>25</v>
      </c>
      <c r="P18" s="18">
        <f>Settings!$I$3*D18*(1-Premie_leeftijd!R17)</f>
        <v>25</v>
      </c>
      <c r="Q18" s="73">
        <f t="shared" si="31"/>
        <v>19.663524799975029</v>
      </c>
      <c r="S18" s="41" cm="1">
        <f t="array" ref="S18">SUMPRODUCT(Premie_leeftijd!AL$6:AL17, 1/Premie_leeftijd!AJ$6:AJ17, E$7:E18, G$7:G18)/G18 + Premie_leeftijd!AN18*E18</f>
        <v>17.5</v>
      </c>
      <c r="T18" s="73">
        <f t="shared" si="5"/>
        <v>17.5</v>
      </c>
      <c r="U18" s="42" cm="1">
        <f t="array" ref="U18">E18*Premie_leeftijd!CG17/Premie_leeftijd!CE17 + U17*(1+reele_index_opb)</f>
        <v>6.3033963110428237</v>
      </c>
      <c r="V18" s="31" cm="1">
        <f t="array" ref="V18">E18*Premie_leeftijd!BY17/Premie_leeftijd!BW17 + V17*(1+reele_index_opb)</f>
        <v>5.8480524449331934</v>
      </c>
      <c r="W18" s="41">
        <f>Premie_leeftijd!AL17*E18/Premie_leeftijd!AJ17 + W17*(1+reele_index_opb)</f>
        <v>5.3364752000249709</v>
      </c>
      <c r="X18" s="20"/>
      <c r="Y18" s="20">
        <f t="shared" si="32"/>
        <v>36</v>
      </c>
      <c r="Z18" s="41">
        <f t="shared" si="6"/>
        <v>17.5</v>
      </c>
      <c r="AA18" s="41">
        <f t="shared" si="7"/>
        <v>17.5</v>
      </c>
      <c r="AB18" s="20">
        <f t="shared" si="8"/>
        <v>25</v>
      </c>
      <c r="AC18" s="20">
        <f t="shared" si="9"/>
        <v>25</v>
      </c>
      <c r="AD18" s="20">
        <f t="shared" si="10"/>
        <v>25</v>
      </c>
      <c r="AE18" s="20">
        <f t="shared" si="11"/>
        <v>25</v>
      </c>
      <c r="AG18" s="73">
        <f t="shared" si="12"/>
        <v>31</v>
      </c>
      <c r="AH18" s="73">
        <f t="shared" si="13"/>
        <v>17.5</v>
      </c>
      <c r="AI18" s="73">
        <f t="shared" si="14"/>
        <v>17.5</v>
      </c>
      <c r="AJ18" s="73">
        <f t="shared" si="15"/>
        <v>25</v>
      </c>
      <c r="AK18" s="73">
        <f t="shared" si="16"/>
        <v>25</v>
      </c>
      <c r="AL18" s="73">
        <f t="shared" si="17"/>
        <v>25</v>
      </c>
      <c r="AM18" s="73">
        <f t="shared" si="18"/>
        <v>25</v>
      </c>
      <c r="AO18" s="20">
        <f t="shared" si="33"/>
        <v>36</v>
      </c>
      <c r="AP18" s="20">
        <f t="shared" si="19"/>
        <v>32</v>
      </c>
      <c r="AQ18" s="18">
        <f t="shared" si="20"/>
        <v>17.5</v>
      </c>
      <c r="AR18" s="18">
        <f t="shared" si="21"/>
        <v>17.5</v>
      </c>
      <c r="AS18" s="73">
        <f t="shared" si="22"/>
        <v>25</v>
      </c>
      <c r="AT18" s="73">
        <f t="shared" si="23"/>
        <v>25</v>
      </c>
      <c r="AU18" s="73">
        <f t="shared" si="34"/>
        <v>17.5</v>
      </c>
      <c r="AV18" s="73">
        <f t="shared" si="35"/>
        <v>17.5</v>
      </c>
      <c r="AX18" s="5">
        <f>Premie_leeftijd!J17</f>
        <v>6.4194411491313996E-4</v>
      </c>
      <c r="AY18" s="5"/>
      <c r="AZ18" s="54">
        <v>11</v>
      </c>
      <c r="BA18" s="54">
        <f t="shared" si="24"/>
        <v>61</v>
      </c>
      <c r="BB18" s="54">
        <f t="shared" si="25"/>
        <v>61</v>
      </c>
      <c r="BC18" s="54" t="b">
        <f t="shared" si="36"/>
        <v>0</v>
      </c>
      <c r="BD18" s="54">
        <f t="shared" si="26"/>
        <v>17.499999999999993</v>
      </c>
      <c r="BE18" s="54">
        <f t="shared" si="27"/>
        <v>25</v>
      </c>
      <c r="BF18" s="54">
        <f t="shared" si="28"/>
        <v>25</v>
      </c>
      <c r="BG18" s="54">
        <f t="shared" si="29"/>
        <v>25</v>
      </c>
      <c r="BH18" s="54">
        <f t="shared" si="30"/>
        <v>25</v>
      </c>
    </row>
    <row r="19" spans="1:60" x14ac:dyDescent="0.25">
      <c r="A19" s="73">
        <f>Grondslag!A14</f>
        <v>37</v>
      </c>
      <c r="B19" s="19">
        <v>1</v>
      </c>
      <c r="C19" s="73">
        <f t="shared" si="2"/>
        <v>37</v>
      </c>
      <c r="D19" s="73">
        <f>B19*Grondslag!I14</f>
        <v>50</v>
      </c>
      <c r="E19" s="73">
        <f>B19*(Grondslag!I14 - voltijdfranchise/1000 )</f>
        <v>35</v>
      </c>
      <c r="F19" s="73">
        <f t="shared" si="3"/>
        <v>0.58139534883720934</v>
      </c>
      <c r="G19" s="73" cm="1">
        <f t="array" ref="G19">G20*(1+reele_index_opb)</f>
        <v>1</v>
      </c>
      <c r="H19" s="73">
        <f>SUMPRODUCT(F$7:F19, G$7:G19)/G19</f>
        <v>7.5581395348837219</v>
      </c>
      <c r="I19" s="73">
        <f>(1+I20)/(1+Settings!I$10)</f>
        <v>30</v>
      </c>
      <c r="J19" s="73"/>
      <c r="K19" s="73">
        <f t="shared" si="4"/>
        <v>0</v>
      </c>
      <c r="L19" s="73">
        <f t="shared" si="4"/>
        <v>0</v>
      </c>
      <c r="M19" s="18">
        <f>Settings!$I$3*D19</f>
        <v>25</v>
      </c>
      <c r="N19" s="18">
        <f>Settings!$I$7*MAX($D19 - x*voltijdfranchise/1000*(Premie_leeftijd!T18=0),0)</f>
        <v>25</v>
      </c>
      <c r="O19" s="18">
        <f>Settings!$I$7*MAX($D19 - x*voltijdfranchise/1000*(Premie_leeftijd!U18=0),0)</f>
        <v>25</v>
      </c>
      <c r="P19" s="18">
        <f>Settings!$I$3*D19*(1-Premie_leeftijd!R18)</f>
        <v>25</v>
      </c>
      <c r="Q19" s="73">
        <f t="shared" si="31"/>
        <v>19.244378253116679</v>
      </c>
      <c r="S19" s="41" cm="1">
        <f t="array" ref="S19">SUMPRODUCT(Premie_leeftijd!AL$6:AL18, 1/Premie_leeftijd!AJ$6:AJ18, E$7:E19, G$7:G19)/G19 + Premie_leeftijd!AN19*E19</f>
        <v>17.5</v>
      </c>
      <c r="T19" s="73">
        <f t="shared" si="5"/>
        <v>17.5</v>
      </c>
      <c r="U19" s="42" cm="1">
        <f t="array" ref="U19">E19*Premie_leeftijd!CG18/Premie_leeftijd!CE18 + U18*(1+reele_index_opb)</f>
        <v>6.7754889536297442</v>
      </c>
      <c r="V19" s="31" cm="1">
        <f t="array" ref="V19">E19*Premie_leeftijd!BY18/Premie_leeftijd!BW18 + V18*(1+reele_index_opb)</f>
        <v>6.2926813912649875</v>
      </c>
      <c r="W19" s="41">
        <f>Premie_leeftijd!AL18*E19/Premie_leeftijd!AJ18 + W18*(1+reele_index_opb)</f>
        <v>5.755621746883322</v>
      </c>
      <c r="X19" s="20"/>
      <c r="Y19" s="20">
        <f t="shared" si="32"/>
        <v>37</v>
      </c>
      <c r="Z19" s="41">
        <f t="shared" si="6"/>
        <v>17.5</v>
      </c>
      <c r="AA19" s="41">
        <f t="shared" si="7"/>
        <v>17.5</v>
      </c>
      <c r="AB19" s="20">
        <f t="shared" si="8"/>
        <v>25</v>
      </c>
      <c r="AC19" s="20">
        <f t="shared" si="9"/>
        <v>25</v>
      </c>
      <c r="AD19" s="20">
        <f t="shared" si="10"/>
        <v>25</v>
      </c>
      <c r="AE19" s="20">
        <f t="shared" si="11"/>
        <v>25</v>
      </c>
      <c r="AG19" s="73">
        <f t="shared" si="12"/>
        <v>30</v>
      </c>
      <c r="AH19" s="73">
        <f t="shared" si="13"/>
        <v>17.5</v>
      </c>
      <c r="AI19" s="73">
        <f t="shared" si="14"/>
        <v>17.5</v>
      </c>
      <c r="AJ19" s="73">
        <f t="shared" si="15"/>
        <v>25</v>
      </c>
      <c r="AK19" s="73">
        <f t="shared" si="16"/>
        <v>25</v>
      </c>
      <c r="AL19" s="73">
        <f t="shared" si="17"/>
        <v>25</v>
      </c>
      <c r="AM19" s="73">
        <f t="shared" si="18"/>
        <v>25</v>
      </c>
      <c r="AO19" s="20">
        <f t="shared" si="33"/>
        <v>37</v>
      </c>
      <c r="AP19" s="20">
        <f t="shared" si="19"/>
        <v>31</v>
      </c>
      <c r="AQ19" s="18">
        <f t="shared" si="20"/>
        <v>17.5</v>
      </c>
      <c r="AR19" s="18">
        <f t="shared" si="21"/>
        <v>17.5</v>
      </c>
      <c r="AS19" s="73">
        <f t="shared" si="22"/>
        <v>25</v>
      </c>
      <c r="AT19" s="73">
        <f t="shared" si="23"/>
        <v>25</v>
      </c>
      <c r="AU19" s="73">
        <f t="shared" si="34"/>
        <v>17.5</v>
      </c>
      <c r="AV19" s="73">
        <f t="shared" si="35"/>
        <v>17.5</v>
      </c>
      <c r="AX19" s="5">
        <f>Premie_leeftijd!J18</f>
        <v>7.7033293789574575E-4</v>
      </c>
      <c r="AY19" s="5"/>
      <c r="AZ19" s="54">
        <v>12</v>
      </c>
      <c r="BA19" s="54">
        <f t="shared" si="24"/>
        <v>62</v>
      </c>
      <c r="BB19" s="54">
        <f t="shared" si="25"/>
        <v>62</v>
      </c>
      <c r="BC19" s="54" t="b">
        <f t="shared" si="36"/>
        <v>0</v>
      </c>
      <c r="BD19" s="54">
        <f t="shared" si="26"/>
        <v>17.499999999999993</v>
      </c>
      <c r="BE19" s="54">
        <f t="shared" si="27"/>
        <v>25</v>
      </c>
      <c r="BF19" s="54">
        <f t="shared" si="28"/>
        <v>25</v>
      </c>
      <c r="BG19" s="54">
        <f t="shared" si="29"/>
        <v>25</v>
      </c>
      <c r="BH19" s="54">
        <f t="shared" si="30"/>
        <v>25</v>
      </c>
    </row>
    <row r="20" spans="1:60" x14ac:dyDescent="0.25">
      <c r="A20" s="73">
        <f>Grondslag!A15</f>
        <v>38</v>
      </c>
      <c r="B20" s="19">
        <v>1</v>
      </c>
      <c r="C20" s="73">
        <f t="shared" si="2"/>
        <v>38</v>
      </c>
      <c r="D20" s="73">
        <f>B20*Grondslag!I15</f>
        <v>50</v>
      </c>
      <c r="E20" s="73">
        <f>B20*(Grondslag!I15 - voltijdfranchise/1000 )</f>
        <v>35</v>
      </c>
      <c r="F20" s="73">
        <f t="shared" si="3"/>
        <v>0.58139534883720934</v>
      </c>
      <c r="G20" s="73" cm="1">
        <f t="array" ref="G20">G21*(1+reele_index_opb)</f>
        <v>1</v>
      </c>
      <c r="H20" s="73">
        <f>SUMPRODUCT(F$7:F20, G$7:G20)/G20</f>
        <v>8.1395348837209305</v>
      </c>
      <c r="I20" s="73">
        <f>(1+I21)/(1+Settings!I$10)</f>
        <v>29</v>
      </c>
      <c r="J20" s="73"/>
      <c r="K20" s="73">
        <f t="shared" si="4"/>
        <v>0</v>
      </c>
      <c r="L20" s="73">
        <f t="shared" si="4"/>
        <v>0</v>
      </c>
      <c r="M20" s="18">
        <f>Settings!$I$3*D20</f>
        <v>25</v>
      </c>
      <c r="N20" s="18">
        <f>Settings!$I$7*MAX($D20 - x*voltijdfranchise/1000*(Premie_leeftijd!T19=0),0)</f>
        <v>25</v>
      </c>
      <c r="O20" s="18">
        <f>Settings!$I$7*MAX($D20 - x*voltijdfranchise/1000*(Premie_leeftijd!U19=0),0)</f>
        <v>25</v>
      </c>
      <c r="P20" s="18">
        <f>Settings!$I$3*D20*(1-Premie_leeftijd!R19)</f>
        <v>25</v>
      </c>
      <c r="Q20" s="73">
        <f t="shared" si="31"/>
        <v>18.828749626586074</v>
      </c>
      <c r="S20" s="41" cm="1">
        <f t="array" ref="S20">SUMPRODUCT(Premie_leeftijd!AL$6:AL19, 1/Premie_leeftijd!AJ$6:AJ19, E$7:E20, G$7:G20)/G20 + Premie_leeftijd!AN20*E20</f>
        <v>17.500000000000004</v>
      </c>
      <c r="T20" s="73">
        <f t="shared" si="5"/>
        <v>17.5</v>
      </c>
      <c r="U20" s="42" cm="1">
        <f t="array" ref="U20">E20*Premie_leeftijd!CG19/Premie_leeftijd!CE19 + U19*(1+reele_index_opb)</f>
        <v>7.2398207877000749</v>
      </c>
      <c r="V20" s="31" cm="1">
        <f t="array" ref="V20">E20*Premie_leeftijd!BY19/Premie_leeftijd!BW19 + V19*(1+reele_index_opb)</f>
        <v>6.7312510904833935</v>
      </c>
      <c r="W20" s="41">
        <f>Premie_leeftijd!AL19*E20/Premie_leeftijd!AJ19 + W19*(1+reele_index_opb)</f>
        <v>6.171250373413927</v>
      </c>
      <c r="X20" s="20"/>
      <c r="Y20" s="20">
        <f t="shared" si="32"/>
        <v>38</v>
      </c>
      <c r="Z20" s="41">
        <f t="shared" si="6"/>
        <v>17.500000000000004</v>
      </c>
      <c r="AA20" s="41">
        <f t="shared" si="7"/>
        <v>17.5</v>
      </c>
      <c r="AB20" s="20">
        <f t="shared" si="8"/>
        <v>25</v>
      </c>
      <c r="AC20" s="20">
        <f t="shared" si="9"/>
        <v>25</v>
      </c>
      <c r="AD20" s="20">
        <f t="shared" si="10"/>
        <v>25</v>
      </c>
      <c r="AE20" s="20">
        <f t="shared" si="11"/>
        <v>25</v>
      </c>
      <c r="AG20" s="73">
        <f t="shared" si="12"/>
        <v>29</v>
      </c>
      <c r="AH20" s="73">
        <f t="shared" si="13"/>
        <v>17.500000000000004</v>
      </c>
      <c r="AI20" s="73">
        <f t="shared" si="14"/>
        <v>17.5</v>
      </c>
      <c r="AJ20" s="73">
        <f t="shared" si="15"/>
        <v>25</v>
      </c>
      <c r="AK20" s="73">
        <f t="shared" si="16"/>
        <v>25</v>
      </c>
      <c r="AL20" s="73">
        <f t="shared" si="17"/>
        <v>25</v>
      </c>
      <c r="AM20" s="73">
        <f t="shared" si="18"/>
        <v>25</v>
      </c>
      <c r="AO20" s="20">
        <f t="shared" si="33"/>
        <v>38</v>
      </c>
      <c r="AP20" s="20">
        <f t="shared" si="19"/>
        <v>30</v>
      </c>
      <c r="AQ20" s="18">
        <f t="shared" si="20"/>
        <v>17.500000000000004</v>
      </c>
      <c r="AR20" s="18">
        <f t="shared" si="21"/>
        <v>17.5</v>
      </c>
      <c r="AS20" s="73">
        <f t="shared" si="22"/>
        <v>25</v>
      </c>
      <c r="AT20" s="73">
        <f t="shared" si="23"/>
        <v>25</v>
      </c>
      <c r="AU20" s="73">
        <f t="shared" si="34"/>
        <v>17.500000000000004</v>
      </c>
      <c r="AV20" s="73">
        <f t="shared" si="35"/>
        <v>17.500000000000004</v>
      </c>
      <c r="AX20" s="5">
        <f>Premie_leeftijd!J19</f>
        <v>8.3709512584673185E-4</v>
      </c>
      <c r="AY20" s="5"/>
      <c r="AZ20" s="54">
        <v>13</v>
      </c>
      <c r="BA20" s="54">
        <f t="shared" si="24"/>
        <v>63</v>
      </c>
      <c r="BB20" s="54">
        <f t="shared" si="25"/>
        <v>63</v>
      </c>
      <c r="BC20" s="54" t="b">
        <f t="shared" si="36"/>
        <v>0</v>
      </c>
      <c r="BD20" s="54">
        <f t="shared" si="26"/>
        <v>17.499999999999993</v>
      </c>
      <c r="BE20" s="54">
        <f t="shared" si="27"/>
        <v>25</v>
      </c>
      <c r="BF20" s="54">
        <f t="shared" si="28"/>
        <v>25</v>
      </c>
      <c r="BG20" s="54">
        <f t="shared" si="29"/>
        <v>25</v>
      </c>
      <c r="BH20" s="54">
        <f t="shared" si="30"/>
        <v>25</v>
      </c>
    </row>
    <row r="21" spans="1:60" x14ac:dyDescent="0.25">
      <c r="A21" s="73">
        <f>Grondslag!A16</f>
        <v>39</v>
      </c>
      <c r="B21" s="19">
        <v>1</v>
      </c>
      <c r="C21" s="73">
        <f t="shared" si="2"/>
        <v>39</v>
      </c>
      <c r="D21" s="73">
        <f>B21*Grondslag!I16</f>
        <v>50</v>
      </c>
      <c r="E21" s="73">
        <f>B21*(Grondslag!I16 - voltijdfranchise/1000 )</f>
        <v>35</v>
      </c>
      <c r="F21" s="73">
        <f t="shared" si="3"/>
        <v>0.58139534883720934</v>
      </c>
      <c r="G21" s="73" cm="1">
        <f t="array" ref="G21">G22*(1+reele_index_opb)</f>
        <v>1</v>
      </c>
      <c r="H21" s="73">
        <f>SUMPRODUCT(F$7:F21, G$7:G21)/G21</f>
        <v>8.720930232558139</v>
      </c>
      <c r="I21" s="73">
        <f>(1+I22)/(1+Settings!I$10)</f>
        <v>28</v>
      </c>
      <c r="J21" s="73"/>
      <c r="K21" s="73">
        <f t="shared" si="4"/>
        <v>0</v>
      </c>
      <c r="L21" s="73">
        <f t="shared" si="4"/>
        <v>0</v>
      </c>
      <c r="M21" s="18">
        <f>Settings!$I$3*D21</f>
        <v>25</v>
      </c>
      <c r="N21" s="18">
        <f>Settings!$I$7*MAX($D21 - x*voltijdfranchise/1000*(Premie_leeftijd!T20=0),0)</f>
        <v>25</v>
      </c>
      <c r="O21" s="18">
        <f>Settings!$I$7*MAX($D21 - x*voltijdfranchise/1000*(Premie_leeftijd!U20=0),0)</f>
        <v>25</v>
      </c>
      <c r="P21" s="18">
        <f>Settings!$I$3*D21*(1-Premie_leeftijd!R20)</f>
        <v>25</v>
      </c>
      <c r="Q21" s="73">
        <f t="shared" si="31"/>
        <v>18.416366127404604</v>
      </c>
      <c r="S21" s="41" cm="1">
        <f t="array" ref="S21">SUMPRODUCT(Premie_leeftijd!AL$6:AL20, 1/Premie_leeftijd!AJ$6:AJ20, E$7:E21, G$7:G21)/G21 + Premie_leeftijd!AN21*E21</f>
        <v>17.5</v>
      </c>
      <c r="T21" s="73">
        <f t="shared" si="5"/>
        <v>17.5</v>
      </c>
      <c r="U21" s="42" cm="1">
        <f t="array" ref="U21">E21*Premie_leeftijd!CG20/Premie_leeftijd!CE20 + U20*(1+reele_index_opb)</f>
        <v>7.6965518766409007</v>
      </c>
      <c r="V21" s="31" cm="1">
        <f t="array" ref="V21">E21*Premie_leeftijd!BY20/Premie_leeftijd!BW20 + V20*(1+reele_index_opb)</f>
        <v>7.1639858391426907</v>
      </c>
      <c r="W21" s="41">
        <f>Premie_leeftijd!AL20*E21/Premie_leeftijd!AJ20 + W20*(1+reele_index_opb)</f>
        <v>6.5836338725953958</v>
      </c>
      <c r="X21" s="20"/>
      <c r="Y21" s="20">
        <f t="shared" si="32"/>
        <v>39</v>
      </c>
      <c r="Z21" s="41">
        <f t="shared" si="6"/>
        <v>17.5</v>
      </c>
      <c r="AA21" s="41">
        <f t="shared" si="7"/>
        <v>17.5</v>
      </c>
      <c r="AB21" s="20">
        <f t="shared" si="8"/>
        <v>25</v>
      </c>
      <c r="AC21" s="20">
        <f t="shared" si="9"/>
        <v>25</v>
      </c>
      <c r="AD21" s="20">
        <f t="shared" si="10"/>
        <v>25</v>
      </c>
      <c r="AE21" s="20">
        <f t="shared" si="11"/>
        <v>25</v>
      </c>
      <c r="AG21" s="73">
        <f t="shared" si="12"/>
        <v>28</v>
      </c>
      <c r="AH21" s="73">
        <f t="shared" si="13"/>
        <v>17.5</v>
      </c>
      <c r="AI21" s="73">
        <f t="shared" si="14"/>
        <v>17.5</v>
      </c>
      <c r="AJ21" s="73">
        <f t="shared" si="15"/>
        <v>25</v>
      </c>
      <c r="AK21" s="73">
        <f t="shared" si="16"/>
        <v>25</v>
      </c>
      <c r="AL21" s="73">
        <f t="shared" si="17"/>
        <v>25</v>
      </c>
      <c r="AM21" s="73">
        <f t="shared" si="18"/>
        <v>25</v>
      </c>
      <c r="AO21" s="20">
        <f t="shared" si="33"/>
        <v>39</v>
      </c>
      <c r="AP21" s="20">
        <f t="shared" si="19"/>
        <v>29</v>
      </c>
      <c r="AQ21" s="18">
        <f t="shared" si="20"/>
        <v>17.5</v>
      </c>
      <c r="AR21" s="18">
        <f t="shared" si="21"/>
        <v>17.5</v>
      </c>
      <c r="AS21" s="73">
        <f t="shared" si="22"/>
        <v>25</v>
      </c>
      <c r="AT21" s="73">
        <f t="shared" si="23"/>
        <v>25</v>
      </c>
      <c r="AU21" s="73">
        <f t="shared" si="34"/>
        <v>17.5</v>
      </c>
      <c r="AV21" s="73">
        <f t="shared" si="35"/>
        <v>17.5</v>
      </c>
      <c r="AX21" s="5">
        <f>Premie_leeftijd!J20</f>
        <v>8.0114625541161111E-4</v>
      </c>
      <c r="AY21" s="5"/>
      <c r="AZ21" s="54">
        <v>14</v>
      </c>
      <c r="BA21" s="54">
        <f t="shared" si="24"/>
        <v>64</v>
      </c>
      <c r="BB21" s="54">
        <f t="shared" si="25"/>
        <v>64</v>
      </c>
      <c r="BC21" s="54" t="b">
        <f t="shared" si="36"/>
        <v>0</v>
      </c>
      <c r="BD21" s="54">
        <f t="shared" si="26"/>
        <v>17.499999999999993</v>
      </c>
      <c r="BE21" s="54">
        <f t="shared" si="27"/>
        <v>25</v>
      </c>
      <c r="BF21" s="54">
        <f t="shared" si="28"/>
        <v>25</v>
      </c>
      <c r="BG21" s="54">
        <f t="shared" si="29"/>
        <v>25</v>
      </c>
      <c r="BH21" s="54">
        <f t="shared" si="30"/>
        <v>25</v>
      </c>
    </row>
    <row r="22" spans="1:60" x14ac:dyDescent="0.25">
      <c r="A22" s="73">
        <f>Grondslag!A17</f>
        <v>40</v>
      </c>
      <c r="B22" s="19">
        <v>1</v>
      </c>
      <c r="C22" s="73">
        <f t="shared" si="2"/>
        <v>40</v>
      </c>
      <c r="D22" s="73">
        <f>B22*Grondslag!I17</f>
        <v>50</v>
      </c>
      <c r="E22" s="73">
        <f>B22*(Grondslag!I17 - voltijdfranchise/1000 )</f>
        <v>35</v>
      </c>
      <c r="F22" s="73">
        <f t="shared" si="3"/>
        <v>0.58139534883720934</v>
      </c>
      <c r="G22" s="73" cm="1">
        <f t="array" ref="G22">G23*(1+reele_index_opb)</f>
        <v>1</v>
      </c>
      <c r="H22" s="73">
        <f>SUMPRODUCT(F$7:F22, G$7:G22)/G22</f>
        <v>9.3023255813953476</v>
      </c>
      <c r="I22" s="73">
        <f>(1+I23)/(1+Settings!I$10)</f>
        <v>27</v>
      </c>
      <c r="J22" s="73"/>
      <c r="K22" s="73">
        <f t="shared" si="4"/>
        <v>0</v>
      </c>
      <c r="L22" s="73">
        <f t="shared" si="4"/>
        <v>0</v>
      </c>
      <c r="M22" s="18">
        <f>Settings!$I$3*D22</f>
        <v>25</v>
      </c>
      <c r="N22" s="18">
        <f>Settings!$I$7*MAX($D22 - x*voltijdfranchise/1000*(Premie_leeftijd!T21=0),0)</f>
        <v>25</v>
      </c>
      <c r="O22" s="18">
        <f>Settings!$I$7*MAX($D22 - x*voltijdfranchise/1000*(Premie_leeftijd!U21=0),0)</f>
        <v>25</v>
      </c>
      <c r="P22" s="18">
        <f>Settings!$I$3*D22*(1-Premie_leeftijd!R21)</f>
        <v>25</v>
      </c>
      <c r="Q22" s="73">
        <f t="shared" si="31"/>
        <v>18.007508248252826</v>
      </c>
      <c r="S22" s="41" cm="1">
        <f t="array" ref="S22">SUMPRODUCT(Premie_leeftijd!AL$6:AL21, 1/Premie_leeftijd!AJ$6:AJ21, E$7:E22, G$7:G22)/G22 + Premie_leeftijd!AN22*E22</f>
        <v>17.500000000000004</v>
      </c>
      <c r="T22" s="73">
        <f t="shared" si="5"/>
        <v>17.5</v>
      </c>
      <c r="U22" s="42" cm="1">
        <f t="array" ref="U22">E22*Premie_leeftijd!CG21/Premie_leeftijd!CE21 + U21*(1+reele_index_opb)</f>
        <v>8.1457175232585559</v>
      </c>
      <c r="V22" s="31" cm="1">
        <f t="array" ref="V22">E22*Premie_leeftijd!BY21/Premie_leeftijd!BW21 + V21*(1+reele_index_opb)</f>
        <v>7.5908254704482614</v>
      </c>
      <c r="W22" s="41">
        <f>Premie_leeftijd!AL21*E22/Premie_leeftijd!AJ21 + W21*(1+reele_index_opb)</f>
        <v>6.992491751747175</v>
      </c>
      <c r="X22" s="20"/>
      <c r="Y22" s="20">
        <f t="shared" si="32"/>
        <v>40</v>
      </c>
      <c r="Z22" s="41">
        <f t="shared" si="6"/>
        <v>17.500000000000004</v>
      </c>
      <c r="AA22" s="41">
        <f t="shared" si="7"/>
        <v>17.5</v>
      </c>
      <c r="AB22" s="20">
        <f t="shared" si="8"/>
        <v>25</v>
      </c>
      <c r="AC22" s="20">
        <f t="shared" si="9"/>
        <v>25</v>
      </c>
      <c r="AD22" s="20">
        <f t="shared" si="10"/>
        <v>25</v>
      </c>
      <c r="AE22" s="20">
        <f t="shared" si="11"/>
        <v>25</v>
      </c>
      <c r="AG22" s="73">
        <f t="shared" si="12"/>
        <v>27</v>
      </c>
      <c r="AH22" s="73">
        <f t="shared" si="13"/>
        <v>17.500000000000004</v>
      </c>
      <c r="AI22" s="73">
        <f t="shared" si="14"/>
        <v>17.5</v>
      </c>
      <c r="AJ22" s="73">
        <f t="shared" si="15"/>
        <v>25</v>
      </c>
      <c r="AK22" s="73">
        <f t="shared" si="16"/>
        <v>25</v>
      </c>
      <c r="AL22" s="73">
        <f t="shared" si="17"/>
        <v>25</v>
      </c>
      <c r="AM22" s="73">
        <f t="shared" si="18"/>
        <v>25</v>
      </c>
      <c r="AO22" s="20">
        <f t="shared" si="33"/>
        <v>40</v>
      </c>
      <c r="AP22" s="20">
        <f t="shared" si="19"/>
        <v>28</v>
      </c>
      <c r="AQ22" s="18">
        <f t="shared" si="20"/>
        <v>17.500000000000004</v>
      </c>
      <c r="AR22" s="18">
        <f t="shared" si="21"/>
        <v>17.5</v>
      </c>
      <c r="AS22" s="73">
        <f t="shared" si="22"/>
        <v>25</v>
      </c>
      <c r="AT22" s="73">
        <f t="shared" si="23"/>
        <v>25</v>
      </c>
      <c r="AU22" s="73">
        <f t="shared" si="34"/>
        <v>17.500000000000004</v>
      </c>
      <c r="AV22" s="73">
        <f t="shared" si="35"/>
        <v>17.500000000000004</v>
      </c>
      <c r="AX22" s="5">
        <f>Premie_leeftijd!J21</f>
        <v>8.9872176087835154E-4</v>
      </c>
      <c r="AY22" s="5"/>
      <c r="AZ22" s="54">
        <v>15</v>
      </c>
      <c r="BA22" s="54">
        <f t="shared" si="24"/>
        <v>65</v>
      </c>
      <c r="BB22" s="54">
        <f t="shared" si="25"/>
        <v>65</v>
      </c>
      <c r="BC22" s="54" t="b">
        <f t="shared" si="36"/>
        <v>0</v>
      </c>
      <c r="BD22" s="54">
        <f t="shared" si="26"/>
        <v>17.499999999999993</v>
      </c>
      <c r="BE22" s="54">
        <f t="shared" si="27"/>
        <v>25</v>
      </c>
      <c r="BF22" s="54">
        <f t="shared" si="28"/>
        <v>25</v>
      </c>
      <c r="BG22" s="54">
        <f t="shared" si="29"/>
        <v>25</v>
      </c>
      <c r="BH22" s="54">
        <f t="shared" si="30"/>
        <v>25</v>
      </c>
    </row>
    <row r="23" spans="1:60" x14ac:dyDescent="0.25">
      <c r="A23" s="73">
        <f>Grondslag!A18</f>
        <v>41</v>
      </c>
      <c r="B23" s="19">
        <v>1</v>
      </c>
      <c r="C23" s="73">
        <f t="shared" si="2"/>
        <v>41</v>
      </c>
      <c r="D23" s="73">
        <f>B23*Grondslag!I18</f>
        <v>50</v>
      </c>
      <c r="E23" s="73">
        <f>B23*(Grondslag!I18 - voltijdfranchise/1000 )</f>
        <v>35</v>
      </c>
      <c r="F23" s="73">
        <f t="shared" si="3"/>
        <v>0.58139534883720934</v>
      </c>
      <c r="G23" s="73" cm="1">
        <f t="array" ref="G23">G24*(1+reele_index_opb)</f>
        <v>1</v>
      </c>
      <c r="H23" s="73">
        <f>SUMPRODUCT(F$7:F23, G$7:G23)/G23</f>
        <v>9.8837209302325562</v>
      </c>
      <c r="I23" s="73">
        <f>(1+I24)/(1+Settings!I$10)</f>
        <v>26</v>
      </c>
      <c r="J23" s="73"/>
      <c r="K23" s="73">
        <f t="shared" si="4"/>
        <v>0</v>
      </c>
      <c r="L23" s="73">
        <f t="shared" si="4"/>
        <v>0</v>
      </c>
      <c r="M23" s="18">
        <f>Settings!$I$3*D23</f>
        <v>25</v>
      </c>
      <c r="N23" s="18">
        <f>Settings!$I$7*MAX($D23 - x*voltijdfranchise/1000*(Premie_leeftijd!T22=0),0)</f>
        <v>25</v>
      </c>
      <c r="O23" s="18">
        <f>Settings!$I$7*MAX($D23 - x*voltijdfranchise/1000*(Premie_leeftijd!U22=0),0)</f>
        <v>25</v>
      </c>
      <c r="P23" s="18">
        <f>Settings!$I$3*D23*(1-Premie_leeftijd!R22)</f>
        <v>25</v>
      </c>
      <c r="Q23" s="73">
        <f t="shared" si="31"/>
        <v>17.601910868187403</v>
      </c>
      <c r="S23" s="41" cm="1">
        <f t="array" ref="S23">SUMPRODUCT(Premie_leeftijd!AL$6:AL22, 1/Premie_leeftijd!AJ$6:AJ22, E$7:E23, G$7:G23)/G23 + Premie_leeftijd!AN23*E23</f>
        <v>17.5</v>
      </c>
      <c r="T23" s="73">
        <f t="shared" si="5"/>
        <v>17.5</v>
      </c>
      <c r="U23" s="42" cm="1">
        <f t="array" ref="U23">E23*Premie_leeftijd!CG22/Premie_leeftijd!CE22 + U22*(1+reele_index_opb)</f>
        <v>8.5873505983387464</v>
      </c>
      <c r="V23" s="31" cm="1">
        <f t="array" ref="V23">E23*Premie_leeftijd!BY22/Premie_leeftijd!BW22 + V22*(1+reele_index_opb)</f>
        <v>8.0119196614219579</v>
      </c>
      <c r="W23" s="41">
        <f>Premie_leeftijd!AL22*E23/Premie_leeftijd!AJ22 + W22*(1+reele_index_opb)</f>
        <v>7.3980891318125952</v>
      </c>
      <c r="X23" s="20"/>
      <c r="Y23" s="20">
        <f t="shared" si="32"/>
        <v>41</v>
      </c>
      <c r="Z23" s="41">
        <f t="shared" si="6"/>
        <v>17.5</v>
      </c>
      <c r="AA23" s="41">
        <f t="shared" si="7"/>
        <v>17.5</v>
      </c>
      <c r="AB23" s="20">
        <f t="shared" si="8"/>
        <v>25</v>
      </c>
      <c r="AC23" s="20">
        <f t="shared" si="9"/>
        <v>25</v>
      </c>
      <c r="AD23" s="20">
        <f t="shared" si="10"/>
        <v>25</v>
      </c>
      <c r="AE23" s="20">
        <f t="shared" si="11"/>
        <v>25</v>
      </c>
      <c r="AG23" s="73">
        <f t="shared" si="12"/>
        <v>26</v>
      </c>
      <c r="AH23" s="73">
        <f t="shared" si="13"/>
        <v>17.5</v>
      </c>
      <c r="AI23" s="73">
        <f t="shared" si="14"/>
        <v>17.5</v>
      </c>
      <c r="AJ23" s="73">
        <f t="shared" si="15"/>
        <v>25</v>
      </c>
      <c r="AK23" s="73">
        <f t="shared" si="16"/>
        <v>25</v>
      </c>
      <c r="AL23" s="73">
        <f t="shared" si="17"/>
        <v>25</v>
      </c>
      <c r="AM23" s="73">
        <f t="shared" si="18"/>
        <v>25</v>
      </c>
      <c r="AO23" s="20">
        <f t="shared" si="33"/>
        <v>41</v>
      </c>
      <c r="AP23" s="20">
        <f t="shared" si="19"/>
        <v>27</v>
      </c>
      <c r="AQ23" s="18">
        <f t="shared" si="20"/>
        <v>17.5</v>
      </c>
      <c r="AR23" s="18">
        <f t="shared" si="21"/>
        <v>17.5</v>
      </c>
      <c r="AS23" s="73">
        <f t="shared" si="22"/>
        <v>25</v>
      </c>
      <c r="AT23" s="73">
        <f t="shared" si="23"/>
        <v>25</v>
      </c>
      <c r="AU23" s="73">
        <f t="shared" si="34"/>
        <v>17.5</v>
      </c>
      <c r="AV23" s="73">
        <f t="shared" si="35"/>
        <v>17.5</v>
      </c>
      <c r="AX23" s="5">
        <f>Premie_leeftijd!J22</f>
        <v>1.0014328192644584E-3</v>
      </c>
      <c r="AY23" s="5"/>
      <c r="AZ23" s="54">
        <v>16</v>
      </c>
      <c r="BA23" s="54">
        <f t="shared" si="24"/>
        <v>66</v>
      </c>
      <c r="BB23" s="54">
        <f t="shared" si="25"/>
        <v>66</v>
      </c>
      <c r="BC23" s="54" t="b">
        <f t="shared" si="36"/>
        <v>0</v>
      </c>
      <c r="BD23" s="54">
        <f t="shared" si="26"/>
        <v>17.499999999999993</v>
      </c>
      <c r="BE23" s="54">
        <f t="shared" si="27"/>
        <v>25</v>
      </c>
      <c r="BF23" s="54">
        <f t="shared" si="28"/>
        <v>25</v>
      </c>
      <c r="BG23" s="54">
        <f t="shared" si="29"/>
        <v>25</v>
      </c>
      <c r="BH23" s="54">
        <f t="shared" si="30"/>
        <v>25</v>
      </c>
    </row>
    <row r="24" spans="1:60" x14ac:dyDescent="0.25">
      <c r="A24" s="73">
        <f>Grondslag!A19</f>
        <v>42</v>
      </c>
      <c r="B24" s="19">
        <v>1</v>
      </c>
      <c r="C24" s="73">
        <f t="shared" si="2"/>
        <v>42</v>
      </c>
      <c r="D24" s="73">
        <f>B24*Grondslag!I19</f>
        <v>50</v>
      </c>
      <c r="E24" s="73">
        <f>B24*(Grondslag!I19 - voltijdfranchise/1000 )</f>
        <v>35</v>
      </c>
      <c r="F24" s="73">
        <f t="shared" si="3"/>
        <v>0.58139534883720934</v>
      </c>
      <c r="G24" s="73" cm="1">
        <f t="array" ref="G24">G25*(1+reele_index_opb)</f>
        <v>1</v>
      </c>
      <c r="H24" s="73">
        <f>SUMPRODUCT(F$7:F24, G$7:G24)/G24</f>
        <v>10.465116279069765</v>
      </c>
      <c r="I24" s="73">
        <f>(1+I25)/(1+Settings!I$10)</f>
        <v>25</v>
      </c>
      <c r="J24" s="73"/>
      <c r="K24" s="73">
        <f t="shared" si="4"/>
        <v>0</v>
      </c>
      <c r="L24" s="73">
        <f t="shared" si="4"/>
        <v>0</v>
      </c>
      <c r="M24" s="18">
        <f>Settings!$I$3*D24</f>
        <v>25</v>
      </c>
      <c r="N24" s="18">
        <f>Settings!$I$7*MAX($D24 - x*voltijdfranchise/1000*(Premie_leeftijd!T23=0),0)</f>
        <v>25</v>
      </c>
      <c r="O24" s="18">
        <f>Settings!$I$7*MAX($D24 - x*voltijdfranchise/1000*(Premie_leeftijd!U23=0),0)</f>
        <v>25</v>
      </c>
      <c r="P24" s="18">
        <f>Settings!$I$3*D24*(1-Premie_leeftijd!R23)</f>
        <v>25</v>
      </c>
      <c r="Q24" s="73">
        <f t="shared" si="31"/>
        <v>17.199313381223249</v>
      </c>
      <c r="S24" s="41" cm="1">
        <f t="array" ref="S24">SUMPRODUCT(Premie_leeftijd!AL$6:AL23, 1/Premie_leeftijd!AJ$6:AJ23, E$7:E24, G$7:G24)/G24 + Premie_leeftijd!AN24*E24</f>
        <v>17.500000000000004</v>
      </c>
      <c r="T24" s="73">
        <f t="shared" si="5"/>
        <v>17.5</v>
      </c>
      <c r="U24" s="42" cm="1">
        <f t="array" ref="U24">E24*Premie_leeftijd!CG23/Premie_leeftijd!CE23 + U23*(1+reele_index_opb)</f>
        <v>9.0214817596592756</v>
      </c>
      <c r="V24" s="31" cm="1">
        <f t="array" ref="V24">E24*Premie_leeftijd!BY23/Premie_leeftijd!BW23 + V23*(1+reele_index_opb)</f>
        <v>8.4274191530663671</v>
      </c>
      <c r="W24" s="41">
        <f>Premie_leeftijd!AL23*E24/Premie_leeftijd!AJ23 + W23*(1+reele_index_opb)</f>
        <v>7.8006866187767514</v>
      </c>
      <c r="X24" s="20"/>
      <c r="Y24" s="20">
        <f t="shared" si="32"/>
        <v>42</v>
      </c>
      <c r="Z24" s="41">
        <f t="shared" si="6"/>
        <v>17.500000000000004</v>
      </c>
      <c r="AA24" s="41">
        <f t="shared" si="7"/>
        <v>17.5</v>
      </c>
      <c r="AB24" s="20">
        <f t="shared" si="8"/>
        <v>25</v>
      </c>
      <c r="AC24" s="20">
        <f t="shared" si="9"/>
        <v>25</v>
      </c>
      <c r="AD24" s="20">
        <f t="shared" si="10"/>
        <v>25</v>
      </c>
      <c r="AE24" s="20">
        <f t="shared" si="11"/>
        <v>25</v>
      </c>
      <c r="AG24" s="73">
        <f t="shared" si="12"/>
        <v>25</v>
      </c>
      <c r="AH24" s="73">
        <f t="shared" si="13"/>
        <v>17.500000000000004</v>
      </c>
      <c r="AI24" s="73">
        <f t="shared" si="14"/>
        <v>17.5</v>
      </c>
      <c r="AJ24" s="73">
        <f t="shared" si="15"/>
        <v>25</v>
      </c>
      <c r="AK24" s="73">
        <f t="shared" si="16"/>
        <v>25</v>
      </c>
      <c r="AL24" s="73">
        <f t="shared" si="17"/>
        <v>25</v>
      </c>
      <c r="AM24" s="73">
        <f t="shared" si="18"/>
        <v>25</v>
      </c>
      <c r="AO24" s="20">
        <f t="shared" si="33"/>
        <v>42</v>
      </c>
      <c r="AP24" s="20">
        <f t="shared" si="19"/>
        <v>26</v>
      </c>
      <c r="AQ24" s="18">
        <f t="shared" si="20"/>
        <v>17.500000000000004</v>
      </c>
      <c r="AR24" s="18">
        <f t="shared" si="21"/>
        <v>17.5</v>
      </c>
      <c r="AS24" s="73">
        <f t="shared" si="22"/>
        <v>25</v>
      </c>
      <c r="AT24" s="73">
        <f t="shared" si="23"/>
        <v>25</v>
      </c>
      <c r="AU24" s="73">
        <f t="shared" si="34"/>
        <v>17.500000000000004</v>
      </c>
      <c r="AV24" s="73">
        <f t="shared" si="35"/>
        <v>17.500000000000004</v>
      </c>
      <c r="AX24" s="5">
        <f>Premie_leeftijd!J23</f>
        <v>1.1092794305699316E-3</v>
      </c>
      <c r="AY24" s="5"/>
      <c r="AZ24" s="54">
        <v>17</v>
      </c>
      <c r="BA24" s="54">
        <f t="shared" si="24"/>
        <v>67</v>
      </c>
      <c r="BB24" s="54">
        <f t="shared" si="25"/>
        <v>67</v>
      </c>
      <c r="BC24" s="54" t="b">
        <f t="shared" si="36"/>
        <v>0</v>
      </c>
      <c r="BD24" s="54">
        <f t="shared" si="26"/>
        <v>17.499999999999993</v>
      </c>
      <c r="BE24" s="54">
        <f t="shared" si="27"/>
        <v>25</v>
      </c>
      <c r="BF24" s="54">
        <f t="shared" si="28"/>
        <v>25</v>
      </c>
      <c r="BG24" s="54">
        <f t="shared" si="29"/>
        <v>25</v>
      </c>
      <c r="BH24" s="54">
        <f t="shared" si="30"/>
        <v>25</v>
      </c>
    </row>
    <row r="25" spans="1:60" x14ac:dyDescent="0.25">
      <c r="A25" s="73">
        <f>Grondslag!A20</f>
        <v>43</v>
      </c>
      <c r="B25" s="19">
        <v>1</v>
      </c>
      <c r="C25" s="73">
        <f t="shared" si="2"/>
        <v>43</v>
      </c>
      <c r="D25" s="73">
        <f>B25*Grondslag!I20</f>
        <v>50</v>
      </c>
      <c r="E25" s="73">
        <f>B25*(Grondslag!I20 - voltijdfranchise/1000 )</f>
        <v>35</v>
      </c>
      <c r="F25" s="73">
        <f t="shared" si="3"/>
        <v>0.58139534883720934</v>
      </c>
      <c r="G25" s="73" cm="1">
        <f t="array" ref="G25">G26*(1+reele_index_opb)</f>
        <v>1</v>
      </c>
      <c r="H25" s="73">
        <f>SUMPRODUCT(F$7:F25, G$7:G25)/G25</f>
        <v>11.046511627906973</v>
      </c>
      <c r="I25" s="73">
        <f>(1+I26)/(1+Settings!I$10)</f>
        <v>24</v>
      </c>
      <c r="J25" s="73"/>
      <c r="K25" s="73">
        <f t="shared" si="4"/>
        <v>0</v>
      </c>
      <c r="L25" s="73">
        <f t="shared" si="4"/>
        <v>0</v>
      </c>
      <c r="M25" s="18">
        <f>Settings!$I$3*D25</f>
        <v>25</v>
      </c>
      <c r="N25" s="18">
        <f>Settings!$I$7*MAX($D25 - x*voltijdfranchise/1000*(Premie_leeftijd!T24=0),0)</f>
        <v>25</v>
      </c>
      <c r="O25" s="18">
        <f>Settings!$I$7*MAX($D25 - x*voltijdfranchise/1000*(Premie_leeftijd!U24=0),0)</f>
        <v>25</v>
      </c>
      <c r="P25" s="18">
        <f>Settings!$I$3*D25*(1-Premie_leeftijd!R24)</f>
        <v>25</v>
      </c>
      <c r="Q25" s="73">
        <f t="shared" si="31"/>
        <v>16.799235013085628</v>
      </c>
      <c r="R25" s="41"/>
      <c r="S25" s="41" cm="1">
        <f t="array" ref="S25">SUMPRODUCT(Premie_leeftijd!AL$6:AL24, 1/Premie_leeftijd!AJ$6:AJ24, E$7:E25, G$7:G25)/G25 + Premie_leeftijd!AN25*E25</f>
        <v>17.500000000000004</v>
      </c>
      <c r="T25" s="73">
        <f t="shared" si="5"/>
        <v>17.499999999999996</v>
      </c>
      <c r="U25" s="42" cm="1">
        <f t="array" ref="U25">E25*Premie_leeftijd!CG24/Premie_leeftijd!CE24 + U24*(1+reele_index_opb)</f>
        <v>9.4483794929006848</v>
      </c>
      <c r="V25" s="31" cm="1">
        <f t="array" ref="V25">E25*Premie_leeftijd!BY24/Premie_leeftijd!BW24 + V24*(1+reele_index_opb)</f>
        <v>8.8377063742505548</v>
      </c>
      <c r="W25" s="41">
        <f>Premie_leeftijd!AL24*E25/Premie_leeftijd!AJ24 + W24*(1+reele_index_opb)</f>
        <v>8.2007649869143719</v>
      </c>
      <c r="X25" s="20"/>
      <c r="Y25" s="20">
        <f t="shared" si="32"/>
        <v>43</v>
      </c>
      <c r="Z25" s="41">
        <f t="shared" si="6"/>
        <v>17.500000000000004</v>
      </c>
      <c r="AA25" s="41">
        <f t="shared" si="7"/>
        <v>17.499999999999996</v>
      </c>
      <c r="AB25" s="20">
        <f t="shared" si="8"/>
        <v>25</v>
      </c>
      <c r="AC25" s="20">
        <f t="shared" si="9"/>
        <v>25</v>
      </c>
      <c r="AD25" s="20">
        <f t="shared" si="10"/>
        <v>25</v>
      </c>
      <c r="AE25" s="20">
        <f t="shared" si="11"/>
        <v>25</v>
      </c>
      <c r="AG25" s="73">
        <f t="shared" si="12"/>
        <v>24</v>
      </c>
      <c r="AH25" s="73">
        <f t="shared" si="13"/>
        <v>17.500000000000004</v>
      </c>
      <c r="AI25" s="73">
        <f t="shared" si="14"/>
        <v>17.499999999999996</v>
      </c>
      <c r="AJ25" s="73">
        <f t="shared" si="15"/>
        <v>25</v>
      </c>
      <c r="AK25" s="73">
        <f t="shared" si="16"/>
        <v>25</v>
      </c>
      <c r="AL25" s="73">
        <f t="shared" si="17"/>
        <v>25</v>
      </c>
      <c r="AM25" s="73">
        <f t="shared" si="18"/>
        <v>25</v>
      </c>
      <c r="AO25" s="20">
        <f t="shared" si="33"/>
        <v>43</v>
      </c>
      <c r="AP25" s="20">
        <f t="shared" si="19"/>
        <v>25</v>
      </c>
      <c r="AQ25" s="18">
        <f t="shared" si="20"/>
        <v>17.500000000000004</v>
      </c>
      <c r="AR25" s="18">
        <f t="shared" si="21"/>
        <v>17.499999999999996</v>
      </c>
      <c r="AS25" s="73">
        <f t="shared" si="22"/>
        <v>25</v>
      </c>
      <c r="AT25" s="73">
        <f t="shared" si="23"/>
        <v>25</v>
      </c>
      <c r="AU25" s="73">
        <f t="shared" si="34"/>
        <v>17.500000000000004</v>
      </c>
      <c r="AV25" s="73">
        <f t="shared" si="35"/>
        <v>17.500000000000004</v>
      </c>
      <c r="AX25" s="5">
        <f>Premie_leeftijd!J24</f>
        <v>9.4494173715209406E-4</v>
      </c>
      <c r="AY25" s="5"/>
      <c r="AZ25" s="54">
        <v>18</v>
      </c>
      <c r="BA25" s="54">
        <f t="shared" si="24"/>
        <v>68</v>
      </c>
      <c r="BB25" s="54">
        <f t="shared" si="25"/>
        <v>68</v>
      </c>
      <c r="BC25" s="54" t="b">
        <f t="shared" si="36"/>
        <v>1</v>
      </c>
      <c r="BD25" s="54">
        <f t="shared" si="26"/>
        <v>17.500000000000004</v>
      </c>
      <c r="BE25" s="54">
        <f t="shared" si="27"/>
        <v>17.499999999999993</v>
      </c>
      <c r="BF25" s="54">
        <f t="shared" si="28"/>
        <v>25</v>
      </c>
      <c r="BG25" s="54">
        <f t="shared" si="29"/>
        <v>25</v>
      </c>
      <c r="BH25" s="54">
        <f t="shared" si="30"/>
        <v>17.500000000000004</v>
      </c>
    </row>
    <row r="26" spans="1:60" x14ac:dyDescent="0.25">
      <c r="A26" s="73">
        <f>Grondslag!A21</f>
        <v>44</v>
      </c>
      <c r="B26" s="19">
        <v>1</v>
      </c>
      <c r="C26" s="73">
        <f t="shared" si="2"/>
        <v>44</v>
      </c>
      <c r="D26" s="73">
        <f>B26*Grondslag!I21</f>
        <v>50</v>
      </c>
      <c r="E26" s="73">
        <f>B26*(Grondslag!I21 - voltijdfranchise/1000 )</f>
        <v>35</v>
      </c>
      <c r="F26" s="73">
        <f t="shared" si="3"/>
        <v>0.58139534883720934</v>
      </c>
      <c r="G26" s="73" cm="1">
        <f t="array" ref="G26">G27*(1+reele_index_opb)</f>
        <v>1</v>
      </c>
      <c r="H26" s="73">
        <f>SUMPRODUCT(F$7:F26, G$7:G26)/G26</f>
        <v>11.627906976744182</v>
      </c>
      <c r="I26" s="73">
        <f>(1+I27)/(1+Settings!I$10)</f>
        <v>23</v>
      </c>
      <c r="J26" s="73"/>
      <c r="K26" s="73">
        <f t="shared" si="4"/>
        <v>0</v>
      </c>
      <c r="L26" s="73">
        <f t="shared" si="4"/>
        <v>0</v>
      </c>
      <c r="M26" s="18">
        <f>Settings!$I$3*D26</f>
        <v>25</v>
      </c>
      <c r="N26" s="18">
        <f>Settings!$I$7*MAX($D26 - x*voltijdfranchise/1000*(Premie_leeftijd!T25=0),0)</f>
        <v>25</v>
      </c>
      <c r="O26" s="18">
        <f>Settings!$I$7*MAX($D26 - x*voltijdfranchise/1000*(Premie_leeftijd!U25=0),0)</f>
        <v>25</v>
      </c>
      <c r="P26" s="18">
        <f>Settings!$I$3*D26*(1-Premie_leeftijd!R25)</f>
        <v>25</v>
      </c>
      <c r="Q26" s="73">
        <f t="shared" si="31"/>
        <v>16.402572366603639</v>
      </c>
      <c r="R26" s="41"/>
      <c r="S26" s="41" cm="1">
        <f t="array" ref="S26">SUMPRODUCT(Premie_leeftijd!AL$6:AL25, 1/Premie_leeftijd!AJ$6:AJ25, E$7:E26, G$7:G26)/G26 + Premie_leeftijd!AN26*E26</f>
        <v>17.500000000000004</v>
      </c>
      <c r="T26" s="73">
        <f t="shared" si="5"/>
        <v>17.499999999999996</v>
      </c>
      <c r="U26" s="42" cm="1">
        <f t="array" ref="U26">E26*Premie_leeftijd!CG25/Premie_leeftijd!CE25 + U25*(1+reele_index_opb)</f>
        <v>9.8679362354713032</v>
      </c>
      <c r="V26" s="31" cm="1">
        <f t="array" ref="V26">E26*Premie_leeftijd!BY25/Premie_leeftijd!BW25 + V25*(1+reele_index_opb)</f>
        <v>9.2423818455834912</v>
      </c>
      <c r="W26" s="41">
        <f>Premie_leeftijd!AL25*E26/Premie_leeftijd!AJ25 + W25*(1+reele_index_opb)</f>
        <v>8.5974276333963608</v>
      </c>
      <c r="X26" s="20"/>
      <c r="Y26" s="20">
        <f t="shared" si="32"/>
        <v>44</v>
      </c>
      <c r="Z26" s="41">
        <f t="shared" si="6"/>
        <v>17.500000000000004</v>
      </c>
      <c r="AA26" s="41">
        <f t="shared" si="7"/>
        <v>17.499999999999996</v>
      </c>
      <c r="AB26" s="20">
        <f t="shared" si="8"/>
        <v>25</v>
      </c>
      <c r="AC26" s="20">
        <f t="shared" si="9"/>
        <v>25</v>
      </c>
      <c r="AD26" s="20">
        <f t="shared" si="10"/>
        <v>25</v>
      </c>
      <c r="AE26" s="20">
        <f t="shared" si="11"/>
        <v>25</v>
      </c>
      <c r="AG26" s="73">
        <f t="shared" si="12"/>
        <v>23</v>
      </c>
      <c r="AH26" s="73">
        <f t="shared" si="13"/>
        <v>17.500000000000004</v>
      </c>
      <c r="AI26" s="73">
        <f t="shared" si="14"/>
        <v>17.499999999999996</v>
      </c>
      <c r="AJ26" s="73">
        <f t="shared" si="15"/>
        <v>25</v>
      </c>
      <c r="AK26" s="73">
        <f t="shared" si="16"/>
        <v>25</v>
      </c>
      <c r="AL26" s="73">
        <f t="shared" si="17"/>
        <v>25</v>
      </c>
      <c r="AM26" s="73">
        <f t="shared" si="18"/>
        <v>25</v>
      </c>
      <c r="AO26" s="20">
        <f t="shared" si="33"/>
        <v>44</v>
      </c>
      <c r="AP26" s="20">
        <f t="shared" si="19"/>
        <v>24</v>
      </c>
      <c r="AQ26" s="18">
        <f t="shared" si="20"/>
        <v>17.500000000000004</v>
      </c>
      <c r="AR26" s="18">
        <f t="shared" si="21"/>
        <v>17.499999999999996</v>
      </c>
      <c r="AS26" s="73">
        <f t="shared" si="22"/>
        <v>25</v>
      </c>
      <c r="AT26" s="73">
        <f t="shared" si="23"/>
        <v>25</v>
      </c>
      <c r="AU26" s="73">
        <f t="shared" si="34"/>
        <v>17.500000000000004</v>
      </c>
      <c r="AV26" s="73">
        <f t="shared" si="35"/>
        <v>17.500000000000004</v>
      </c>
      <c r="AX26" s="5">
        <f>Premie_leeftijd!J25</f>
        <v>1.2119904889560384E-3</v>
      </c>
      <c r="AY26" s="5"/>
      <c r="AZ26" s="54">
        <v>19</v>
      </c>
      <c r="BA26" s="54">
        <f t="shared" si="24"/>
        <v>69</v>
      </c>
      <c r="BB26" s="54">
        <f t="shared" si="25"/>
        <v>69</v>
      </c>
      <c r="BC26" s="54" t="b">
        <f t="shared" si="36"/>
        <v>1</v>
      </c>
      <c r="BD26" s="54">
        <f t="shared" si="26"/>
        <v>17.500000000000004</v>
      </c>
      <c r="BE26" s="54">
        <f t="shared" si="27"/>
        <v>17.499999999999993</v>
      </c>
      <c r="BF26" s="54">
        <f t="shared" si="28"/>
        <v>25</v>
      </c>
      <c r="BG26" s="54">
        <f t="shared" si="29"/>
        <v>25</v>
      </c>
      <c r="BH26" s="54">
        <f t="shared" si="30"/>
        <v>17.500000000000004</v>
      </c>
    </row>
    <row r="27" spans="1:60" x14ac:dyDescent="0.25">
      <c r="A27" s="73">
        <f>Grondslag!A22</f>
        <v>45</v>
      </c>
      <c r="B27" s="19">
        <v>1</v>
      </c>
      <c r="C27" s="73">
        <f t="shared" si="2"/>
        <v>45</v>
      </c>
      <c r="D27" s="73">
        <f>B27*Grondslag!I22</f>
        <v>50</v>
      </c>
      <c r="E27" s="73">
        <f>B27*(Grondslag!I22 - voltijdfranchise/1000 )</f>
        <v>35</v>
      </c>
      <c r="F27" s="73">
        <f t="shared" si="3"/>
        <v>0.58139534883720934</v>
      </c>
      <c r="G27" s="73" cm="1">
        <f t="array" ref="G27">G28*(1+reele_index_opb)</f>
        <v>1</v>
      </c>
      <c r="H27" s="73">
        <f>SUMPRODUCT(F$7:F27, G$7:G27)/G27</f>
        <v>12.20930232558139</v>
      </c>
      <c r="I27" s="73">
        <f>(1+I28)/(1+Settings!I$10)</f>
        <v>22</v>
      </c>
      <c r="J27" s="73"/>
      <c r="K27" s="73">
        <f t="shared" ref="K27:L46" si="37">volledigAnw/1000</f>
        <v>0</v>
      </c>
      <c r="L27" s="73">
        <f t="shared" si="37"/>
        <v>0</v>
      </c>
      <c r="M27" s="18">
        <f>Settings!$I$3*D27</f>
        <v>25</v>
      </c>
      <c r="N27" s="18">
        <f>Settings!$I$7*MAX($D27 - x*voltijdfranchise/1000*(Premie_leeftijd!T26=0),0)</f>
        <v>25</v>
      </c>
      <c r="O27" s="18">
        <f>Settings!$I$7*MAX($D27 - x*voltijdfranchise/1000*(Premie_leeftijd!U26=0),0)</f>
        <v>25</v>
      </c>
      <c r="P27" s="18">
        <f>Settings!$I$3*D27*(1-Premie_leeftijd!R26)</f>
        <v>25</v>
      </c>
      <c r="Q27" s="73">
        <f t="shared" si="31"/>
        <v>16.008574833883451</v>
      </c>
      <c r="R27" s="41"/>
      <c r="S27" s="41" cm="1">
        <f t="array" ref="S27">SUMPRODUCT(Premie_leeftijd!AL$6:AL26, 1/Premie_leeftijd!AJ$6:AJ26, E$7:E27, G$7:G27)/G27 + Premie_leeftijd!AN27*E27</f>
        <v>17.500000000000004</v>
      </c>
      <c r="T27" s="73">
        <f t="shared" si="5"/>
        <v>17.499999999999996</v>
      </c>
      <c r="U27" s="42" cm="1">
        <f t="array" ref="U27">E27*Premie_leeftijd!CG26/Premie_leeftijd!CE26 + U26*(1+reele_index_opb)</f>
        <v>10.280117857134528</v>
      </c>
      <c r="V27" s="31" cm="1">
        <f t="array" ref="V27">E27*Premie_leeftijd!BY26/Premie_leeftijd!BW26 + V26*(1+reele_index_opb)</f>
        <v>9.6417772489832902</v>
      </c>
      <c r="W27" s="41">
        <f>Premie_leeftijd!AL26*E27/Premie_leeftijd!AJ26 + W26*(1+reele_index_opb)</f>
        <v>8.9914251661165476</v>
      </c>
      <c r="X27" s="20"/>
      <c r="Y27" s="20">
        <f t="shared" si="32"/>
        <v>45</v>
      </c>
      <c r="Z27" s="41">
        <f t="shared" si="6"/>
        <v>17.500000000000004</v>
      </c>
      <c r="AA27" s="41">
        <f t="shared" si="7"/>
        <v>17.499999999999996</v>
      </c>
      <c r="AB27" s="20">
        <f t="shared" si="8"/>
        <v>25</v>
      </c>
      <c r="AC27" s="20">
        <f t="shared" si="9"/>
        <v>25</v>
      </c>
      <c r="AD27" s="20">
        <f t="shared" si="10"/>
        <v>25</v>
      </c>
      <c r="AE27" s="20">
        <f t="shared" si="11"/>
        <v>25</v>
      </c>
      <c r="AG27" s="73">
        <f t="shared" si="12"/>
        <v>22</v>
      </c>
      <c r="AH27" s="73">
        <f t="shared" si="13"/>
        <v>17.500000000000004</v>
      </c>
      <c r="AI27" s="73">
        <f t="shared" si="14"/>
        <v>17.499999999999996</v>
      </c>
      <c r="AJ27" s="73">
        <f t="shared" si="15"/>
        <v>25</v>
      </c>
      <c r="AK27" s="73">
        <f t="shared" si="16"/>
        <v>25</v>
      </c>
      <c r="AL27" s="73">
        <f t="shared" si="17"/>
        <v>25</v>
      </c>
      <c r="AM27" s="73">
        <f t="shared" si="18"/>
        <v>25</v>
      </c>
      <c r="AO27" s="20">
        <f t="shared" si="33"/>
        <v>45</v>
      </c>
      <c r="AP27" s="20">
        <f t="shared" si="19"/>
        <v>23</v>
      </c>
      <c r="AQ27" s="18">
        <f t="shared" si="20"/>
        <v>17.500000000000004</v>
      </c>
      <c r="AR27" s="18">
        <f t="shared" si="21"/>
        <v>17.499999999999996</v>
      </c>
      <c r="AS27" s="73">
        <f t="shared" si="22"/>
        <v>25</v>
      </c>
      <c r="AT27" s="73">
        <f t="shared" si="23"/>
        <v>25</v>
      </c>
      <c r="AU27" s="73">
        <f t="shared" si="34"/>
        <v>17.500000000000004</v>
      </c>
      <c r="AV27" s="73">
        <f t="shared" si="35"/>
        <v>17.500000000000004</v>
      </c>
      <c r="AX27" s="5">
        <f>Premie_leeftijd!J26</f>
        <v>1.4020059469702639E-3</v>
      </c>
      <c r="AY27" s="5"/>
      <c r="AZ27" s="54">
        <v>20</v>
      </c>
      <c r="BA27" s="54">
        <f t="shared" si="24"/>
        <v>70</v>
      </c>
      <c r="BB27" s="54">
        <f t="shared" si="25"/>
        <v>70</v>
      </c>
      <c r="BC27" s="54" t="b">
        <f t="shared" si="36"/>
        <v>1</v>
      </c>
      <c r="BD27" s="54">
        <f t="shared" si="26"/>
        <v>17.500000000000004</v>
      </c>
      <c r="BE27" s="54">
        <f t="shared" si="27"/>
        <v>17.499999999999993</v>
      </c>
      <c r="BF27" s="54">
        <f t="shared" si="28"/>
        <v>25</v>
      </c>
      <c r="BG27" s="54">
        <f t="shared" si="29"/>
        <v>25</v>
      </c>
      <c r="BH27" s="54">
        <f t="shared" si="30"/>
        <v>17.500000000000004</v>
      </c>
    </row>
    <row r="28" spans="1:60" x14ac:dyDescent="0.25">
      <c r="A28" s="73">
        <f>Grondslag!A23</f>
        <v>46</v>
      </c>
      <c r="B28" s="19">
        <v>1</v>
      </c>
      <c r="C28" s="73">
        <f t="shared" si="2"/>
        <v>46</v>
      </c>
      <c r="D28" s="73">
        <f>B28*Grondslag!I23</f>
        <v>50</v>
      </c>
      <c r="E28" s="73">
        <f>B28*(Grondslag!I23 - voltijdfranchise/1000 )</f>
        <v>35</v>
      </c>
      <c r="F28" s="73">
        <f t="shared" si="3"/>
        <v>0.58139534883720934</v>
      </c>
      <c r="G28" s="73" cm="1">
        <f t="array" ref="G28">G29*(1+reele_index_opb)</f>
        <v>1</v>
      </c>
      <c r="H28" s="73">
        <f>SUMPRODUCT(F$7:F28, G$7:G28)/G28</f>
        <v>12.790697674418599</v>
      </c>
      <c r="I28" s="73">
        <f>(1+I29)/(1+Settings!I$10)</f>
        <v>21</v>
      </c>
      <c r="J28" s="73"/>
      <c r="K28" s="73">
        <f t="shared" si="37"/>
        <v>0</v>
      </c>
      <c r="L28" s="73">
        <f t="shared" si="37"/>
        <v>0</v>
      </c>
      <c r="M28" s="18">
        <f>Settings!$I$3*D28</f>
        <v>25</v>
      </c>
      <c r="N28" s="18">
        <f>Settings!$I$7*MAX($D28 - x*voltijdfranchise/1000*(Premie_leeftijd!T27=0),0)</f>
        <v>25</v>
      </c>
      <c r="O28" s="18">
        <f>Settings!$I$7*MAX($D28 - x*voltijdfranchise/1000*(Premie_leeftijd!U27=0),0)</f>
        <v>25</v>
      </c>
      <c r="P28" s="18">
        <f>Settings!$I$3*D28*(1-Premie_leeftijd!R27)</f>
        <v>25</v>
      </c>
      <c r="Q28" s="73">
        <f t="shared" si="31"/>
        <v>15.616653789039704</v>
      </c>
      <c r="R28" s="41"/>
      <c r="S28" s="41" cm="1">
        <f t="array" ref="S28">SUMPRODUCT(Premie_leeftijd!AL$6:AL27, 1/Premie_leeftijd!AJ$6:AJ27, E$7:E28, G$7:G28)/G28 + Premie_leeftijd!AN28*E28</f>
        <v>17.500000000000004</v>
      </c>
      <c r="T28" s="73">
        <f t="shared" si="5"/>
        <v>17.499999999999993</v>
      </c>
      <c r="U28" s="42" cm="1">
        <f t="array" ref="U28">E28*Premie_leeftijd!CG27/Premie_leeftijd!CE27 + U27*(1+reele_index_opb)</f>
        <v>10.685056588652143</v>
      </c>
      <c r="V28" s="31" cm="1">
        <f t="array" ref="V28">E28*Premie_leeftijd!BY27/Premie_leeftijd!BW27 + V27*(1+reele_index_opb)</f>
        <v>10.036258513210809</v>
      </c>
      <c r="W28" s="41">
        <f>Premie_leeftijd!AL27*E28/Premie_leeftijd!AJ27 + W27*(1+reele_index_opb)</f>
        <v>9.3833462109602959</v>
      </c>
      <c r="X28" s="20"/>
      <c r="Y28" s="20">
        <f t="shared" si="32"/>
        <v>46</v>
      </c>
      <c r="Z28" s="41">
        <f t="shared" si="6"/>
        <v>17.500000000000004</v>
      </c>
      <c r="AA28" s="41">
        <f t="shared" si="7"/>
        <v>17.499999999999993</v>
      </c>
      <c r="AB28" s="20">
        <f t="shared" si="8"/>
        <v>25</v>
      </c>
      <c r="AC28" s="20">
        <f t="shared" si="9"/>
        <v>25</v>
      </c>
      <c r="AD28" s="20">
        <f t="shared" si="10"/>
        <v>25</v>
      </c>
      <c r="AE28" s="20">
        <f t="shared" si="11"/>
        <v>25</v>
      </c>
      <c r="AG28" s="73">
        <f t="shared" si="12"/>
        <v>21</v>
      </c>
      <c r="AH28" s="73">
        <f t="shared" si="13"/>
        <v>17.500000000000004</v>
      </c>
      <c r="AI28" s="73">
        <f t="shared" si="14"/>
        <v>17.499999999999993</v>
      </c>
      <c r="AJ28" s="73">
        <f t="shared" si="15"/>
        <v>25</v>
      </c>
      <c r="AK28" s="73">
        <f t="shared" si="16"/>
        <v>25</v>
      </c>
      <c r="AL28" s="73">
        <f t="shared" si="17"/>
        <v>25</v>
      </c>
      <c r="AM28" s="73">
        <f t="shared" si="18"/>
        <v>25</v>
      </c>
      <c r="AO28" s="20">
        <f t="shared" si="33"/>
        <v>46</v>
      </c>
      <c r="AP28" s="20">
        <f t="shared" si="19"/>
        <v>22</v>
      </c>
      <c r="AQ28" s="18">
        <f t="shared" si="20"/>
        <v>17.500000000000004</v>
      </c>
      <c r="AR28" s="18">
        <f t="shared" si="21"/>
        <v>17.499999999999993</v>
      </c>
      <c r="AS28" s="73">
        <f t="shared" si="22"/>
        <v>25</v>
      </c>
      <c r="AT28" s="73">
        <f t="shared" si="23"/>
        <v>25</v>
      </c>
      <c r="AU28" s="73">
        <f t="shared" si="34"/>
        <v>17.500000000000004</v>
      </c>
      <c r="AV28" s="73">
        <f t="shared" si="35"/>
        <v>17.500000000000004</v>
      </c>
      <c r="AX28" s="5">
        <f>Premie_leeftijd!J27</f>
        <v>1.3968703940510085E-3</v>
      </c>
      <c r="AY28" s="5"/>
      <c r="AZ28" s="54">
        <v>21</v>
      </c>
      <c r="BA28" s="54">
        <f t="shared" si="24"/>
        <v>71</v>
      </c>
      <c r="BB28" s="54">
        <f t="shared" si="25"/>
        <v>71</v>
      </c>
      <c r="BC28" s="54" t="b">
        <f t="shared" si="36"/>
        <v>1</v>
      </c>
      <c r="BD28" s="54">
        <f t="shared" si="26"/>
        <v>17.500000000000004</v>
      </c>
      <c r="BE28" s="54">
        <f t="shared" si="27"/>
        <v>17.499999999999993</v>
      </c>
      <c r="BF28" s="54">
        <f t="shared" si="28"/>
        <v>25</v>
      </c>
      <c r="BG28" s="54">
        <f t="shared" si="29"/>
        <v>25</v>
      </c>
      <c r="BH28" s="54">
        <f t="shared" si="30"/>
        <v>17.500000000000004</v>
      </c>
    </row>
    <row r="29" spans="1:60" x14ac:dyDescent="0.25">
      <c r="A29" s="73">
        <f>Grondslag!A24</f>
        <v>47</v>
      </c>
      <c r="B29" s="19">
        <v>1</v>
      </c>
      <c r="C29" s="73">
        <f t="shared" si="2"/>
        <v>47</v>
      </c>
      <c r="D29" s="73">
        <f>B29*Grondslag!I24</f>
        <v>50</v>
      </c>
      <c r="E29" s="73">
        <f>B29*(Grondslag!I24 - voltijdfranchise/1000 )</f>
        <v>35</v>
      </c>
      <c r="F29" s="73">
        <f t="shared" si="3"/>
        <v>0.58139534883720934</v>
      </c>
      <c r="G29" s="73" cm="1">
        <f t="array" ref="G29">G30*(1+reele_index_opb)</f>
        <v>1</v>
      </c>
      <c r="H29" s="73">
        <f>SUMPRODUCT(F$7:F29, G$7:G29)/G29</f>
        <v>13.372093023255808</v>
      </c>
      <c r="I29" s="73">
        <f>(1+I30)/(1+Settings!I$10)</f>
        <v>20</v>
      </c>
      <c r="J29" s="73"/>
      <c r="K29" s="73">
        <f t="shared" si="37"/>
        <v>0</v>
      </c>
      <c r="L29" s="73">
        <f t="shared" si="37"/>
        <v>0</v>
      </c>
      <c r="M29" s="18">
        <f>Settings!$I$3*D29</f>
        <v>25</v>
      </c>
      <c r="N29" s="18">
        <f>Settings!$I$7*MAX($D29 - x*voltijdfranchise/1000*(Premie_leeftijd!T28=0),0)</f>
        <v>25</v>
      </c>
      <c r="O29" s="18">
        <f>Settings!$I$7*MAX($D29 - x*voltijdfranchise/1000*(Premie_leeftijd!U28=0),0)</f>
        <v>25</v>
      </c>
      <c r="P29" s="18">
        <f>Settings!$I$3*D29*(1-Premie_leeftijd!R28)</f>
        <v>25</v>
      </c>
      <c r="Q29" s="73">
        <f t="shared" si="31"/>
        <v>15.227004949564947</v>
      </c>
      <c r="R29" s="41"/>
      <c r="S29" s="41" cm="1">
        <f t="array" ref="S29">SUMPRODUCT(Premie_leeftijd!AL$6:AL28, 1/Premie_leeftijd!AJ$6:AJ28, E$7:E29, G$7:G29)/G29 + Premie_leeftijd!AN29*E29</f>
        <v>17.500000000000004</v>
      </c>
      <c r="T29" s="73">
        <f t="shared" si="5"/>
        <v>17.499999999999993</v>
      </c>
      <c r="U29" s="42" cm="1">
        <f t="array" ref="U29">E29*Premie_leeftijd!CG28/Premie_leeftijd!CE28 + U28*(1+reele_index_opb)</f>
        <v>11.082790696286777</v>
      </c>
      <c r="V29" s="31" cm="1">
        <f t="array" ref="V29">E29*Premie_leeftijd!BY28/Premie_leeftijd!BW28 + V28*(1+reele_index_opb)</f>
        <v>10.425802444185507</v>
      </c>
      <c r="W29" s="41">
        <f>Premie_leeftijd!AL28*E29/Premie_leeftijd!AJ28 + W28*(1+reele_index_opb)</f>
        <v>9.7729950504350533</v>
      </c>
      <c r="X29" s="20"/>
      <c r="Y29" s="20">
        <f t="shared" si="32"/>
        <v>47</v>
      </c>
      <c r="Z29" s="41">
        <f t="shared" si="6"/>
        <v>17.500000000000004</v>
      </c>
      <c r="AA29" s="41">
        <f t="shared" si="7"/>
        <v>17.499999999999993</v>
      </c>
      <c r="AB29" s="20">
        <f t="shared" si="8"/>
        <v>25</v>
      </c>
      <c r="AC29" s="20">
        <f t="shared" si="9"/>
        <v>25</v>
      </c>
      <c r="AD29" s="20">
        <f t="shared" si="10"/>
        <v>25</v>
      </c>
      <c r="AE29" s="20">
        <f t="shared" si="11"/>
        <v>25</v>
      </c>
      <c r="AG29" s="73">
        <f t="shared" si="12"/>
        <v>20</v>
      </c>
      <c r="AH29" s="73">
        <f t="shared" si="13"/>
        <v>17.500000000000004</v>
      </c>
      <c r="AI29" s="73">
        <f t="shared" si="14"/>
        <v>17.499999999999993</v>
      </c>
      <c r="AJ29" s="73">
        <f t="shared" si="15"/>
        <v>25</v>
      </c>
      <c r="AK29" s="73">
        <f t="shared" si="16"/>
        <v>25</v>
      </c>
      <c r="AL29" s="73">
        <f t="shared" si="17"/>
        <v>25</v>
      </c>
      <c r="AM29" s="73">
        <f t="shared" si="18"/>
        <v>25</v>
      </c>
      <c r="AO29" s="20">
        <f t="shared" si="33"/>
        <v>47</v>
      </c>
      <c r="AP29" s="20">
        <f t="shared" si="19"/>
        <v>21</v>
      </c>
      <c r="AQ29" s="18">
        <f t="shared" si="20"/>
        <v>17.500000000000004</v>
      </c>
      <c r="AR29" s="18">
        <f t="shared" si="21"/>
        <v>17.499999999999993</v>
      </c>
      <c r="AS29" s="73">
        <f t="shared" si="22"/>
        <v>25</v>
      </c>
      <c r="AT29" s="73">
        <f t="shared" si="23"/>
        <v>25</v>
      </c>
      <c r="AU29" s="73">
        <f t="shared" si="34"/>
        <v>17.500000000000004</v>
      </c>
      <c r="AV29" s="73">
        <f t="shared" si="35"/>
        <v>17.500000000000004</v>
      </c>
      <c r="AX29" s="5">
        <f>Premie_leeftijd!J28</f>
        <v>1.5047170053563708E-3</v>
      </c>
      <c r="AY29" s="5"/>
      <c r="AZ29" s="54">
        <v>22</v>
      </c>
      <c r="BA29" s="54">
        <f t="shared" si="24"/>
        <v>72</v>
      </c>
      <c r="BB29" s="54">
        <f t="shared" si="25"/>
        <v>72</v>
      </c>
      <c r="BC29" s="54" t="b">
        <f t="shared" si="36"/>
        <v>1</v>
      </c>
      <c r="BD29" s="54">
        <f t="shared" si="26"/>
        <v>17.500000000000004</v>
      </c>
      <c r="BE29" s="54">
        <f t="shared" si="27"/>
        <v>17.499999999999993</v>
      </c>
      <c r="BF29" s="54">
        <f t="shared" si="28"/>
        <v>25</v>
      </c>
      <c r="BG29" s="54">
        <f t="shared" si="29"/>
        <v>25</v>
      </c>
      <c r="BH29" s="54">
        <f t="shared" si="30"/>
        <v>17.500000000000004</v>
      </c>
    </row>
    <row r="30" spans="1:60" x14ac:dyDescent="0.25">
      <c r="A30" s="73">
        <f>Grondslag!A25</f>
        <v>48</v>
      </c>
      <c r="B30" s="19">
        <v>1</v>
      </c>
      <c r="C30" s="73">
        <f t="shared" si="2"/>
        <v>48</v>
      </c>
      <c r="D30" s="73">
        <f>B30*Grondslag!I25</f>
        <v>50</v>
      </c>
      <c r="E30" s="73">
        <f>B30*(Grondslag!I25 - voltijdfranchise/1000 )</f>
        <v>35</v>
      </c>
      <c r="F30" s="73">
        <f t="shared" si="3"/>
        <v>0.58139534883720934</v>
      </c>
      <c r="G30" s="73" cm="1">
        <f t="array" ref="G30">G31*(1+reele_index_opb)</f>
        <v>1</v>
      </c>
      <c r="H30" s="73">
        <f>SUMPRODUCT(F$7:F30, G$7:G30)/G30</f>
        <v>13.953488372093016</v>
      </c>
      <c r="I30" s="73">
        <f>(1+I31)/(1+Settings!I$10)</f>
        <v>19</v>
      </c>
      <c r="J30" s="73"/>
      <c r="K30" s="73">
        <f t="shared" si="37"/>
        <v>0</v>
      </c>
      <c r="L30" s="73">
        <f t="shared" si="37"/>
        <v>0</v>
      </c>
      <c r="M30" s="18">
        <f>Settings!$I$3*D30</f>
        <v>25</v>
      </c>
      <c r="N30" s="18">
        <f>Settings!$I$7*MAX($D30 - x*voltijdfranchise/1000*(Premie_leeftijd!T29=0),0)</f>
        <v>25</v>
      </c>
      <c r="O30" s="18">
        <f>Settings!$I$7*MAX($D30 - x*voltijdfranchise/1000*(Premie_leeftijd!U29=0),0)</f>
        <v>25</v>
      </c>
      <c r="P30" s="18">
        <f>Settings!$I$3*D30*(1-Premie_leeftijd!R29)</f>
        <v>25</v>
      </c>
      <c r="Q30" s="73">
        <f t="shared" si="31"/>
        <v>14.839611433746025</v>
      </c>
      <c r="S30" s="41" cm="1">
        <f t="array" ref="S30">SUMPRODUCT(Premie_leeftijd!AL$6:AL29, 1/Premie_leeftijd!AJ$6:AJ29, E$7:E30, G$7:G30)/G30 + Premie_leeftijd!AN30*E30</f>
        <v>17.500000000000004</v>
      </c>
      <c r="T30" s="73">
        <f t="shared" si="5"/>
        <v>17.499999999999993</v>
      </c>
      <c r="U30" s="42" cm="1">
        <f t="array" ref="U30">E30*Premie_leeftijd!CG29/Premie_leeftijd!CE29 + U29*(1+reele_index_opb)</f>
        <v>11.473196840287033</v>
      </c>
      <c r="V30" s="31" cm="1">
        <f t="array" ref="V30">E30*Premie_leeftijd!BY29/Premie_leeftijd!BW29 + V29*(1+reele_index_opb)</f>
        <v>10.810394365885278</v>
      </c>
      <c r="W30" s="41">
        <f>Premie_leeftijd!AL29*E30/Premie_leeftijd!AJ29 + W29*(1+reele_index_opb)</f>
        <v>10.160388566253975</v>
      </c>
      <c r="X30" s="20"/>
      <c r="Y30" s="20">
        <f t="shared" si="32"/>
        <v>48</v>
      </c>
      <c r="Z30" s="41">
        <f t="shared" si="6"/>
        <v>17.500000000000004</v>
      </c>
      <c r="AA30" s="41">
        <f t="shared" si="7"/>
        <v>17.499999999999993</v>
      </c>
      <c r="AB30" s="20">
        <f t="shared" si="8"/>
        <v>25</v>
      </c>
      <c r="AC30" s="20">
        <f t="shared" si="9"/>
        <v>25</v>
      </c>
      <c r="AD30" s="20">
        <f t="shared" si="10"/>
        <v>25</v>
      </c>
      <c r="AE30" s="20">
        <f t="shared" si="11"/>
        <v>25</v>
      </c>
      <c r="AG30" s="73">
        <f t="shared" si="12"/>
        <v>19</v>
      </c>
      <c r="AH30" s="73">
        <f t="shared" si="13"/>
        <v>17.500000000000004</v>
      </c>
      <c r="AI30" s="73">
        <f t="shared" si="14"/>
        <v>17.499999999999993</v>
      </c>
      <c r="AJ30" s="73">
        <f t="shared" si="15"/>
        <v>25</v>
      </c>
      <c r="AK30" s="73">
        <f t="shared" si="16"/>
        <v>25</v>
      </c>
      <c r="AL30" s="73">
        <f t="shared" si="17"/>
        <v>25</v>
      </c>
      <c r="AM30" s="73">
        <f t="shared" si="18"/>
        <v>25</v>
      </c>
      <c r="AO30" s="20">
        <f t="shared" si="33"/>
        <v>48</v>
      </c>
      <c r="AP30" s="20">
        <f t="shared" si="19"/>
        <v>20</v>
      </c>
      <c r="AQ30" s="18">
        <f t="shared" si="20"/>
        <v>17.500000000000004</v>
      </c>
      <c r="AR30" s="18">
        <f t="shared" si="21"/>
        <v>17.499999999999993</v>
      </c>
      <c r="AS30" s="73">
        <f t="shared" si="22"/>
        <v>25</v>
      </c>
      <c r="AT30" s="73">
        <f t="shared" si="23"/>
        <v>25</v>
      </c>
      <c r="AU30" s="73">
        <f t="shared" si="34"/>
        <v>17.500000000000004</v>
      </c>
      <c r="AV30" s="73">
        <f t="shared" si="35"/>
        <v>17.500000000000004</v>
      </c>
      <c r="AX30" s="5">
        <f>Premie_leeftijd!J29</f>
        <v>1.8179857334339466E-3</v>
      </c>
      <c r="AY30" s="5"/>
      <c r="AZ30" s="54">
        <v>23</v>
      </c>
      <c r="BA30" s="54">
        <f t="shared" si="24"/>
        <v>73</v>
      </c>
      <c r="BB30" s="54">
        <f t="shared" si="25"/>
        <v>73</v>
      </c>
      <c r="BC30" s="54" t="b">
        <f t="shared" si="36"/>
        <v>1</v>
      </c>
      <c r="BD30" s="54">
        <f t="shared" si="26"/>
        <v>17.500000000000004</v>
      </c>
      <c r="BE30" s="54">
        <f t="shared" si="27"/>
        <v>17.499999999999993</v>
      </c>
      <c r="BF30" s="54">
        <f t="shared" si="28"/>
        <v>25</v>
      </c>
      <c r="BG30" s="54">
        <f t="shared" si="29"/>
        <v>25</v>
      </c>
      <c r="BH30" s="54">
        <f t="shared" si="30"/>
        <v>17.500000000000004</v>
      </c>
    </row>
    <row r="31" spans="1:60" x14ac:dyDescent="0.25">
      <c r="A31" s="73">
        <f>Grondslag!A26</f>
        <v>49</v>
      </c>
      <c r="B31" s="19">
        <v>1</v>
      </c>
      <c r="C31" s="73">
        <f t="shared" si="2"/>
        <v>49</v>
      </c>
      <c r="D31" s="73">
        <f>B31*Grondslag!I26</f>
        <v>50</v>
      </c>
      <c r="E31" s="73">
        <f>B31*(Grondslag!I26 - voltijdfranchise/1000 )</f>
        <v>35</v>
      </c>
      <c r="F31" s="73">
        <f t="shared" si="3"/>
        <v>0.58139534883720934</v>
      </c>
      <c r="G31" s="73" cm="1">
        <f t="array" ref="G31">G32*(1+reele_index_opb)</f>
        <v>1</v>
      </c>
      <c r="H31" s="73">
        <f>SUMPRODUCT(F$7:F31, G$7:G31)/G31</f>
        <v>14.534883720930225</v>
      </c>
      <c r="I31" s="73">
        <f>(1+I32)/(1+Settings!I$10)</f>
        <v>18</v>
      </c>
      <c r="J31" s="73"/>
      <c r="K31" s="73">
        <f t="shared" si="37"/>
        <v>0</v>
      </c>
      <c r="L31" s="73">
        <f t="shared" si="37"/>
        <v>0</v>
      </c>
      <c r="M31" s="18">
        <f>Settings!$I$3*D31</f>
        <v>25</v>
      </c>
      <c r="N31" s="18">
        <f>Settings!$I$7*MAX($D31 - x*voltijdfranchise/1000*(Premie_leeftijd!T30=0),0)</f>
        <v>25</v>
      </c>
      <c r="O31" s="18">
        <f>Settings!$I$7*MAX($D31 - x*voltijdfranchise/1000*(Premie_leeftijd!U30=0),0)</f>
        <v>25</v>
      </c>
      <c r="P31" s="18">
        <f>Settings!$I$3*D31*(1-Premie_leeftijd!R30)</f>
        <v>25</v>
      </c>
      <c r="Q31" s="73">
        <f t="shared" si="31"/>
        <v>14.453505794622892</v>
      </c>
      <c r="S31" s="41" cm="1">
        <f t="array" ref="S31">SUMPRODUCT(Premie_leeftijd!AL$6:AL30, 1/Premie_leeftijd!AJ$6:AJ30, E$7:E31, G$7:G31)/G31 + Premie_leeftijd!AN31*E31</f>
        <v>17.500000000000004</v>
      </c>
      <c r="T31" s="73">
        <f t="shared" si="5"/>
        <v>17.499999999999993</v>
      </c>
      <c r="U31" s="42" cm="1">
        <f t="array" ref="U31">E31*Premie_leeftijd!CG30/Premie_leeftijd!CE30 + U30*(1+reele_index_opb)</f>
        <v>11.856463741257336</v>
      </c>
      <c r="V31" s="31" cm="1">
        <f t="array" ref="V31">E31*Premie_leeftijd!BY30/Premie_leeftijd!BW30 + V30*(1+reele_index_opb)</f>
        <v>11.190625786453888</v>
      </c>
      <c r="W31" s="41">
        <f>Premie_leeftijd!AL30*E31/Premie_leeftijd!AJ30 + W30*(1+reele_index_opb)</f>
        <v>10.546494205377108</v>
      </c>
      <c r="X31" s="20"/>
      <c r="Y31" s="20">
        <f t="shared" si="32"/>
        <v>49</v>
      </c>
      <c r="Z31" s="41">
        <f t="shared" si="6"/>
        <v>17.500000000000004</v>
      </c>
      <c r="AA31" s="41">
        <f t="shared" si="7"/>
        <v>17.499999999999993</v>
      </c>
      <c r="AB31" s="20">
        <f t="shared" si="8"/>
        <v>25</v>
      </c>
      <c r="AC31" s="20">
        <f t="shared" si="9"/>
        <v>25</v>
      </c>
      <c r="AD31" s="20">
        <f t="shared" si="10"/>
        <v>25</v>
      </c>
      <c r="AE31" s="20">
        <f t="shared" si="11"/>
        <v>25</v>
      </c>
      <c r="AG31" s="73">
        <f t="shared" si="12"/>
        <v>18</v>
      </c>
      <c r="AH31" s="73">
        <f t="shared" si="13"/>
        <v>17.500000000000004</v>
      </c>
      <c r="AI31" s="73">
        <f t="shared" si="14"/>
        <v>17.499999999999993</v>
      </c>
      <c r="AJ31" s="73">
        <f t="shared" si="15"/>
        <v>25</v>
      </c>
      <c r="AK31" s="73">
        <f t="shared" si="16"/>
        <v>25</v>
      </c>
      <c r="AL31" s="73">
        <f t="shared" si="17"/>
        <v>25</v>
      </c>
      <c r="AM31" s="73">
        <f t="shared" si="18"/>
        <v>25</v>
      </c>
      <c r="AO31" s="20">
        <f t="shared" si="33"/>
        <v>49</v>
      </c>
      <c r="AP31" s="20">
        <f t="shared" si="19"/>
        <v>19</v>
      </c>
      <c r="AQ31" s="18">
        <f t="shared" si="20"/>
        <v>17.500000000000004</v>
      </c>
      <c r="AR31" s="18">
        <f t="shared" si="21"/>
        <v>17.499999999999993</v>
      </c>
      <c r="AS31" s="73">
        <f t="shared" si="22"/>
        <v>25</v>
      </c>
      <c r="AT31" s="73">
        <f t="shared" si="23"/>
        <v>25</v>
      </c>
      <c r="AU31" s="73">
        <f t="shared" si="34"/>
        <v>17.500000000000004</v>
      </c>
      <c r="AV31" s="73">
        <f t="shared" si="35"/>
        <v>17.500000000000004</v>
      </c>
      <c r="AX31" s="5">
        <f>Premie_leeftijd!J30</f>
        <v>1.7460879925637052E-3</v>
      </c>
      <c r="AY31" s="5"/>
      <c r="AZ31" s="54">
        <v>24</v>
      </c>
      <c r="BA31" s="54">
        <f t="shared" si="24"/>
        <v>74</v>
      </c>
      <c r="BB31" s="54">
        <f t="shared" si="25"/>
        <v>74</v>
      </c>
      <c r="BC31" s="54" t="b">
        <f t="shared" si="36"/>
        <v>1</v>
      </c>
      <c r="BD31" s="54">
        <f t="shared" si="26"/>
        <v>17.500000000000004</v>
      </c>
      <c r="BE31" s="54">
        <f t="shared" si="27"/>
        <v>17.499999999999993</v>
      </c>
      <c r="BF31" s="54">
        <f t="shared" si="28"/>
        <v>25</v>
      </c>
      <c r="BG31" s="54">
        <f t="shared" si="29"/>
        <v>25</v>
      </c>
      <c r="BH31" s="54">
        <f t="shared" si="30"/>
        <v>17.500000000000004</v>
      </c>
    </row>
    <row r="32" spans="1:60" x14ac:dyDescent="0.25">
      <c r="A32" s="73">
        <f>Grondslag!A27</f>
        <v>50</v>
      </c>
      <c r="B32" s="19">
        <v>1</v>
      </c>
      <c r="C32" s="73">
        <f t="shared" si="2"/>
        <v>50</v>
      </c>
      <c r="D32" s="73">
        <f>B32*Grondslag!I27</f>
        <v>50</v>
      </c>
      <c r="E32" s="73">
        <f>B32*(Grondslag!I27 - voltijdfranchise/1000 )</f>
        <v>35</v>
      </c>
      <c r="F32" s="73">
        <f t="shared" si="3"/>
        <v>0.58139534883720934</v>
      </c>
      <c r="G32" s="73" cm="1">
        <f t="array" ref="G32">G33*(1+reele_index_opb)</f>
        <v>1</v>
      </c>
      <c r="H32" s="73">
        <f>SUMPRODUCT(F$7:F32, G$7:G32)/G32</f>
        <v>15.116279069767433</v>
      </c>
      <c r="I32" s="73">
        <f>(1+I33)/(1+Settings!I$10)</f>
        <v>17</v>
      </c>
      <c r="J32" s="73"/>
      <c r="K32" s="73">
        <f t="shared" si="37"/>
        <v>0</v>
      </c>
      <c r="L32" s="73">
        <f t="shared" si="37"/>
        <v>0</v>
      </c>
      <c r="M32" s="18">
        <f>Settings!$I$3*D32</f>
        <v>25</v>
      </c>
      <c r="N32" s="18">
        <f>Settings!$I$7*MAX($D32 - x*voltijdfranchise/1000*(Premie_leeftijd!T31=0),0)</f>
        <v>25</v>
      </c>
      <c r="O32" s="18">
        <f>Settings!$I$7*MAX($D32 - x*voltijdfranchise/1000*(Premie_leeftijd!U31=0),0)</f>
        <v>25</v>
      </c>
      <c r="P32" s="18">
        <f>Settings!$I$3*D32*(1-Premie_leeftijd!R31)</f>
        <v>25</v>
      </c>
      <c r="Q32" s="73">
        <f t="shared" si="31"/>
        <v>14.06921226385219</v>
      </c>
      <c r="S32" s="41" cm="1">
        <f t="array" ref="S32">SUMPRODUCT(Premie_leeftijd!AL$6:AL31, 1/Premie_leeftijd!AJ$6:AJ31, E$7:E32, G$7:G32)/G32 + Premie_leeftijd!AN32*E32</f>
        <v>17.500000000000004</v>
      </c>
      <c r="T32" s="73">
        <f t="shared" si="5"/>
        <v>17.499999999999993</v>
      </c>
      <c r="U32" s="42" cm="1">
        <f t="array" ref="U32">E32*Premie_leeftijd!CG31/Premie_leeftijd!CE31 + U31*(1+reele_index_opb)</f>
        <v>12.232541448987636</v>
      </c>
      <c r="V32" s="31" cm="1">
        <f t="array" ref="V32">E32*Premie_leeftijd!BY31/Premie_leeftijd!BW31 + V31*(1+reele_index_opb)</f>
        <v>11.566278904680356</v>
      </c>
      <c r="W32" s="41">
        <f>Premie_leeftijd!AL31*E32/Premie_leeftijd!AJ31 + W31*(1+reele_index_opb)</f>
        <v>10.93078773614781</v>
      </c>
      <c r="X32" s="20"/>
      <c r="Y32" s="20">
        <f t="shared" si="32"/>
        <v>50</v>
      </c>
      <c r="Z32" s="41">
        <f t="shared" si="6"/>
        <v>17.500000000000004</v>
      </c>
      <c r="AA32" s="41">
        <f t="shared" si="7"/>
        <v>17.499999999999993</v>
      </c>
      <c r="AB32" s="20">
        <f t="shared" si="8"/>
        <v>25</v>
      </c>
      <c r="AC32" s="20">
        <f t="shared" si="9"/>
        <v>25</v>
      </c>
      <c r="AD32" s="20">
        <f t="shared" si="10"/>
        <v>25</v>
      </c>
      <c r="AE32" s="20">
        <f t="shared" si="11"/>
        <v>25</v>
      </c>
      <c r="AG32" s="73">
        <f t="shared" si="12"/>
        <v>17</v>
      </c>
      <c r="AH32" s="73">
        <f t="shared" si="13"/>
        <v>17.500000000000004</v>
      </c>
      <c r="AI32" s="73">
        <f t="shared" si="14"/>
        <v>17.499999999999993</v>
      </c>
      <c r="AJ32" s="73">
        <f t="shared" si="15"/>
        <v>25</v>
      </c>
      <c r="AK32" s="73">
        <f t="shared" si="16"/>
        <v>25</v>
      </c>
      <c r="AL32" s="73">
        <f t="shared" si="17"/>
        <v>25</v>
      </c>
      <c r="AM32" s="73">
        <f t="shared" si="18"/>
        <v>25</v>
      </c>
      <c r="AO32" s="20">
        <f t="shared" si="33"/>
        <v>50</v>
      </c>
      <c r="AP32" s="20">
        <f t="shared" si="19"/>
        <v>18</v>
      </c>
      <c r="AQ32" s="18">
        <f t="shared" si="20"/>
        <v>17.500000000000004</v>
      </c>
      <c r="AR32" s="18">
        <f t="shared" si="21"/>
        <v>17.499999999999993</v>
      </c>
      <c r="AS32" s="73">
        <f t="shared" si="22"/>
        <v>25</v>
      </c>
      <c r="AT32" s="73">
        <f t="shared" si="23"/>
        <v>25</v>
      </c>
      <c r="AU32" s="73">
        <f t="shared" si="34"/>
        <v>17.500000000000004</v>
      </c>
      <c r="AV32" s="73">
        <f t="shared" si="35"/>
        <v>17.500000000000004</v>
      </c>
      <c r="AX32" s="5">
        <f>Premie_leeftijd!J31</f>
        <v>1.9771878739325288E-3</v>
      </c>
      <c r="AY32" s="5"/>
      <c r="AZ32" s="54">
        <v>25</v>
      </c>
      <c r="BA32" s="54">
        <f t="shared" si="24"/>
        <v>75</v>
      </c>
      <c r="BB32" s="54">
        <f t="shared" si="25"/>
        <v>75</v>
      </c>
      <c r="BC32" s="54" t="b">
        <f t="shared" si="36"/>
        <v>1</v>
      </c>
      <c r="BD32" s="54">
        <f t="shared" si="26"/>
        <v>17.500000000000004</v>
      </c>
      <c r="BE32" s="54">
        <f t="shared" si="27"/>
        <v>17.499999999999993</v>
      </c>
      <c r="BF32" s="54">
        <f t="shared" si="28"/>
        <v>25</v>
      </c>
      <c r="BG32" s="54">
        <f t="shared" si="29"/>
        <v>25</v>
      </c>
      <c r="BH32" s="54">
        <f t="shared" si="30"/>
        <v>17.500000000000004</v>
      </c>
    </row>
    <row r="33" spans="1:60" x14ac:dyDescent="0.25">
      <c r="A33" s="73">
        <f>Grondslag!A28</f>
        <v>51</v>
      </c>
      <c r="B33" s="19">
        <v>1</v>
      </c>
      <c r="C33" s="73">
        <f t="shared" si="2"/>
        <v>51</v>
      </c>
      <c r="D33" s="73">
        <f>B33*Grondslag!I28</f>
        <v>50</v>
      </c>
      <c r="E33" s="73">
        <f>B33*(Grondslag!I28 - voltijdfranchise/1000 )</f>
        <v>35</v>
      </c>
      <c r="F33" s="73">
        <f t="shared" si="3"/>
        <v>0.58139534883720934</v>
      </c>
      <c r="G33" s="73" cm="1">
        <f t="array" ref="G33">G34*(1+reele_index_opb)</f>
        <v>1</v>
      </c>
      <c r="H33" s="73">
        <f>SUMPRODUCT(F$7:F33, G$7:G33)/G33</f>
        <v>15.697674418604642</v>
      </c>
      <c r="I33" s="73">
        <f>(1+I34)/(1+Settings!I$10)</f>
        <v>16</v>
      </c>
      <c r="J33" s="73"/>
      <c r="K33" s="73">
        <f t="shared" si="37"/>
        <v>0</v>
      </c>
      <c r="L33" s="73">
        <f t="shared" si="37"/>
        <v>0</v>
      </c>
      <c r="M33" s="18">
        <f>Settings!$I$3*D33</f>
        <v>25</v>
      </c>
      <c r="N33" s="18">
        <f>Settings!$I$7*MAX($D33 - x*voltijdfranchise/1000*(Premie_leeftijd!T32=0),0)</f>
        <v>25</v>
      </c>
      <c r="O33" s="18">
        <f>Settings!$I$7*MAX($D33 - x*voltijdfranchise/1000*(Premie_leeftijd!U32=0),0)</f>
        <v>25</v>
      </c>
      <c r="P33" s="18">
        <f>Settings!$I$3*D33*(1-Premie_leeftijd!R32)</f>
        <v>25</v>
      </c>
      <c r="Q33" s="73">
        <f t="shared" si="31"/>
        <v>13.686322005209814</v>
      </c>
      <c r="S33" s="41" cm="1">
        <f t="array" ref="S33">SUMPRODUCT(Premie_leeftijd!AL$6:AL32, 1/Premie_leeftijd!AJ$6:AJ32, E$7:E33, G$7:G33)/G33 + Premie_leeftijd!AN33*E33</f>
        <v>17.500000000000004</v>
      </c>
      <c r="T33" s="73">
        <f t="shared" si="5"/>
        <v>17.499999999999993</v>
      </c>
      <c r="U33" s="42" cm="1">
        <f t="array" ref="U33">E33*Premie_leeftijd!CG32/Premie_leeftijd!CE32 + U32*(1+reele_index_opb)</f>
        <v>12.601382821465085</v>
      </c>
      <c r="V33" s="31" cm="1">
        <f t="array" ref="V33">E33*Premie_leeftijd!BY32/Premie_leeftijd!BW32 + V32*(1+reele_index_opb)</f>
        <v>11.937581214641593</v>
      </c>
      <c r="W33" s="41">
        <f>Premie_leeftijd!AL32*E33/Premie_leeftijd!AJ32 + W32*(1+reele_index_opb)</f>
        <v>11.313677994790186</v>
      </c>
      <c r="X33" s="20"/>
      <c r="Y33" s="20">
        <f t="shared" si="32"/>
        <v>51</v>
      </c>
      <c r="Z33" s="41">
        <f t="shared" si="6"/>
        <v>17.500000000000004</v>
      </c>
      <c r="AA33" s="41">
        <f t="shared" si="7"/>
        <v>17.499999999999993</v>
      </c>
      <c r="AB33" s="20">
        <f t="shared" si="8"/>
        <v>25</v>
      </c>
      <c r="AC33" s="20">
        <f t="shared" si="9"/>
        <v>25</v>
      </c>
      <c r="AD33" s="20">
        <f t="shared" si="10"/>
        <v>25</v>
      </c>
      <c r="AE33" s="20">
        <f t="shared" si="11"/>
        <v>25</v>
      </c>
      <c r="AG33" s="73">
        <f t="shared" si="12"/>
        <v>16</v>
      </c>
      <c r="AH33" s="73">
        <f t="shared" si="13"/>
        <v>17.500000000000004</v>
      </c>
      <c r="AI33" s="73">
        <f t="shared" si="14"/>
        <v>17.499999999999993</v>
      </c>
      <c r="AJ33" s="73">
        <f t="shared" si="15"/>
        <v>25</v>
      </c>
      <c r="AK33" s="73">
        <f t="shared" si="16"/>
        <v>25</v>
      </c>
      <c r="AL33" s="73">
        <f t="shared" si="17"/>
        <v>25</v>
      </c>
      <c r="AM33" s="73">
        <f t="shared" si="18"/>
        <v>25</v>
      </c>
      <c r="AO33" s="20">
        <f t="shared" si="33"/>
        <v>51</v>
      </c>
      <c r="AP33" s="20">
        <f t="shared" si="19"/>
        <v>17</v>
      </c>
      <c r="AQ33" s="18">
        <f t="shared" si="20"/>
        <v>17.500000000000004</v>
      </c>
      <c r="AR33" s="18">
        <f t="shared" si="21"/>
        <v>17.499999999999993</v>
      </c>
      <c r="AS33" s="73">
        <f t="shared" si="22"/>
        <v>25</v>
      </c>
      <c r="AT33" s="73">
        <f t="shared" si="23"/>
        <v>25</v>
      </c>
      <c r="AU33" s="73">
        <f t="shared" si="34"/>
        <v>17.500000000000004</v>
      </c>
      <c r="AV33" s="73">
        <f t="shared" si="35"/>
        <v>17.500000000000004</v>
      </c>
      <c r="AX33" s="5">
        <f>Premie_leeftijd!J32</f>
        <v>2.2134233082203858E-3</v>
      </c>
      <c r="AY33" s="5"/>
      <c r="AZ33" s="54">
        <v>26</v>
      </c>
      <c r="BA33" s="54">
        <f t="shared" si="24"/>
        <v>76</v>
      </c>
      <c r="BB33" s="54">
        <f t="shared" si="25"/>
        <v>76</v>
      </c>
      <c r="BC33" s="54" t="b">
        <f t="shared" si="36"/>
        <v>1</v>
      </c>
      <c r="BD33" s="54">
        <f t="shared" si="26"/>
        <v>17.500000000000004</v>
      </c>
      <c r="BE33" s="54">
        <f t="shared" si="27"/>
        <v>17.499999999999993</v>
      </c>
      <c r="BF33" s="54">
        <f t="shared" si="28"/>
        <v>25</v>
      </c>
      <c r="BG33" s="54">
        <f t="shared" si="29"/>
        <v>25</v>
      </c>
      <c r="BH33" s="54">
        <f t="shared" si="30"/>
        <v>17.500000000000004</v>
      </c>
    </row>
    <row r="34" spans="1:60" x14ac:dyDescent="0.25">
      <c r="A34" s="73">
        <f>Grondslag!A29</f>
        <v>52</v>
      </c>
      <c r="B34" s="19">
        <v>1</v>
      </c>
      <c r="C34" s="73">
        <f t="shared" si="2"/>
        <v>52</v>
      </c>
      <c r="D34" s="73">
        <f>B34*Grondslag!I29</f>
        <v>50</v>
      </c>
      <c r="E34" s="73">
        <f>B34*(Grondslag!I29 - voltijdfranchise/1000 )</f>
        <v>35</v>
      </c>
      <c r="F34" s="73">
        <f t="shared" si="3"/>
        <v>0.58139534883720934</v>
      </c>
      <c r="G34" s="73" cm="1">
        <f t="array" ref="G34">G35*(1+reele_index_opb)</f>
        <v>1</v>
      </c>
      <c r="H34" s="73">
        <f>SUMPRODUCT(F$7:F34, G$7:G34)/G34</f>
        <v>16.27906976744185</v>
      </c>
      <c r="I34" s="73">
        <f>(1+I35)/(1+Settings!I$10)</f>
        <v>15</v>
      </c>
      <c r="J34" s="73"/>
      <c r="K34" s="73">
        <f t="shared" si="37"/>
        <v>0</v>
      </c>
      <c r="L34" s="73">
        <f t="shared" si="37"/>
        <v>0</v>
      </c>
      <c r="M34" s="18">
        <f>Settings!$I$3*D34</f>
        <v>25</v>
      </c>
      <c r="N34" s="18">
        <f>Settings!$I$7*MAX($D34 - x*voltijdfranchise/1000*(Premie_leeftijd!T33=0),0)</f>
        <v>25</v>
      </c>
      <c r="O34" s="18">
        <f>Settings!$I$7*MAX($D34 - x*voltijdfranchise/1000*(Premie_leeftijd!U33=0),0)</f>
        <v>25</v>
      </c>
      <c r="P34" s="18">
        <f>Settings!$I$3*D34*(1-Premie_leeftijd!R33)</f>
        <v>25</v>
      </c>
      <c r="Q34" s="73">
        <f t="shared" si="31"/>
        <v>13.304289448346058</v>
      </c>
      <c r="S34" s="41" cm="1">
        <f t="array" ref="S34">SUMPRODUCT(Premie_leeftijd!AL$6:AL33, 1/Premie_leeftijd!AJ$6:AJ33, E$7:E34, G$7:G34)/G34 + Premie_leeftijd!AN34*E34</f>
        <v>17.500000000000004</v>
      </c>
      <c r="T34" s="73">
        <f t="shared" si="5"/>
        <v>17.499999999999993</v>
      </c>
      <c r="U34" s="42" cm="1">
        <f t="array" ref="U34">E34*Premie_leeftijd!CG33/Premie_leeftijd!CE33 + U33*(1+reele_index_opb)</f>
        <v>12.963088945711926</v>
      </c>
      <c r="V34" s="31" cm="1">
        <f t="array" ref="V34">E34*Premie_leeftijd!BY33/Premie_leeftijd!BW33 + V33*(1+reele_index_opb)</f>
        <v>12.304911451643948</v>
      </c>
      <c r="W34" s="41">
        <f>Premie_leeftijd!AL33*E34/Premie_leeftijd!AJ33 + W33*(1+reele_index_opb)</f>
        <v>11.695710551653942</v>
      </c>
      <c r="X34" s="20"/>
      <c r="Y34" s="20">
        <f t="shared" si="32"/>
        <v>52</v>
      </c>
      <c r="Z34" s="41">
        <f t="shared" si="6"/>
        <v>17.500000000000004</v>
      </c>
      <c r="AA34" s="41">
        <f t="shared" si="7"/>
        <v>17.499999999999993</v>
      </c>
      <c r="AB34" s="20">
        <f t="shared" si="8"/>
        <v>25</v>
      </c>
      <c r="AC34" s="20">
        <f t="shared" si="9"/>
        <v>25</v>
      </c>
      <c r="AD34" s="20">
        <f t="shared" si="10"/>
        <v>25</v>
      </c>
      <c r="AE34" s="20">
        <f t="shared" si="11"/>
        <v>25</v>
      </c>
      <c r="AG34" s="73">
        <f t="shared" si="12"/>
        <v>15</v>
      </c>
      <c r="AH34" s="73">
        <f t="shared" si="13"/>
        <v>17.500000000000004</v>
      </c>
      <c r="AI34" s="73">
        <f t="shared" si="14"/>
        <v>17.499999999999993</v>
      </c>
      <c r="AJ34" s="73">
        <f t="shared" si="15"/>
        <v>25</v>
      </c>
      <c r="AK34" s="73">
        <f t="shared" si="16"/>
        <v>25</v>
      </c>
      <c r="AL34" s="73">
        <f t="shared" si="17"/>
        <v>25</v>
      </c>
      <c r="AM34" s="73">
        <f t="shared" si="18"/>
        <v>25</v>
      </c>
      <c r="AO34" s="20">
        <f t="shared" si="33"/>
        <v>52</v>
      </c>
      <c r="AP34" s="20">
        <f t="shared" si="19"/>
        <v>16</v>
      </c>
      <c r="AQ34" s="18">
        <f t="shared" si="20"/>
        <v>17.500000000000004</v>
      </c>
      <c r="AR34" s="18">
        <f t="shared" si="21"/>
        <v>17.499999999999993</v>
      </c>
      <c r="AS34" s="73">
        <f t="shared" si="22"/>
        <v>25</v>
      </c>
      <c r="AT34" s="73">
        <f t="shared" si="23"/>
        <v>25</v>
      </c>
      <c r="AU34" s="73">
        <f t="shared" si="34"/>
        <v>17.500000000000004</v>
      </c>
      <c r="AV34" s="73">
        <f t="shared" si="35"/>
        <v>17.500000000000004</v>
      </c>
      <c r="AX34" s="5">
        <f>Premie_leeftijd!J33</f>
        <v>2.2596432844942393E-3</v>
      </c>
      <c r="AY34" s="5"/>
      <c r="AZ34" s="54">
        <v>27</v>
      </c>
      <c r="BA34" s="54">
        <f t="shared" si="24"/>
        <v>77</v>
      </c>
      <c r="BB34" s="54">
        <f t="shared" si="25"/>
        <v>77</v>
      </c>
      <c r="BC34" s="54" t="b">
        <f t="shared" si="36"/>
        <v>1</v>
      </c>
      <c r="BD34" s="54">
        <f t="shared" si="26"/>
        <v>17.500000000000004</v>
      </c>
      <c r="BE34" s="54">
        <f t="shared" si="27"/>
        <v>17.499999999999993</v>
      </c>
      <c r="BF34" s="54">
        <f t="shared" si="28"/>
        <v>25</v>
      </c>
      <c r="BG34" s="54">
        <f t="shared" si="29"/>
        <v>25</v>
      </c>
      <c r="BH34" s="54">
        <f t="shared" si="30"/>
        <v>17.500000000000004</v>
      </c>
    </row>
    <row r="35" spans="1:60" x14ac:dyDescent="0.25">
      <c r="A35" s="73">
        <f>Grondslag!A30</f>
        <v>53</v>
      </c>
      <c r="B35" s="19">
        <v>1</v>
      </c>
      <c r="C35" s="73">
        <f t="shared" si="2"/>
        <v>53</v>
      </c>
      <c r="D35" s="73">
        <f>B35*Grondslag!I30</f>
        <v>50</v>
      </c>
      <c r="E35" s="73">
        <f>B35*(Grondslag!I30 - voltijdfranchise/1000 )</f>
        <v>35</v>
      </c>
      <c r="F35" s="73">
        <f t="shared" si="3"/>
        <v>0.58139534883720934</v>
      </c>
      <c r="G35" s="73" cm="1">
        <f t="array" ref="G35">G36*(1+reele_index_opb)</f>
        <v>1</v>
      </c>
      <c r="H35" s="73">
        <f>SUMPRODUCT(F$7:F35, G$7:G35)/G35</f>
        <v>16.860465116279059</v>
      </c>
      <c r="I35" s="73">
        <f>(1+I36)/(1+Settings!I$10)</f>
        <v>14</v>
      </c>
      <c r="J35" s="73"/>
      <c r="K35" s="73">
        <f t="shared" si="37"/>
        <v>0</v>
      </c>
      <c r="L35" s="73">
        <f t="shared" si="37"/>
        <v>0</v>
      </c>
      <c r="M35" s="18">
        <f>Settings!$I$3*D35</f>
        <v>25</v>
      </c>
      <c r="N35" s="18">
        <f>Settings!$I$7*MAX($D35 - x*voltijdfranchise/1000*(Premie_leeftijd!T34=0),0)</f>
        <v>25</v>
      </c>
      <c r="O35" s="18">
        <f>Settings!$I$7*MAX($D35 - x*voltijdfranchise/1000*(Premie_leeftijd!U34=0),0)</f>
        <v>25</v>
      </c>
      <c r="P35" s="18">
        <f>Settings!$I$3*D35*(1-Premie_leeftijd!R34)</f>
        <v>25</v>
      </c>
      <c r="Q35" s="73">
        <f t="shared" si="31"/>
        <v>12.923102771259732</v>
      </c>
      <c r="S35" s="41" cm="1">
        <f t="array" ref="S35">SUMPRODUCT(Premie_leeftijd!AL$6:AL34, 1/Premie_leeftijd!AJ$6:AJ34, E$7:E35, G$7:G35)/G35 + Premie_leeftijd!AN35*E35</f>
        <v>17.500000000000004</v>
      </c>
      <c r="T35" s="73">
        <f t="shared" si="5"/>
        <v>17.499999999999993</v>
      </c>
      <c r="U35" s="42" cm="1">
        <f t="array" ref="U35">E35*Premie_leeftijd!CG34/Premie_leeftijd!CE34 + U34*(1+reele_index_opb)</f>
        <v>13.317805291638347</v>
      </c>
      <c r="V35" s="31" cm="1">
        <f t="array" ref="V35">E35*Premie_leeftijd!BY34/Premie_leeftijd!BW34 + V34*(1+reele_index_opb)</f>
        <v>12.668415342108306</v>
      </c>
      <c r="W35" s="41">
        <f>Premie_leeftijd!AL34*E35/Premie_leeftijd!AJ34 + W34*(1+reele_index_opb)</f>
        <v>12.076897228740268</v>
      </c>
      <c r="X35" s="20"/>
      <c r="Y35" s="20">
        <f t="shared" si="32"/>
        <v>53</v>
      </c>
      <c r="Z35" s="41">
        <f t="shared" si="6"/>
        <v>17.500000000000004</v>
      </c>
      <c r="AA35" s="41">
        <f t="shared" si="7"/>
        <v>17.499999999999993</v>
      </c>
      <c r="AB35" s="20">
        <f t="shared" si="8"/>
        <v>25</v>
      </c>
      <c r="AC35" s="20">
        <f t="shared" si="9"/>
        <v>25</v>
      </c>
      <c r="AD35" s="20">
        <f t="shared" si="10"/>
        <v>25</v>
      </c>
      <c r="AE35" s="20">
        <f t="shared" si="11"/>
        <v>25</v>
      </c>
      <c r="AG35" s="73">
        <f t="shared" si="12"/>
        <v>14</v>
      </c>
      <c r="AH35" s="73">
        <f t="shared" si="13"/>
        <v>17.500000000000004</v>
      </c>
      <c r="AI35" s="73">
        <f t="shared" si="14"/>
        <v>17.499999999999993</v>
      </c>
      <c r="AJ35" s="73">
        <f t="shared" si="15"/>
        <v>25</v>
      </c>
      <c r="AK35" s="73">
        <f t="shared" si="16"/>
        <v>25</v>
      </c>
      <c r="AL35" s="73">
        <f t="shared" si="17"/>
        <v>25</v>
      </c>
      <c r="AM35" s="73">
        <f t="shared" si="18"/>
        <v>25</v>
      </c>
      <c r="AO35" s="20">
        <f t="shared" si="33"/>
        <v>53</v>
      </c>
      <c r="AP35" s="20">
        <f t="shared" si="19"/>
        <v>15</v>
      </c>
      <c r="AQ35" s="18">
        <f t="shared" si="20"/>
        <v>17.500000000000004</v>
      </c>
      <c r="AR35" s="18">
        <f t="shared" si="21"/>
        <v>17.499999999999993</v>
      </c>
      <c r="AS35" s="73">
        <f t="shared" si="22"/>
        <v>25</v>
      </c>
      <c r="AT35" s="73">
        <f t="shared" si="23"/>
        <v>25</v>
      </c>
      <c r="AU35" s="73">
        <f t="shared" si="34"/>
        <v>17.500000000000004</v>
      </c>
      <c r="AV35" s="73">
        <f t="shared" si="35"/>
        <v>17.500000000000004</v>
      </c>
      <c r="AX35" s="5">
        <f>Premie_leeftijd!J34</f>
        <v>2.2442366257363622E-3</v>
      </c>
      <c r="AY35" s="5"/>
      <c r="AZ35" s="54">
        <v>28</v>
      </c>
      <c r="BA35" s="54">
        <f t="shared" si="24"/>
        <v>78</v>
      </c>
      <c r="BB35" s="54">
        <f t="shared" si="25"/>
        <v>78</v>
      </c>
      <c r="BC35" s="54" t="b">
        <f t="shared" si="36"/>
        <v>1</v>
      </c>
      <c r="BD35" s="54">
        <f t="shared" si="26"/>
        <v>17.500000000000004</v>
      </c>
      <c r="BE35" s="54">
        <f t="shared" si="27"/>
        <v>17.499999999999993</v>
      </c>
      <c r="BF35" s="54">
        <f t="shared" si="28"/>
        <v>25</v>
      </c>
      <c r="BG35" s="54">
        <f t="shared" si="29"/>
        <v>25</v>
      </c>
      <c r="BH35" s="54">
        <f t="shared" si="30"/>
        <v>17.500000000000004</v>
      </c>
    </row>
    <row r="36" spans="1:60" x14ac:dyDescent="0.25">
      <c r="A36" s="73">
        <f>Grondslag!A31</f>
        <v>54</v>
      </c>
      <c r="B36" s="19">
        <v>1</v>
      </c>
      <c r="C36" s="73">
        <f t="shared" si="2"/>
        <v>54</v>
      </c>
      <c r="D36" s="73">
        <f>B36*Grondslag!I31</f>
        <v>50</v>
      </c>
      <c r="E36" s="73">
        <f>B36*(Grondslag!I31 - voltijdfranchise/1000 )</f>
        <v>35</v>
      </c>
      <c r="F36" s="73">
        <f t="shared" si="3"/>
        <v>0.58139534883720934</v>
      </c>
      <c r="G36" s="73" cm="1">
        <f t="array" ref="G36">G37*(1+reele_index_opb)</f>
        <v>1</v>
      </c>
      <c r="H36" s="73">
        <f>SUMPRODUCT(F$7:F36, G$7:G36)/G36</f>
        <v>17.441860465116267</v>
      </c>
      <c r="I36" s="73">
        <f>(1+I37)/(1+Settings!I$10)</f>
        <v>13</v>
      </c>
      <c r="J36" s="73"/>
      <c r="K36" s="73">
        <f t="shared" si="37"/>
        <v>0</v>
      </c>
      <c r="L36" s="73">
        <f t="shared" si="37"/>
        <v>0</v>
      </c>
      <c r="M36" s="18">
        <f>Settings!$I$3*D36</f>
        <v>25</v>
      </c>
      <c r="N36" s="18">
        <f>Settings!$I$7*MAX($D36 - x*voltijdfranchise/1000*(Premie_leeftijd!T35=0),0)</f>
        <v>25</v>
      </c>
      <c r="O36" s="18">
        <f>Settings!$I$7*MAX($D36 - x*voltijdfranchise/1000*(Premie_leeftijd!U35=0),0)</f>
        <v>25</v>
      </c>
      <c r="P36" s="18">
        <f>Settings!$I$3*D36*(1-Premie_leeftijd!R35)</f>
        <v>25</v>
      </c>
      <c r="Q36" s="73">
        <f t="shared" si="31"/>
        <v>12.543108008156951</v>
      </c>
      <c r="S36" s="41" cm="1">
        <f t="array" ref="S36">SUMPRODUCT(Premie_leeftijd!AL$6:AL35, 1/Premie_leeftijd!AJ$6:AJ35, E$7:E36, G$7:G36)/G36 + Premie_leeftijd!AN36*E36</f>
        <v>17.500000000000004</v>
      </c>
      <c r="T36" s="73">
        <f t="shared" si="5"/>
        <v>17.499999999999993</v>
      </c>
      <c r="U36" s="42" cm="1">
        <f t="array" ref="U36">E36*Premie_leeftijd!CG35/Premie_leeftijd!CE35 + U35*(1+reele_index_opb)</f>
        <v>13.665515444099029</v>
      </c>
      <c r="V36" s="31" cm="1">
        <f t="array" ref="V36">E36*Premie_leeftijd!BY35/Premie_leeftijd!BW35 + V35*(1+reele_index_opb)</f>
        <v>13.027983322106246</v>
      </c>
      <c r="W36" s="41">
        <f>Premie_leeftijd!AL35*E36/Premie_leeftijd!AJ35 + W35*(1+reele_index_opb)</f>
        <v>12.456891991843049</v>
      </c>
      <c r="X36" s="20"/>
      <c r="Y36" s="20">
        <f t="shared" si="32"/>
        <v>54</v>
      </c>
      <c r="Z36" s="41">
        <f t="shared" si="6"/>
        <v>17.500000000000004</v>
      </c>
      <c r="AA36" s="41">
        <f t="shared" si="7"/>
        <v>17.499999999999993</v>
      </c>
      <c r="AB36" s="20">
        <f t="shared" si="8"/>
        <v>25</v>
      </c>
      <c r="AC36" s="20">
        <f t="shared" si="9"/>
        <v>25</v>
      </c>
      <c r="AD36" s="20">
        <f t="shared" si="10"/>
        <v>25</v>
      </c>
      <c r="AE36" s="20">
        <f t="shared" si="11"/>
        <v>25</v>
      </c>
      <c r="AG36" s="73">
        <f t="shared" si="12"/>
        <v>13</v>
      </c>
      <c r="AH36" s="73">
        <f t="shared" si="13"/>
        <v>17.500000000000004</v>
      </c>
      <c r="AI36" s="73">
        <f t="shared" si="14"/>
        <v>17.499999999999993</v>
      </c>
      <c r="AJ36" s="73">
        <f t="shared" si="15"/>
        <v>25</v>
      </c>
      <c r="AK36" s="73">
        <f t="shared" si="16"/>
        <v>25</v>
      </c>
      <c r="AL36" s="73">
        <f t="shared" si="17"/>
        <v>25</v>
      </c>
      <c r="AM36" s="73">
        <f t="shared" si="18"/>
        <v>25</v>
      </c>
      <c r="AO36" s="20">
        <f t="shared" si="33"/>
        <v>54</v>
      </c>
      <c r="AP36" s="20">
        <f t="shared" si="19"/>
        <v>14</v>
      </c>
      <c r="AQ36" s="18">
        <f t="shared" si="20"/>
        <v>17.500000000000004</v>
      </c>
      <c r="AR36" s="18">
        <f t="shared" si="21"/>
        <v>17.499999999999993</v>
      </c>
      <c r="AS36" s="73">
        <f t="shared" si="22"/>
        <v>25</v>
      </c>
      <c r="AT36" s="73">
        <f t="shared" si="23"/>
        <v>25</v>
      </c>
      <c r="AU36" s="73">
        <f t="shared" si="34"/>
        <v>17.500000000000004</v>
      </c>
      <c r="AV36" s="73">
        <f t="shared" si="35"/>
        <v>17.500000000000004</v>
      </c>
      <c r="AX36" s="5">
        <f>Premie_leeftijd!J35</f>
        <v>2.4496587425084648E-3</v>
      </c>
      <c r="AY36" s="5"/>
      <c r="AZ36" s="54">
        <v>29</v>
      </c>
      <c r="BA36" s="54">
        <f t="shared" si="24"/>
        <v>79</v>
      </c>
      <c r="BB36" s="54">
        <f t="shared" si="25"/>
        <v>79</v>
      </c>
      <c r="BC36" s="54" t="b">
        <f t="shared" si="36"/>
        <v>1</v>
      </c>
      <c r="BD36" s="54">
        <f t="shared" si="26"/>
        <v>17.500000000000004</v>
      </c>
      <c r="BE36" s="54">
        <f t="shared" si="27"/>
        <v>17.499999999999993</v>
      </c>
      <c r="BF36" s="54">
        <f t="shared" si="28"/>
        <v>25</v>
      </c>
      <c r="BG36" s="54">
        <f t="shared" si="29"/>
        <v>25</v>
      </c>
      <c r="BH36" s="54">
        <f t="shared" si="30"/>
        <v>17.500000000000004</v>
      </c>
    </row>
    <row r="37" spans="1:60" x14ac:dyDescent="0.25">
      <c r="A37" s="73">
        <f>Grondslag!A32</f>
        <v>55</v>
      </c>
      <c r="B37" s="19">
        <v>1</v>
      </c>
      <c r="C37" s="73">
        <f t="shared" si="2"/>
        <v>55</v>
      </c>
      <c r="D37" s="73">
        <f>B37*Grondslag!I32</f>
        <v>50</v>
      </c>
      <c r="E37" s="73">
        <f>B37*(Grondslag!I32 - voltijdfranchise/1000 )</f>
        <v>35</v>
      </c>
      <c r="F37" s="73">
        <f t="shared" si="3"/>
        <v>0.58139534883720934</v>
      </c>
      <c r="G37" s="73" cm="1">
        <f t="array" ref="G37">G38*(1+reele_index_opb)</f>
        <v>1</v>
      </c>
      <c r="H37" s="73">
        <f>SUMPRODUCT(F$7:F37, G$7:G37)/G37</f>
        <v>18.023255813953476</v>
      </c>
      <c r="I37" s="73">
        <f>(1+I38)/(1+Settings!I$10)</f>
        <v>12</v>
      </c>
      <c r="J37" s="73"/>
      <c r="K37" s="73">
        <f t="shared" si="37"/>
        <v>0</v>
      </c>
      <c r="L37" s="73">
        <f t="shared" si="37"/>
        <v>0</v>
      </c>
      <c r="M37" s="18">
        <f>Settings!$I$3*D37</f>
        <v>25</v>
      </c>
      <c r="N37" s="18">
        <f>Settings!$I$7*MAX($D37 - x*voltijdfranchise/1000*(Premie_leeftijd!T36=0),0)</f>
        <v>25</v>
      </c>
      <c r="O37" s="18">
        <f>Settings!$I$7*MAX($D37 - x*voltijdfranchise/1000*(Premie_leeftijd!U36=0),0)</f>
        <v>25</v>
      </c>
      <c r="P37" s="18">
        <f>Settings!$I$3*D37*(1-Premie_leeftijd!R36)</f>
        <v>25</v>
      </c>
      <c r="Q37" s="73">
        <f t="shared" si="31"/>
        <v>12.164065689064794</v>
      </c>
      <c r="S37" s="41" cm="1">
        <f t="array" ref="S37">SUMPRODUCT(Premie_leeftijd!AL$6:AL36, 1/Premie_leeftijd!AJ$6:AJ36, E$7:E37, G$7:G37)/G37 + Premie_leeftijd!AN37*E37</f>
        <v>17.500000000000004</v>
      </c>
      <c r="T37" s="73">
        <f t="shared" si="5"/>
        <v>17.499999999999989</v>
      </c>
      <c r="U37" s="42" cm="1">
        <f t="array" ref="U37">E37*Premie_leeftijd!CG36/Premie_leeftijd!CE36 + U36*(1+reele_index_opb)</f>
        <v>14.006182831600132</v>
      </c>
      <c r="V37" s="31" cm="1">
        <f t="array" ref="V37">E37*Premie_leeftijd!BY36/Premie_leeftijd!BW36 + V36*(1+reele_index_opb)</f>
        <v>13.383803351698051</v>
      </c>
      <c r="W37" s="41">
        <f>Premie_leeftijd!AL36*E37/Premie_leeftijd!AJ36 + W36*(1+reele_index_opb)</f>
        <v>12.835934310935206</v>
      </c>
      <c r="X37" s="20"/>
      <c r="Y37" s="20">
        <f t="shared" si="32"/>
        <v>55</v>
      </c>
      <c r="Z37" s="41">
        <f t="shared" si="6"/>
        <v>17.500000000000004</v>
      </c>
      <c r="AA37" s="41">
        <f t="shared" si="7"/>
        <v>17.499999999999989</v>
      </c>
      <c r="AB37" s="20">
        <f t="shared" si="8"/>
        <v>25</v>
      </c>
      <c r="AC37" s="20">
        <f t="shared" si="9"/>
        <v>25</v>
      </c>
      <c r="AD37" s="20">
        <f t="shared" si="10"/>
        <v>25</v>
      </c>
      <c r="AE37" s="20">
        <f t="shared" si="11"/>
        <v>25</v>
      </c>
      <c r="AG37" s="73">
        <f t="shared" si="12"/>
        <v>12</v>
      </c>
      <c r="AH37" s="73">
        <f t="shared" si="13"/>
        <v>17.500000000000004</v>
      </c>
      <c r="AI37" s="73">
        <f t="shared" si="14"/>
        <v>17.499999999999989</v>
      </c>
      <c r="AJ37" s="73">
        <f t="shared" si="15"/>
        <v>25</v>
      </c>
      <c r="AK37" s="73">
        <f t="shared" si="16"/>
        <v>25</v>
      </c>
      <c r="AL37" s="73">
        <f t="shared" si="17"/>
        <v>25</v>
      </c>
      <c r="AM37" s="73">
        <f t="shared" si="18"/>
        <v>25</v>
      </c>
      <c r="AO37" s="20">
        <f t="shared" si="33"/>
        <v>55</v>
      </c>
      <c r="AP37" s="20">
        <f t="shared" si="19"/>
        <v>13</v>
      </c>
      <c r="AQ37" s="18">
        <f t="shared" si="20"/>
        <v>17.500000000000004</v>
      </c>
      <c r="AR37" s="18">
        <f t="shared" si="21"/>
        <v>17.499999999999989</v>
      </c>
      <c r="AS37" s="73">
        <f t="shared" si="22"/>
        <v>25</v>
      </c>
      <c r="AT37" s="73">
        <f t="shared" si="23"/>
        <v>25</v>
      </c>
      <c r="AU37" s="73">
        <f t="shared" si="34"/>
        <v>17.500000000000004</v>
      </c>
      <c r="AV37" s="73">
        <f t="shared" si="35"/>
        <v>17.500000000000004</v>
      </c>
      <c r="AX37" s="5">
        <f>Premie_leeftijd!J36</f>
        <v>2.6910297297159103E-3</v>
      </c>
      <c r="AY37" s="5"/>
      <c r="AZ37" s="54">
        <v>30</v>
      </c>
      <c r="BA37" s="54">
        <f t="shared" si="24"/>
        <v>80</v>
      </c>
      <c r="BB37" s="54">
        <f t="shared" si="25"/>
        <v>80</v>
      </c>
      <c r="BC37" s="54" t="b">
        <f t="shared" si="36"/>
        <v>1</v>
      </c>
      <c r="BD37" s="54">
        <f t="shared" si="26"/>
        <v>17.500000000000004</v>
      </c>
      <c r="BE37" s="54">
        <f t="shared" si="27"/>
        <v>17.499999999999993</v>
      </c>
      <c r="BF37" s="54">
        <f t="shared" si="28"/>
        <v>25</v>
      </c>
      <c r="BG37" s="54">
        <f t="shared" si="29"/>
        <v>25</v>
      </c>
      <c r="BH37" s="54">
        <f t="shared" si="30"/>
        <v>17.500000000000004</v>
      </c>
    </row>
    <row r="38" spans="1:60" x14ac:dyDescent="0.25">
      <c r="A38" s="73">
        <f>Grondslag!A33</f>
        <v>56</v>
      </c>
      <c r="B38" s="19">
        <v>1</v>
      </c>
      <c r="C38" s="73">
        <f t="shared" si="2"/>
        <v>56</v>
      </c>
      <c r="D38" s="73">
        <f>B38*Grondslag!I33</f>
        <v>50</v>
      </c>
      <c r="E38" s="73">
        <f>B38*(Grondslag!I33 - voltijdfranchise/1000 )</f>
        <v>35</v>
      </c>
      <c r="F38" s="73">
        <f t="shared" si="3"/>
        <v>0.58139534883720934</v>
      </c>
      <c r="G38" s="73" cm="1">
        <f t="array" ref="G38">G39*(1+reele_index_opb)</f>
        <v>1</v>
      </c>
      <c r="H38" s="73">
        <f>SUMPRODUCT(F$7:F38, G$7:G38)/G38</f>
        <v>18.604651162790685</v>
      </c>
      <c r="I38" s="73">
        <f>(1+I39)/(1+Settings!I$10)</f>
        <v>11</v>
      </c>
      <c r="J38" s="73"/>
      <c r="K38" s="73">
        <f t="shared" si="37"/>
        <v>0</v>
      </c>
      <c r="L38" s="73">
        <f t="shared" si="37"/>
        <v>0</v>
      </c>
      <c r="M38" s="18">
        <f>Settings!$I$3*D38</f>
        <v>25</v>
      </c>
      <c r="N38" s="18">
        <f>Settings!$I$7*MAX($D38 - x*voltijdfranchise/1000*(Premie_leeftijd!T37=0),0)</f>
        <v>25</v>
      </c>
      <c r="O38" s="18">
        <f>Settings!$I$7*MAX($D38 - x*voltijdfranchise/1000*(Premie_leeftijd!U37=0),0)</f>
        <v>25</v>
      </c>
      <c r="P38" s="18">
        <f>Settings!$I$3*D38*(1-Premie_leeftijd!R37)</f>
        <v>25</v>
      </c>
      <c r="Q38" s="73">
        <f t="shared" si="31"/>
        <v>11.786122435752317</v>
      </c>
      <c r="S38" s="41" cm="1">
        <f t="array" ref="S38">SUMPRODUCT(Premie_leeftijd!AL$6:AL37, 1/Premie_leeftijd!AJ$6:AJ37, E$7:E38, G$7:G38)/G38 + Premie_leeftijd!AN38*E38</f>
        <v>17.500000000000004</v>
      </c>
      <c r="T38" s="73">
        <f t="shared" si="5"/>
        <v>17.499999999999989</v>
      </c>
      <c r="U38" s="42" cm="1">
        <f t="array" ref="U38">E38*Premie_leeftijd!CG37/Premie_leeftijd!CE37 + U37*(1+reele_index_opb)</f>
        <v>14.339371611494276</v>
      </c>
      <c r="V38" s="31" cm="1">
        <f t="array" ref="V38">E38*Premie_leeftijd!BY37/Premie_leeftijd!BW37 + V37*(1+reele_index_opb)</f>
        <v>13.735690046703798</v>
      </c>
      <c r="W38" s="41">
        <f>Premie_leeftijd!AL37*E38/Premie_leeftijd!AJ37 + W37*(1+reele_index_opb)</f>
        <v>13.213877564247683</v>
      </c>
      <c r="X38" s="20"/>
      <c r="Y38" s="20">
        <f t="shared" si="32"/>
        <v>56</v>
      </c>
      <c r="Z38" s="41">
        <f t="shared" si="6"/>
        <v>17.500000000000004</v>
      </c>
      <c r="AA38" s="41">
        <f t="shared" si="7"/>
        <v>17.499999999999989</v>
      </c>
      <c r="AB38" s="20">
        <f t="shared" si="8"/>
        <v>25</v>
      </c>
      <c r="AC38" s="20">
        <f t="shared" si="9"/>
        <v>25</v>
      </c>
      <c r="AD38" s="20">
        <f t="shared" si="10"/>
        <v>25</v>
      </c>
      <c r="AE38" s="20">
        <f t="shared" si="11"/>
        <v>25</v>
      </c>
      <c r="AG38" s="73">
        <f t="shared" si="12"/>
        <v>11</v>
      </c>
      <c r="AH38" s="73">
        <f t="shared" si="13"/>
        <v>17.500000000000004</v>
      </c>
      <c r="AI38" s="73">
        <f t="shared" si="14"/>
        <v>17.499999999999989</v>
      </c>
      <c r="AJ38" s="73">
        <f t="shared" si="15"/>
        <v>25</v>
      </c>
      <c r="AK38" s="73">
        <f t="shared" si="16"/>
        <v>25</v>
      </c>
      <c r="AL38" s="73">
        <f t="shared" si="17"/>
        <v>25</v>
      </c>
      <c r="AM38" s="73">
        <f t="shared" si="18"/>
        <v>25</v>
      </c>
      <c r="AO38" s="20">
        <f t="shared" si="33"/>
        <v>56</v>
      </c>
      <c r="AP38" s="20">
        <f t="shared" si="19"/>
        <v>12</v>
      </c>
      <c r="AQ38" s="18">
        <f t="shared" si="20"/>
        <v>17.500000000000004</v>
      </c>
      <c r="AR38" s="18">
        <f t="shared" si="21"/>
        <v>17.499999999999989</v>
      </c>
      <c r="AS38" s="73">
        <f t="shared" si="22"/>
        <v>25</v>
      </c>
      <c r="AT38" s="73">
        <f t="shared" si="23"/>
        <v>25</v>
      </c>
      <c r="AU38" s="73">
        <f t="shared" si="34"/>
        <v>17.500000000000004</v>
      </c>
      <c r="AV38" s="73">
        <f t="shared" si="35"/>
        <v>17.500000000000004</v>
      </c>
      <c r="AX38" s="5">
        <f>Premie_leeftijd!J37</f>
        <v>3.5355490772601694E-3</v>
      </c>
      <c r="AY38" s="5"/>
      <c r="AZ38" s="54">
        <v>31</v>
      </c>
      <c r="BA38" s="54">
        <f t="shared" si="24"/>
        <v>81</v>
      </c>
      <c r="BB38" s="54">
        <f t="shared" si="25"/>
        <v>81</v>
      </c>
      <c r="BC38" s="54" t="b">
        <f t="shared" si="36"/>
        <v>1</v>
      </c>
      <c r="BD38" s="54">
        <f t="shared" si="26"/>
        <v>17.500000000000004</v>
      </c>
      <c r="BE38" s="54">
        <f t="shared" si="27"/>
        <v>17.499999999999993</v>
      </c>
      <c r="BF38" s="54">
        <f t="shared" si="28"/>
        <v>25</v>
      </c>
      <c r="BG38" s="54">
        <f t="shared" si="29"/>
        <v>25</v>
      </c>
      <c r="BH38" s="54">
        <f t="shared" si="30"/>
        <v>17.500000000000004</v>
      </c>
    </row>
    <row r="39" spans="1:60" x14ac:dyDescent="0.25">
      <c r="A39" s="73">
        <f>Grondslag!A34</f>
        <v>57</v>
      </c>
      <c r="B39" s="19">
        <v>1</v>
      </c>
      <c r="C39" s="73">
        <f t="shared" ref="C39:C70" si="38">A39+(geb_deeln-geb_partner)</f>
        <v>57</v>
      </c>
      <c r="D39" s="73">
        <f>B39*Grondslag!I34</f>
        <v>50</v>
      </c>
      <c r="E39" s="73">
        <f>B39*(Grondslag!I34 - voltijdfranchise/1000 )</f>
        <v>35</v>
      </c>
      <c r="F39" s="73">
        <f t="shared" si="3"/>
        <v>0.58139534883720934</v>
      </c>
      <c r="G39" s="73" cm="1">
        <f t="array" ref="G39">G40*(1+reele_index_opb)</f>
        <v>1</v>
      </c>
      <c r="H39" s="73">
        <f>SUMPRODUCT(F$7:F39, G$7:G39)/G39</f>
        <v>19.186046511627893</v>
      </c>
      <c r="I39" s="73">
        <f>(1+I40)/(1+Settings!I$10)</f>
        <v>10</v>
      </c>
      <c r="J39" s="73"/>
      <c r="K39" s="73">
        <f t="shared" si="37"/>
        <v>0</v>
      </c>
      <c r="L39" s="73">
        <f t="shared" si="37"/>
        <v>0</v>
      </c>
      <c r="M39" s="18">
        <f>Settings!$I$3*D39</f>
        <v>25</v>
      </c>
      <c r="N39" s="18">
        <f>Settings!$I$7*MAX($D39 - x*voltijdfranchise/1000*(Premie_leeftijd!T38=0),0)</f>
        <v>25</v>
      </c>
      <c r="O39" s="18">
        <f>Settings!$I$7*MAX($D39 - x*voltijdfranchise/1000*(Premie_leeftijd!U38=0),0)</f>
        <v>25</v>
      </c>
      <c r="P39" s="18">
        <f>Settings!$I$3*D39*(1-Premie_leeftijd!R38)</f>
        <v>25</v>
      </c>
      <c r="Q39" s="73">
        <f t="shared" si="31"/>
        <v>11.407395191027106</v>
      </c>
      <c r="S39" s="41" cm="1">
        <f t="array" ref="S39">SUMPRODUCT(Premie_leeftijd!AL$6:AL38, 1/Premie_leeftijd!AJ$6:AJ38, E$7:E39, G$7:G39)/G39 + Premie_leeftijd!AN39*E39</f>
        <v>17.500000000000004</v>
      </c>
      <c r="T39" s="73">
        <f t="shared" si="5"/>
        <v>17.499999999999989</v>
      </c>
      <c r="U39" s="42" cm="1">
        <f t="array" ref="U39">E39*Premie_leeftijd!CG38/Premie_leeftijd!CE38 + U38*(1+reele_index_opb)</f>
        <v>14.665063513901901</v>
      </c>
      <c r="V39" s="31" cm="1">
        <f t="array" ref="V39">E39*Premie_leeftijd!BY38/Premie_leeftijd!BW38 + V38*(1+reele_index_opb)</f>
        <v>14.08476514980036</v>
      </c>
      <c r="W39" s="41">
        <f>Premie_leeftijd!AL38*E39/Premie_leeftijd!AJ38 + W38*(1+reele_index_opb)</f>
        <v>13.592604808972894</v>
      </c>
      <c r="X39" s="20"/>
      <c r="Y39" s="20">
        <f t="shared" si="32"/>
        <v>57</v>
      </c>
      <c r="Z39" s="41">
        <f t="shared" ref="Z39:Z70" si="39">S39 + ($C39&lt;AOWlftd)*volledigAnw/1000</f>
        <v>17.500000000000004</v>
      </c>
      <c r="AA39" s="41">
        <f t="shared" ref="AA39:AA70" si="40">T39 + ($C39&lt;AOWlftd)*volledigAnw/1000</f>
        <v>17.499999999999989</v>
      </c>
      <c r="AB39" s="20">
        <f t="shared" ref="AB39:AB70" si="41" xml:space="preserve"> IF($A39&gt;=AOWlftd, $U39, IF( $C39&lt;AOWlftd, $M39, N39))</f>
        <v>25</v>
      </c>
      <c r="AC39" s="20">
        <f t="shared" ref="AC39:AC70" si="42" xml:space="preserve"> IF($A39&gt;=AOWlftd, $U39, IF( $C39&lt;AOWlftd, $M39, O39))</f>
        <v>25</v>
      </c>
      <c r="AD39" s="20">
        <f t="shared" si="10"/>
        <v>25</v>
      </c>
      <c r="AE39" s="20">
        <f t="shared" ref="AE39:AE70" si="43">Q39+W39</f>
        <v>25</v>
      </c>
      <c r="AG39" s="73">
        <f t="shared" ref="AG39:AG70" si="44">MAX(0, AOWlftd-$C39-1)</f>
        <v>10</v>
      </c>
      <c r="AH39" s="73">
        <f t="shared" ref="AH39:AH70" si="45">S39*(1+reele_index_opb)^$AG39 + ($C39&lt;AOWlftd)*volledigAnw/1000*(1+reele_index_ris)^$AG39</f>
        <v>17.500000000000004</v>
      </c>
      <c r="AI39" s="73">
        <f t="shared" ref="AI39:AI70" si="46">T39*(1+reele_index_opb)^$AG39 + ($C39&lt;AOWlftd)*volledigAnw/1000*(1+reele_index_ris)^$AG39</f>
        <v>17.499999999999989</v>
      </c>
      <c r="AJ39" s="73">
        <f t="shared" ref="AJ39:AJ70" si="47">IF($A39&gt;=AOWlftd,$U39 *(1+reele_index_opb)^$AG39, AB39*(1+ reele_index_ris)^$AG39 )</f>
        <v>25</v>
      </c>
      <c r="AK39" s="73">
        <f t="shared" ref="AK39:AK70" si="48">IF($A39&gt;=AOWlftd,$U39 *(1+reele_index_opb)^$AG39, AC39*(1+ reele_index_ris)^$AG39 )</f>
        <v>25</v>
      </c>
      <c r="AL39" s="73">
        <f t="shared" ref="AL39:AL70" si="49">AD39*(1+IF($A39&lt;AOWlftd,reele_index_ris,reele_index_opb))^$AG39</f>
        <v>25</v>
      </c>
      <c r="AM39" s="73">
        <f t="shared" ref="AM39:AM70" si="50">AE39*(1+IF($A39&lt;AOWlftd,reele_index_ris,reele_index_opb))^$AG39</f>
        <v>25</v>
      </c>
      <c r="AO39" s="20">
        <f t="shared" si="33"/>
        <v>57</v>
      </c>
      <c r="AP39" s="20">
        <f t="shared" ref="AP39:AP70" si="51">MAX(0, AOWlftd-$C39)</f>
        <v>11</v>
      </c>
      <c r="AQ39" s="18">
        <f t="shared" ref="AQ39:AQ70" si="52">S39*(1+reele_index_opb)^$AP39</f>
        <v>17.500000000000004</v>
      </c>
      <c r="AR39" s="18">
        <f t="shared" ref="AR39:AR70" si="53">T39*(1+reele_index_opb)^$AP39</f>
        <v>17.499999999999989</v>
      </c>
      <c r="AS39" s="73">
        <f t="shared" ref="AS39:AS70" si="54">IF($A39&gt;=AOWlftd, $U39*(1+reele_index_opb)^$AP39, N39*(1+reele_index_ris)^$AP39)</f>
        <v>25</v>
      </c>
      <c r="AT39" s="73">
        <f t="shared" ref="AT39:AT70" si="55">IF($A39&gt;=AOWlftd, $U39*(1+reele_index_opb)^$AP39, O39*(1+reele_index_ris)^$AP39)</f>
        <v>25</v>
      </c>
      <c r="AU39" s="73">
        <f t="shared" si="34"/>
        <v>17.500000000000004</v>
      </c>
      <c r="AV39" s="73">
        <f t="shared" si="35"/>
        <v>17.500000000000004</v>
      </c>
      <c r="AX39" s="5">
        <f>Premie_leeftijd!J38</f>
        <v>3.7921007588175293E-3</v>
      </c>
      <c r="AY39" s="5"/>
      <c r="AZ39" s="54">
        <v>32</v>
      </c>
      <c r="BA39" s="54">
        <f t="shared" ref="BA39:BA70" si="56">$BF$1+AZ39</f>
        <v>82</v>
      </c>
      <c r="BB39" s="54">
        <f t="shared" ref="BB39:BB70" si="57">$BF$2+AZ39</f>
        <v>82</v>
      </c>
      <c r="BC39" s="54" t="b">
        <f t="shared" si="36"/>
        <v>1</v>
      </c>
      <c r="BD39" s="54">
        <f t="shared" ref="BD39:BD70" si="58" xml:space="preserve"> IF(OR($BA39=$BF$1, $BB39=AOWlftd), VLOOKUP($BF$1, IF($BC39, $AO$7:$AV$82, $Y$7:$AE$82), 2+BD$5, FALSE), BD38*(1+reele_index_opb))</f>
        <v>17.500000000000004</v>
      </c>
      <c r="BE39" s="54">
        <f t="shared" ref="BE39:BE70" si="59" xml:space="preserve"> IF(OR($BA39=$BF$1, $BB39=AOWlftd), VLOOKUP($BF$1, IF($BC39, $AO$7:$AV$82, $Y$7:$AE$82), 2+BE$5, FALSE), BE38*(1+reele_index_opb))</f>
        <v>17.499999999999993</v>
      </c>
      <c r="BF39" s="54">
        <f t="shared" ref="BF39:BF70" si="60" xml:space="preserve"> IF(OR($BA39=$BF$1, $BB39=AOWlftd), VLOOKUP($BF$1, IF($BC39, $AO$7:$AV$82, $Y$7:$AE$82), 2+BF$5, FALSE), BF38*(1+reele_index_opb))</f>
        <v>25</v>
      </c>
      <c r="BG39" s="54">
        <f t="shared" ref="BG39:BG70" si="61" xml:space="preserve"> IF(OR($BA39=$BF$1, $BB39=AOWlftd), VLOOKUP($BF$1, IF($BC39, $AO$7:$AV$82, $Y$7:$AE$82), 2+BG$5, FALSE), BG38*(1+reele_index_opb))</f>
        <v>25</v>
      </c>
      <c r="BH39" s="54">
        <f t="shared" ref="BH39:BH70" si="62" xml:space="preserve"> IF(OR($BA39=$BF$1, $BB39=AOWlftd), VLOOKUP($BF$1, IF($BC39, $AO$7:$AV$82, $Y$7:$AE$82), 2+BH$5, FALSE), BH38*(1+reele_index_opb))</f>
        <v>17.500000000000004</v>
      </c>
    </row>
    <row r="40" spans="1:60" x14ac:dyDescent="0.25">
      <c r="A40" s="73">
        <f>Grondslag!A35</f>
        <v>58</v>
      </c>
      <c r="B40" s="19">
        <v>1</v>
      </c>
      <c r="C40" s="73">
        <f t="shared" si="38"/>
        <v>58</v>
      </c>
      <c r="D40" s="73">
        <f>B40*Grondslag!I35</f>
        <v>50</v>
      </c>
      <c r="E40" s="73">
        <f>B40*(Grondslag!I35 - voltijdfranchise/1000 )</f>
        <v>35</v>
      </c>
      <c r="F40" s="73">
        <f t="shared" si="3"/>
        <v>0.58139534883720934</v>
      </c>
      <c r="G40" s="73" cm="1">
        <f t="array" ref="G40">G41*(1+reele_index_opb)</f>
        <v>1</v>
      </c>
      <c r="H40" s="73">
        <f>SUMPRODUCT(F$7:F40, G$7:G40)/G40</f>
        <v>19.767441860465102</v>
      </c>
      <c r="I40" s="73">
        <f>(1+I41)/(1+Settings!I$10)</f>
        <v>9</v>
      </c>
      <c r="J40" s="73"/>
      <c r="K40" s="73">
        <f t="shared" si="37"/>
        <v>0</v>
      </c>
      <c r="L40" s="73">
        <f t="shared" si="37"/>
        <v>0</v>
      </c>
      <c r="M40" s="18">
        <f>Settings!$I$3*D40</f>
        <v>25</v>
      </c>
      <c r="N40" s="18">
        <f>Settings!$I$7*MAX($D40 - x*voltijdfranchise/1000*(Premie_leeftijd!T39=0),0)</f>
        <v>25</v>
      </c>
      <c r="O40" s="18">
        <f>Settings!$I$7*MAX($D40 - x*voltijdfranchise/1000*(Premie_leeftijd!U39=0),0)</f>
        <v>25</v>
      </c>
      <c r="P40" s="18">
        <f>Settings!$I$3*D40*(1-Premie_leeftijd!R39)</f>
        <v>25</v>
      </c>
      <c r="Q40" s="73">
        <f t="shared" si="31"/>
        <v>11.027646411171791</v>
      </c>
      <c r="S40" s="41" cm="1">
        <f t="array" ref="S40">SUMPRODUCT(Premie_leeftijd!AL$6:AL39, 1/Premie_leeftijd!AJ$6:AJ39, E$7:E40, G$7:G40)/G40 + Premie_leeftijd!AN40*E40</f>
        <v>17.500000000000004</v>
      </c>
      <c r="T40" s="73">
        <f t="shared" si="5"/>
        <v>17.499999999999989</v>
      </c>
      <c r="U40" s="42" cm="1">
        <f t="array" ref="U40">E40*Premie_leeftijd!CG39/Premie_leeftijd!CE39 + U39*(1+reele_index_opb)</f>
        <v>14.983194504054705</v>
      </c>
      <c r="V40" s="31" cm="1">
        <f t="array" ref="V40">E40*Premie_leeftijd!BY39/Premie_leeftijd!BW39 + V39*(1+reele_index_opb)</f>
        <v>14.431251531592483</v>
      </c>
      <c r="W40" s="41">
        <f>Premie_leeftijd!AL39*E40/Premie_leeftijd!AJ39 + W39*(1+reele_index_opb)</f>
        <v>13.972353588828209</v>
      </c>
      <c r="X40" s="20"/>
      <c r="Y40" s="20">
        <f t="shared" si="32"/>
        <v>58</v>
      </c>
      <c r="Z40" s="41">
        <f t="shared" si="39"/>
        <v>17.500000000000004</v>
      </c>
      <c r="AA40" s="41">
        <f t="shared" si="40"/>
        <v>17.499999999999989</v>
      </c>
      <c r="AB40" s="20">
        <f t="shared" si="41"/>
        <v>25</v>
      </c>
      <c r="AC40" s="20">
        <f t="shared" si="42"/>
        <v>25</v>
      </c>
      <c r="AD40" s="20">
        <f t="shared" si="10"/>
        <v>25</v>
      </c>
      <c r="AE40" s="20">
        <f t="shared" si="43"/>
        <v>25</v>
      </c>
      <c r="AG40" s="73">
        <f t="shared" si="44"/>
        <v>9</v>
      </c>
      <c r="AH40" s="73">
        <f t="shared" si="45"/>
        <v>17.500000000000004</v>
      </c>
      <c r="AI40" s="73">
        <f t="shared" si="46"/>
        <v>17.499999999999989</v>
      </c>
      <c r="AJ40" s="73">
        <f t="shared" si="47"/>
        <v>25</v>
      </c>
      <c r="AK40" s="73">
        <f t="shared" si="48"/>
        <v>25</v>
      </c>
      <c r="AL40" s="73">
        <f t="shared" si="49"/>
        <v>25</v>
      </c>
      <c r="AM40" s="73">
        <f t="shared" si="50"/>
        <v>25</v>
      </c>
      <c r="AO40" s="20">
        <f t="shared" si="33"/>
        <v>58</v>
      </c>
      <c r="AP40" s="20">
        <f t="shared" si="51"/>
        <v>10</v>
      </c>
      <c r="AQ40" s="18">
        <f t="shared" si="52"/>
        <v>17.500000000000004</v>
      </c>
      <c r="AR40" s="18">
        <f t="shared" si="53"/>
        <v>17.499999999999989</v>
      </c>
      <c r="AS40" s="73">
        <f t="shared" si="54"/>
        <v>25</v>
      </c>
      <c r="AT40" s="73">
        <f t="shared" si="55"/>
        <v>25</v>
      </c>
      <c r="AU40" s="73">
        <f t="shared" si="34"/>
        <v>17.500000000000004</v>
      </c>
      <c r="AV40" s="73">
        <f t="shared" si="35"/>
        <v>17.500000000000004</v>
      </c>
      <c r="AX40" s="5">
        <f>Premie_leeftijd!J39</f>
        <v>4.1290832141814837E-3</v>
      </c>
      <c r="AY40" s="5"/>
      <c r="AZ40" s="54">
        <v>33</v>
      </c>
      <c r="BA40" s="54">
        <f t="shared" si="56"/>
        <v>83</v>
      </c>
      <c r="BB40" s="54">
        <f t="shared" si="57"/>
        <v>83</v>
      </c>
      <c r="BC40" s="54" t="b">
        <f t="shared" ref="BC40:BC71" si="63">BB40&gt;=AOWlftd</f>
        <v>1</v>
      </c>
      <c r="BD40" s="54">
        <f t="shared" si="58"/>
        <v>17.500000000000004</v>
      </c>
      <c r="BE40" s="54">
        <f t="shared" si="59"/>
        <v>17.499999999999993</v>
      </c>
      <c r="BF40" s="54">
        <f t="shared" si="60"/>
        <v>25</v>
      </c>
      <c r="BG40" s="54">
        <f t="shared" si="61"/>
        <v>25</v>
      </c>
      <c r="BH40" s="54">
        <f t="shared" si="62"/>
        <v>17.500000000000004</v>
      </c>
    </row>
    <row r="41" spans="1:60" x14ac:dyDescent="0.25">
      <c r="A41" s="73">
        <f>Grondslag!A36</f>
        <v>59</v>
      </c>
      <c r="B41" s="19">
        <v>1</v>
      </c>
      <c r="C41" s="73">
        <f t="shared" si="38"/>
        <v>59</v>
      </c>
      <c r="D41" s="73">
        <f>B41*Grondslag!I36</f>
        <v>50</v>
      </c>
      <c r="E41" s="73">
        <f>B41*(Grondslag!I36 - voltijdfranchise/1000 )</f>
        <v>35</v>
      </c>
      <c r="F41" s="73">
        <f t="shared" si="3"/>
        <v>0.58139534883720934</v>
      </c>
      <c r="G41" s="73" cm="1">
        <f t="array" ref="G41">G42*(1+reele_index_opb)</f>
        <v>1</v>
      </c>
      <c r="H41" s="73">
        <f>SUMPRODUCT(F$7:F41, G$7:G41)/G41</f>
        <v>20.34883720930231</v>
      </c>
      <c r="I41" s="73">
        <f>(1+I42)/(1+Settings!I$10)</f>
        <v>8</v>
      </c>
      <c r="J41" s="73"/>
      <c r="K41" s="73">
        <f t="shared" si="37"/>
        <v>0</v>
      </c>
      <c r="L41" s="73">
        <f t="shared" si="37"/>
        <v>0</v>
      </c>
      <c r="M41" s="18">
        <f>Settings!$I$3*D41</f>
        <v>25</v>
      </c>
      <c r="N41" s="18">
        <f>Settings!$I$7*MAX($D41 - x*voltijdfranchise/1000*(Premie_leeftijd!T40=0),0)</f>
        <v>25</v>
      </c>
      <c r="O41" s="18">
        <f>Settings!$I$7*MAX($D41 - x*voltijdfranchise/1000*(Premie_leeftijd!U40=0),0)</f>
        <v>25</v>
      </c>
      <c r="P41" s="18">
        <f>Settings!$I$3*D41*(1-Premie_leeftijd!R40)</f>
        <v>25</v>
      </c>
      <c r="Q41" s="73">
        <f t="shared" si="31"/>
        <v>10.646424555543645</v>
      </c>
      <c r="S41" s="41" cm="1">
        <f t="array" ref="S41">SUMPRODUCT(Premie_leeftijd!AL$6:AL40, 1/Premie_leeftijd!AJ$6:AJ40, E$7:E41, G$7:G41)/G41 + Premie_leeftijd!AN41*E41</f>
        <v>17.500000000000004</v>
      </c>
      <c r="T41" s="73">
        <f t="shared" si="5"/>
        <v>17.499999999999989</v>
      </c>
      <c r="U41" s="42" cm="1">
        <f t="array" ref="U41">E41*Premie_leeftijd!CG40/Premie_leeftijd!CE40 + U40*(1+reele_index_opb)</f>
        <v>15.293728846174139</v>
      </c>
      <c r="V41" s="31" cm="1">
        <f t="array" ref="V41">E41*Premie_leeftijd!BY40/Premie_leeftijd!BW40 + V40*(1+reele_index_opb)</f>
        <v>14.775525207584325</v>
      </c>
      <c r="W41" s="41">
        <f>Premie_leeftijd!AL40*E41/Premie_leeftijd!AJ40 + W40*(1+reele_index_opb)</f>
        <v>14.353575444456355</v>
      </c>
      <c r="X41" s="20"/>
      <c r="Y41" s="20">
        <f t="shared" si="32"/>
        <v>59</v>
      </c>
      <c r="Z41" s="41">
        <f t="shared" si="39"/>
        <v>17.500000000000004</v>
      </c>
      <c r="AA41" s="41">
        <f t="shared" si="40"/>
        <v>17.499999999999989</v>
      </c>
      <c r="AB41" s="20">
        <f t="shared" si="41"/>
        <v>25</v>
      </c>
      <c r="AC41" s="20">
        <f t="shared" si="42"/>
        <v>25</v>
      </c>
      <c r="AD41" s="20">
        <f t="shared" si="10"/>
        <v>25</v>
      </c>
      <c r="AE41" s="20">
        <f t="shared" si="43"/>
        <v>25</v>
      </c>
      <c r="AG41" s="73">
        <f t="shared" si="44"/>
        <v>8</v>
      </c>
      <c r="AH41" s="73">
        <f t="shared" si="45"/>
        <v>17.500000000000004</v>
      </c>
      <c r="AI41" s="73">
        <f t="shared" si="46"/>
        <v>17.499999999999989</v>
      </c>
      <c r="AJ41" s="73">
        <f t="shared" si="47"/>
        <v>25</v>
      </c>
      <c r="AK41" s="73">
        <f t="shared" si="48"/>
        <v>25</v>
      </c>
      <c r="AL41" s="73">
        <f t="shared" si="49"/>
        <v>25</v>
      </c>
      <c r="AM41" s="73">
        <f t="shared" si="50"/>
        <v>25</v>
      </c>
      <c r="AO41" s="20">
        <f t="shared" si="33"/>
        <v>59</v>
      </c>
      <c r="AP41" s="20">
        <f t="shared" si="51"/>
        <v>9</v>
      </c>
      <c r="AQ41" s="18">
        <f t="shared" si="52"/>
        <v>17.500000000000004</v>
      </c>
      <c r="AR41" s="18">
        <f t="shared" si="53"/>
        <v>17.499999999999989</v>
      </c>
      <c r="AS41" s="73">
        <f t="shared" si="54"/>
        <v>25</v>
      </c>
      <c r="AT41" s="73">
        <f t="shared" si="55"/>
        <v>25</v>
      </c>
      <c r="AU41" s="73">
        <f t="shared" si="34"/>
        <v>17.500000000000004</v>
      </c>
      <c r="AV41" s="73">
        <f t="shared" si="35"/>
        <v>17.500000000000004</v>
      </c>
      <c r="AX41" s="5">
        <f>Premie_leeftijd!J40</f>
        <v>4.4347773328317075E-3</v>
      </c>
      <c r="AY41" s="5"/>
      <c r="AZ41" s="54">
        <v>34</v>
      </c>
      <c r="BA41" s="54">
        <f t="shared" si="56"/>
        <v>84</v>
      </c>
      <c r="BB41" s="54">
        <f t="shared" si="57"/>
        <v>84</v>
      </c>
      <c r="BC41" s="54" t="b">
        <f t="shared" si="63"/>
        <v>1</v>
      </c>
      <c r="BD41" s="54">
        <f t="shared" si="58"/>
        <v>17.500000000000004</v>
      </c>
      <c r="BE41" s="54">
        <f t="shared" si="59"/>
        <v>17.499999999999993</v>
      </c>
      <c r="BF41" s="54">
        <f t="shared" si="60"/>
        <v>25</v>
      </c>
      <c r="BG41" s="54">
        <f t="shared" si="61"/>
        <v>25</v>
      </c>
      <c r="BH41" s="54">
        <f t="shared" si="62"/>
        <v>17.500000000000004</v>
      </c>
    </row>
    <row r="42" spans="1:60" x14ac:dyDescent="0.25">
      <c r="A42" s="73">
        <f>Grondslag!A37</f>
        <v>60</v>
      </c>
      <c r="B42" s="19">
        <v>1</v>
      </c>
      <c r="C42" s="73">
        <f t="shared" si="38"/>
        <v>60</v>
      </c>
      <c r="D42" s="73">
        <f>B42*Grondslag!I37</f>
        <v>50</v>
      </c>
      <c r="E42" s="73">
        <f>B42*(Grondslag!I37 - voltijdfranchise/1000 )</f>
        <v>35</v>
      </c>
      <c r="F42" s="73">
        <f t="shared" si="3"/>
        <v>0.58139534883720934</v>
      </c>
      <c r="G42" s="73" cm="1">
        <f t="array" ref="G42">G43*(1+reele_index_opb)</f>
        <v>1</v>
      </c>
      <c r="H42" s="73">
        <f>SUMPRODUCT(F$7:F42, G$7:G42)/G42</f>
        <v>20.930232558139519</v>
      </c>
      <c r="I42" s="73">
        <f>(1+I43)/(1+Settings!I$10)</f>
        <v>7</v>
      </c>
      <c r="J42" s="73"/>
      <c r="K42" s="73">
        <f t="shared" si="37"/>
        <v>0</v>
      </c>
      <c r="L42" s="73">
        <f t="shared" si="37"/>
        <v>0</v>
      </c>
      <c r="M42" s="18">
        <f>Settings!$I$3*D42</f>
        <v>25</v>
      </c>
      <c r="N42" s="18">
        <f>Settings!$I$7*MAX($D42 - x*voltijdfranchise/1000*(Premie_leeftijd!T41=0),0)</f>
        <v>25</v>
      </c>
      <c r="O42" s="18">
        <f>Settings!$I$7*MAX($D42 - x*voltijdfranchise/1000*(Premie_leeftijd!U41=0),0)</f>
        <v>25</v>
      </c>
      <c r="P42" s="18">
        <f>Settings!$I$3*D42*(1-Premie_leeftijd!R41)</f>
        <v>25</v>
      </c>
      <c r="Q42" s="73">
        <f t="shared" si="31"/>
        <v>10.263358625472119</v>
      </c>
      <c r="S42" s="41" cm="1">
        <f t="array" ref="S42">SUMPRODUCT(Premie_leeftijd!AL$6:AL41, 1/Premie_leeftijd!AJ$6:AJ41, E$7:E42, G$7:G42)/G42 + Premie_leeftijd!AN42*E42</f>
        <v>17.500000000000004</v>
      </c>
      <c r="T42" s="73">
        <f t="shared" si="5"/>
        <v>17.499999999999989</v>
      </c>
      <c r="U42" s="42" cm="1">
        <f t="array" ref="U42">E42*Premie_leeftijd!CG41/Premie_leeftijd!CE41 + U41*(1+reele_index_opb)</f>
        <v>15.596651493322858</v>
      </c>
      <c r="V42" s="31" cm="1">
        <f t="array" ref="V42">E42*Premie_leeftijd!BY41/Premie_leeftijd!BW41 + V41*(1+reele_index_opb)</f>
        <v>15.117948751292749</v>
      </c>
      <c r="W42" s="41">
        <f>Premie_leeftijd!AL41*E42/Premie_leeftijd!AJ41 + W41*(1+reele_index_opb)</f>
        <v>14.736641374527881</v>
      </c>
      <c r="X42" s="20"/>
      <c r="Y42" s="20">
        <f t="shared" si="32"/>
        <v>60</v>
      </c>
      <c r="Z42" s="41">
        <f t="shared" si="39"/>
        <v>17.500000000000004</v>
      </c>
      <c r="AA42" s="41">
        <f t="shared" si="40"/>
        <v>17.499999999999989</v>
      </c>
      <c r="AB42" s="20">
        <f t="shared" si="41"/>
        <v>25</v>
      </c>
      <c r="AC42" s="20">
        <f t="shared" si="42"/>
        <v>25</v>
      </c>
      <c r="AD42" s="20">
        <f t="shared" si="10"/>
        <v>25</v>
      </c>
      <c r="AE42" s="20">
        <f t="shared" si="43"/>
        <v>25</v>
      </c>
      <c r="AG42" s="73">
        <f t="shared" si="44"/>
        <v>7</v>
      </c>
      <c r="AH42" s="73">
        <f t="shared" si="45"/>
        <v>17.500000000000004</v>
      </c>
      <c r="AI42" s="73">
        <f t="shared" si="46"/>
        <v>17.499999999999989</v>
      </c>
      <c r="AJ42" s="73">
        <f t="shared" si="47"/>
        <v>25</v>
      </c>
      <c r="AK42" s="73">
        <f t="shared" si="48"/>
        <v>25</v>
      </c>
      <c r="AL42" s="73">
        <f t="shared" si="49"/>
        <v>25</v>
      </c>
      <c r="AM42" s="73">
        <f t="shared" si="50"/>
        <v>25</v>
      </c>
      <c r="AO42" s="20">
        <f t="shared" si="33"/>
        <v>60</v>
      </c>
      <c r="AP42" s="20">
        <f t="shared" si="51"/>
        <v>8</v>
      </c>
      <c r="AQ42" s="18">
        <f t="shared" si="52"/>
        <v>17.500000000000004</v>
      </c>
      <c r="AR42" s="18">
        <f t="shared" si="53"/>
        <v>17.499999999999989</v>
      </c>
      <c r="AS42" s="73">
        <f t="shared" si="54"/>
        <v>25</v>
      </c>
      <c r="AT42" s="73">
        <f t="shared" si="55"/>
        <v>25</v>
      </c>
      <c r="AU42" s="73">
        <f t="shared" si="34"/>
        <v>17.500000000000004</v>
      </c>
      <c r="AV42" s="73">
        <f t="shared" si="35"/>
        <v>17.500000000000004</v>
      </c>
      <c r="AX42" s="5">
        <f>Premie_leeftijd!J41</f>
        <v>4.7224426356511362E-3</v>
      </c>
      <c r="AY42" s="5"/>
      <c r="AZ42" s="54">
        <v>35</v>
      </c>
      <c r="BA42" s="54">
        <f t="shared" si="56"/>
        <v>85</v>
      </c>
      <c r="BB42" s="54">
        <f t="shared" si="57"/>
        <v>85</v>
      </c>
      <c r="BC42" s="54" t="b">
        <f t="shared" si="63"/>
        <v>1</v>
      </c>
      <c r="BD42" s="54">
        <f t="shared" si="58"/>
        <v>17.500000000000004</v>
      </c>
      <c r="BE42" s="54">
        <f t="shared" si="59"/>
        <v>17.499999999999993</v>
      </c>
      <c r="BF42" s="54">
        <f t="shared" si="60"/>
        <v>25</v>
      </c>
      <c r="BG42" s="54">
        <f t="shared" si="61"/>
        <v>25</v>
      </c>
      <c r="BH42" s="54">
        <f t="shared" si="62"/>
        <v>17.500000000000004</v>
      </c>
    </row>
    <row r="43" spans="1:60" x14ac:dyDescent="0.25">
      <c r="A43" s="73">
        <f>Grondslag!A38</f>
        <v>61</v>
      </c>
      <c r="B43" s="19">
        <v>1</v>
      </c>
      <c r="C43" s="73">
        <f t="shared" si="38"/>
        <v>61</v>
      </c>
      <c r="D43" s="73">
        <f>B43*Grondslag!I38</f>
        <v>50</v>
      </c>
      <c r="E43" s="73">
        <f>B43*(Grondslag!I38 - voltijdfranchise/1000 )</f>
        <v>35</v>
      </c>
      <c r="F43" s="73">
        <f t="shared" si="3"/>
        <v>0.58139534883720934</v>
      </c>
      <c r="G43" s="73" cm="1">
        <f t="array" ref="G43">G44*(1+reele_index_opb)</f>
        <v>1</v>
      </c>
      <c r="H43" s="73">
        <f>SUMPRODUCT(F$7:F43, G$7:G43)/G43</f>
        <v>21.511627906976727</v>
      </c>
      <c r="I43" s="73">
        <f>(1+I44)/(1+Settings!I$10)</f>
        <v>6</v>
      </c>
      <c r="J43" s="73"/>
      <c r="K43" s="73">
        <f t="shared" si="37"/>
        <v>0</v>
      </c>
      <c r="L43" s="73">
        <f t="shared" si="37"/>
        <v>0</v>
      </c>
      <c r="M43" s="18">
        <f>Settings!$I$3*D43</f>
        <v>25</v>
      </c>
      <c r="N43" s="18">
        <f>Settings!$I$7*MAX($D43 - x*voltijdfranchise/1000*(Premie_leeftijd!T42=0),0)</f>
        <v>25</v>
      </c>
      <c r="O43" s="18">
        <f>Settings!$I$7*MAX($D43 - x*voltijdfranchise/1000*(Premie_leeftijd!U42=0),0)</f>
        <v>25</v>
      </c>
      <c r="P43" s="18">
        <f>Settings!$I$3*D43*(1-Premie_leeftijd!R42)</f>
        <v>25</v>
      </c>
      <c r="Q43" s="73">
        <f t="shared" si="31"/>
        <v>9.8782417962341853</v>
      </c>
      <c r="S43" s="41" cm="1">
        <f t="array" ref="S43">SUMPRODUCT(Premie_leeftijd!AL$6:AL42, 1/Premie_leeftijd!AJ$6:AJ42, E$7:E43, G$7:G43)/G43 + Premie_leeftijd!AN43*E43</f>
        <v>17.500000000000004</v>
      </c>
      <c r="T43" s="73">
        <f t="shared" si="5"/>
        <v>17.499999999999986</v>
      </c>
      <c r="U43" s="42" cm="1">
        <f t="array" ref="U43">E43*Premie_leeftijd!CG42/Premie_leeftijd!CE42 + U42*(1+reele_index_opb)</f>
        <v>15.891875535437448</v>
      </c>
      <c r="V43" s="31" cm="1">
        <f t="array" ref="V43">E43*Premie_leeftijd!BY42/Premie_leeftijd!BW42 + V42*(1+reele_index_opb)</f>
        <v>15.458787955650301</v>
      </c>
      <c r="W43" s="41">
        <f>Premie_leeftijd!AL42*E43/Premie_leeftijd!AJ42 + W42*(1+reele_index_opb)</f>
        <v>15.121758203765815</v>
      </c>
      <c r="X43" s="20"/>
      <c r="Y43" s="20">
        <f t="shared" si="32"/>
        <v>61</v>
      </c>
      <c r="Z43" s="41">
        <f t="shared" si="39"/>
        <v>17.500000000000004</v>
      </c>
      <c r="AA43" s="41">
        <f t="shared" si="40"/>
        <v>17.499999999999986</v>
      </c>
      <c r="AB43" s="20">
        <f t="shared" si="41"/>
        <v>25</v>
      </c>
      <c r="AC43" s="20">
        <f t="shared" si="42"/>
        <v>25</v>
      </c>
      <c r="AD43" s="20">
        <f t="shared" si="10"/>
        <v>25</v>
      </c>
      <c r="AE43" s="20">
        <f t="shared" si="43"/>
        <v>25</v>
      </c>
      <c r="AG43" s="73">
        <f t="shared" si="44"/>
        <v>6</v>
      </c>
      <c r="AH43" s="73">
        <f t="shared" si="45"/>
        <v>17.500000000000004</v>
      </c>
      <c r="AI43" s="73">
        <f t="shared" si="46"/>
        <v>17.499999999999986</v>
      </c>
      <c r="AJ43" s="73">
        <f t="shared" si="47"/>
        <v>25</v>
      </c>
      <c r="AK43" s="73">
        <f t="shared" si="48"/>
        <v>25</v>
      </c>
      <c r="AL43" s="73">
        <f t="shared" si="49"/>
        <v>25</v>
      </c>
      <c r="AM43" s="73">
        <f t="shared" si="50"/>
        <v>25</v>
      </c>
      <c r="AO43" s="20">
        <f t="shared" si="33"/>
        <v>61</v>
      </c>
      <c r="AP43" s="20">
        <f t="shared" si="51"/>
        <v>7</v>
      </c>
      <c r="AQ43" s="18">
        <f t="shared" si="52"/>
        <v>17.500000000000004</v>
      </c>
      <c r="AR43" s="18">
        <f t="shared" si="53"/>
        <v>17.499999999999986</v>
      </c>
      <c r="AS43" s="73">
        <f t="shared" si="54"/>
        <v>25</v>
      </c>
      <c r="AT43" s="73">
        <f t="shared" si="55"/>
        <v>25</v>
      </c>
      <c r="AU43" s="73">
        <f t="shared" si="34"/>
        <v>17.500000000000004</v>
      </c>
      <c r="AV43" s="73">
        <f t="shared" si="35"/>
        <v>17.500000000000004</v>
      </c>
      <c r="AX43" s="5">
        <f>Premie_leeftijd!J42</f>
        <v>5.1356250273081328E-3</v>
      </c>
      <c r="AY43" s="5"/>
      <c r="AZ43" s="54">
        <v>36</v>
      </c>
      <c r="BA43" s="54">
        <f t="shared" si="56"/>
        <v>86</v>
      </c>
      <c r="BB43" s="54">
        <f t="shared" si="57"/>
        <v>86</v>
      </c>
      <c r="BC43" s="54" t="b">
        <f t="shared" si="63"/>
        <v>1</v>
      </c>
      <c r="BD43" s="54">
        <f t="shared" si="58"/>
        <v>17.500000000000004</v>
      </c>
      <c r="BE43" s="54">
        <f t="shared" si="59"/>
        <v>17.499999999999993</v>
      </c>
      <c r="BF43" s="54">
        <f t="shared" si="60"/>
        <v>25</v>
      </c>
      <c r="BG43" s="54">
        <f t="shared" si="61"/>
        <v>25</v>
      </c>
      <c r="BH43" s="54">
        <f t="shared" si="62"/>
        <v>17.500000000000004</v>
      </c>
    </row>
    <row r="44" spans="1:60" x14ac:dyDescent="0.25">
      <c r="A44" s="73">
        <f>Grondslag!A39</f>
        <v>62</v>
      </c>
      <c r="B44" s="19">
        <v>1</v>
      </c>
      <c r="C44" s="73">
        <f t="shared" si="38"/>
        <v>62</v>
      </c>
      <c r="D44" s="73">
        <f>B44*Grondslag!I39</f>
        <v>50</v>
      </c>
      <c r="E44" s="73">
        <f>B44*(Grondslag!I39 - voltijdfranchise/1000 )</f>
        <v>35</v>
      </c>
      <c r="F44" s="73">
        <f t="shared" si="3"/>
        <v>0.58139534883720934</v>
      </c>
      <c r="G44" s="73" cm="1">
        <f t="array" ref="G44">G45*(1+reele_index_opb)</f>
        <v>1</v>
      </c>
      <c r="H44" s="73">
        <f>SUMPRODUCT(F$7:F44, G$7:G44)/G44</f>
        <v>22.093023255813936</v>
      </c>
      <c r="I44" s="73">
        <f>(1+I45)/(1+Settings!I$10)</f>
        <v>5</v>
      </c>
      <c r="J44" s="73"/>
      <c r="K44" s="73">
        <f t="shared" si="37"/>
        <v>0</v>
      </c>
      <c r="L44" s="73">
        <f t="shared" si="37"/>
        <v>0</v>
      </c>
      <c r="M44" s="18">
        <f>Settings!$I$3*D44</f>
        <v>25</v>
      </c>
      <c r="N44" s="18">
        <f>Settings!$I$7*MAX($D44 - x*voltijdfranchise/1000*(Premie_leeftijd!T43=0),0)</f>
        <v>25</v>
      </c>
      <c r="O44" s="18">
        <f>Settings!$I$7*MAX($D44 - x*voltijdfranchise/1000*(Premie_leeftijd!U43=0),0)</f>
        <v>25</v>
      </c>
      <c r="P44" s="18">
        <f>Settings!$I$3*D44*(1-Premie_leeftijd!R43)</f>
        <v>25</v>
      </c>
      <c r="Q44" s="73">
        <f t="shared" si="31"/>
        <v>9.4904981381414046</v>
      </c>
      <c r="S44" s="41" cm="1">
        <f t="array" ref="S44">SUMPRODUCT(Premie_leeftijd!AL$6:AL43, 1/Premie_leeftijd!AJ$6:AJ43, E$7:E44, G$7:G44)/G44 + Premie_leeftijd!AN44*E44</f>
        <v>17.500000000000004</v>
      </c>
      <c r="T44" s="73">
        <f t="shared" si="5"/>
        <v>17.499999999999986</v>
      </c>
      <c r="U44" s="42" cm="1">
        <f t="array" ref="U44">E44*Premie_leeftijd!CG43/Premie_leeftijd!CE43 + U43*(1+reele_index_opb)</f>
        <v>16.179379050682023</v>
      </c>
      <c r="V44" s="31" cm="1">
        <f t="array" ref="V44">E44*Premie_leeftijd!BY43/Premie_leeftijd!BW43 + V43*(1+reele_index_opb)</f>
        <v>15.79859211904356</v>
      </c>
      <c r="W44" s="41">
        <f>Premie_leeftijd!AL43*E44/Premie_leeftijd!AJ43 + W43*(1+reele_index_opb)</f>
        <v>15.509501861858595</v>
      </c>
      <c r="X44" s="20"/>
      <c r="Y44" s="20">
        <f t="shared" si="32"/>
        <v>62</v>
      </c>
      <c r="Z44" s="41">
        <f t="shared" si="39"/>
        <v>17.500000000000004</v>
      </c>
      <c r="AA44" s="41">
        <f t="shared" si="40"/>
        <v>17.499999999999986</v>
      </c>
      <c r="AB44" s="20">
        <f t="shared" si="41"/>
        <v>25</v>
      </c>
      <c r="AC44" s="20">
        <f t="shared" si="42"/>
        <v>25</v>
      </c>
      <c r="AD44" s="20">
        <f t="shared" si="10"/>
        <v>25</v>
      </c>
      <c r="AE44" s="20">
        <f t="shared" si="43"/>
        <v>25</v>
      </c>
      <c r="AG44" s="73">
        <f t="shared" si="44"/>
        <v>5</v>
      </c>
      <c r="AH44" s="73">
        <f t="shared" si="45"/>
        <v>17.500000000000004</v>
      </c>
      <c r="AI44" s="73">
        <f t="shared" si="46"/>
        <v>17.499999999999986</v>
      </c>
      <c r="AJ44" s="73">
        <f t="shared" si="47"/>
        <v>25</v>
      </c>
      <c r="AK44" s="73">
        <f t="shared" si="48"/>
        <v>25</v>
      </c>
      <c r="AL44" s="73">
        <f t="shared" si="49"/>
        <v>25</v>
      </c>
      <c r="AM44" s="73">
        <f t="shared" si="50"/>
        <v>25</v>
      </c>
      <c r="AO44" s="20">
        <f t="shared" si="33"/>
        <v>62</v>
      </c>
      <c r="AP44" s="20">
        <f t="shared" si="51"/>
        <v>6</v>
      </c>
      <c r="AQ44" s="18">
        <f t="shared" si="52"/>
        <v>17.500000000000004</v>
      </c>
      <c r="AR44" s="18">
        <f t="shared" si="53"/>
        <v>17.499999999999986</v>
      </c>
      <c r="AS44" s="73">
        <f t="shared" si="54"/>
        <v>25</v>
      </c>
      <c r="AT44" s="73">
        <f t="shared" si="55"/>
        <v>25</v>
      </c>
      <c r="AU44" s="73">
        <f t="shared" si="34"/>
        <v>17.500000000000004</v>
      </c>
      <c r="AV44" s="73">
        <f t="shared" si="35"/>
        <v>17.500000000000004</v>
      </c>
      <c r="AX44" s="5">
        <f>Premie_leeftijd!J43</f>
        <v>5.4622871438547715E-3</v>
      </c>
      <c r="AY44" s="5"/>
      <c r="AZ44" s="54">
        <v>37</v>
      </c>
      <c r="BA44" s="54">
        <f t="shared" si="56"/>
        <v>87</v>
      </c>
      <c r="BB44" s="54">
        <f t="shared" si="57"/>
        <v>87</v>
      </c>
      <c r="BC44" s="54" t="b">
        <f t="shared" si="63"/>
        <v>1</v>
      </c>
      <c r="BD44" s="54">
        <f t="shared" si="58"/>
        <v>17.500000000000004</v>
      </c>
      <c r="BE44" s="54">
        <f t="shared" si="59"/>
        <v>17.499999999999993</v>
      </c>
      <c r="BF44" s="54">
        <f t="shared" si="60"/>
        <v>25</v>
      </c>
      <c r="BG44" s="54">
        <f t="shared" si="61"/>
        <v>25</v>
      </c>
      <c r="BH44" s="54">
        <f t="shared" si="62"/>
        <v>17.500000000000004</v>
      </c>
    </row>
    <row r="45" spans="1:60" x14ac:dyDescent="0.25">
      <c r="A45" s="73">
        <f>Grondslag!A40</f>
        <v>63</v>
      </c>
      <c r="B45" s="19">
        <v>1</v>
      </c>
      <c r="C45" s="73">
        <f t="shared" si="38"/>
        <v>63</v>
      </c>
      <c r="D45" s="73">
        <f>B45*Grondslag!I40</f>
        <v>50</v>
      </c>
      <c r="E45" s="73">
        <f>B45*(Grondslag!I40 - voltijdfranchise/1000 )</f>
        <v>35</v>
      </c>
      <c r="F45" s="73">
        <f t="shared" si="3"/>
        <v>0.58139534883720934</v>
      </c>
      <c r="G45" s="73" cm="1">
        <f t="array" ref="G45">G46*(1+reele_index_opb)</f>
        <v>1</v>
      </c>
      <c r="H45" s="73">
        <f>SUMPRODUCT(F$7:F45, G$7:G45)/G45</f>
        <v>22.674418604651144</v>
      </c>
      <c r="I45" s="73">
        <f>(1+I46)/(1+Settings!I$10)</f>
        <v>4</v>
      </c>
      <c r="J45" s="73"/>
      <c r="K45" s="73">
        <f t="shared" si="37"/>
        <v>0</v>
      </c>
      <c r="L45" s="73">
        <f t="shared" si="37"/>
        <v>0</v>
      </c>
      <c r="M45" s="18">
        <f>Settings!$I$3*D45</f>
        <v>25</v>
      </c>
      <c r="N45" s="18">
        <f>Settings!$I$7*MAX($D45 - x*voltijdfranchise/1000*(Premie_leeftijd!T44=0),0)</f>
        <v>25</v>
      </c>
      <c r="O45" s="18">
        <f>Settings!$I$7*MAX($D45 - x*voltijdfranchise/1000*(Premie_leeftijd!U44=0),0)</f>
        <v>25</v>
      </c>
      <c r="P45" s="18">
        <f>Settings!$I$3*D45*(1-Premie_leeftijd!R44)</f>
        <v>25</v>
      </c>
      <c r="Q45" s="73">
        <f t="shared" si="31"/>
        <v>9.0998055247657614</v>
      </c>
      <c r="S45" s="41" cm="1">
        <f t="array" ref="S45">SUMPRODUCT(Premie_leeftijd!AL$6:AL44, 1/Premie_leeftijd!AJ$6:AJ44, E$7:E45, G$7:G45)/G45 + Premie_leeftijd!AN45*E45</f>
        <v>17.500000000000004</v>
      </c>
      <c r="T45" s="73">
        <f t="shared" si="5"/>
        <v>17.499999999999986</v>
      </c>
      <c r="U45" s="42" cm="1">
        <f t="array" ref="U45">E45*Premie_leeftijd!CG44/Premie_leeftijd!CE44 + U44*(1+reele_index_opb)</f>
        <v>16.459129090108323</v>
      </c>
      <c r="V45" s="31" cm="1">
        <f t="array" ref="V45">E45*Premie_leeftijd!BY44/Premie_leeftijd!BW44 + V44*(1+reele_index_opb)</f>
        <v>16.137792244658495</v>
      </c>
      <c r="W45" s="41">
        <f>Premie_leeftijd!AL44*E45/Premie_leeftijd!AJ44 + W44*(1+reele_index_opb)</f>
        <v>15.900194475234239</v>
      </c>
      <c r="X45" s="20"/>
      <c r="Y45" s="20">
        <f t="shared" si="32"/>
        <v>63</v>
      </c>
      <c r="Z45" s="41">
        <f t="shared" si="39"/>
        <v>17.500000000000004</v>
      </c>
      <c r="AA45" s="41">
        <f t="shared" si="40"/>
        <v>17.499999999999986</v>
      </c>
      <c r="AB45" s="20">
        <f t="shared" si="41"/>
        <v>25</v>
      </c>
      <c r="AC45" s="20">
        <f t="shared" si="42"/>
        <v>25</v>
      </c>
      <c r="AD45" s="20">
        <f t="shared" si="10"/>
        <v>25</v>
      </c>
      <c r="AE45" s="20">
        <f t="shared" si="43"/>
        <v>25</v>
      </c>
      <c r="AG45" s="73">
        <f t="shared" si="44"/>
        <v>4</v>
      </c>
      <c r="AH45" s="73">
        <f t="shared" si="45"/>
        <v>17.500000000000004</v>
      </c>
      <c r="AI45" s="73">
        <f t="shared" si="46"/>
        <v>17.499999999999986</v>
      </c>
      <c r="AJ45" s="73">
        <f t="shared" si="47"/>
        <v>25</v>
      </c>
      <c r="AK45" s="73">
        <f t="shared" si="48"/>
        <v>25</v>
      </c>
      <c r="AL45" s="73">
        <f t="shared" si="49"/>
        <v>25</v>
      </c>
      <c r="AM45" s="73">
        <f t="shared" si="50"/>
        <v>25</v>
      </c>
      <c r="AO45" s="20">
        <f t="shared" si="33"/>
        <v>63</v>
      </c>
      <c r="AP45" s="20">
        <f t="shared" si="51"/>
        <v>5</v>
      </c>
      <c r="AQ45" s="18">
        <f t="shared" si="52"/>
        <v>17.500000000000004</v>
      </c>
      <c r="AR45" s="18">
        <f t="shared" si="53"/>
        <v>17.499999999999986</v>
      </c>
      <c r="AS45" s="73">
        <f t="shared" si="54"/>
        <v>25</v>
      </c>
      <c r="AT45" s="73">
        <f t="shared" si="55"/>
        <v>25</v>
      </c>
      <c r="AU45" s="73">
        <f t="shared" si="34"/>
        <v>17.500000000000004</v>
      </c>
      <c r="AV45" s="73">
        <f t="shared" si="35"/>
        <v>17.500000000000004</v>
      </c>
      <c r="AX45" s="5">
        <f>Premie_leeftijd!J44</f>
        <v>5.8228163973006453E-3</v>
      </c>
      <c r="AY45" s="5"/>
      <c r="AZ45" s="54">
        <v>38</v>
      </c>
      <c r="BA45" s="54">
        <f t="shared" si="56"/>
        <v>88</v>
      </c>
      <c r="BB45" s="54">
        <f t="shared" si="57"/>
        <v>88</v>
      </c>
      <c r="BC45" s="54" t="b">
        <f t="shared" si="63"/>
        <v>1</v>
      </c>
      <c r="BD45" s="54">
        <f t="shared" si="58"/>
        <v>17.500000000000004</v>
      </c>
      <c r="BE45" s="54">
        <f t="shared" si="59"/>
        <v>17.499999999999993</v>
      </c>
      <c r="BF45" s="54">
        <f t="shared" si="60"/>
        <v>25</v>
      </c>
      <c r="BG45" s="54">
        <f t="shared" si="61"/>
        <v>25</v>
      </c>
      <c r="BH45" s="54">
        <f t="shared" si="62"/>
        <v>17.500000000000004</v>
      </c>
    </row>
    <row r="46" spans="1:60" x14ac:dyDescent="0.25">
      <c r="A46" s="73">
        <f>Grondslag!A41</f>
        <v>64</v>
      </c>
      <c r="B46" s="19">
        <v>1</v>
      </c>
      <c r="C46" s="73">
        <f t="shared" si="38"/>
        <v>64</v>
      </c>
      <c r="D46" s="73">
        <f>B46*Grondslag!I41</f>
        <v>50</v>
      </c>
      <c r="E46" s="73">
        <f>B46*(Grondslag!I41 - voltijdfranchise/1000 )</f>
        <v>35</v>
      </c>
      <c r="F46" s="73">
        <f t="shared" si="3"/>
        <v>0.58139534883720934</v>
      </c>
      <c r="G46" s="73" cm="1">
        <f t="array" ref="G46">G47*(1+reele_index_opb)</f>
        <v>1</v>
      </c>
      <c r="H46" s="73">
        <f>SUMPRODUCT(F$7:F46, G$7:G46)/G46</f>
        <v>23.255813953488353</v>
      </c>
      <c r="I46" s="73">
        <f>(1+I47)/(1+Settings!I$10)</f>
        <v>3</v>
      </c>
      <c r="J46" s="73"/>
      <c r="K46" s="73">
        <f t="shared" si="37"/>
        <v>0</v>
      </c>
      <c r="L46" s="73">
        <f t="shared" si="37"/>
        <v>0</v>
      </c>
      <c r="M46" s="18">
        <f>Settings!$I$3*D46</f>
        <v>25</v>
      </c>
      <c r="N46" s="18">
        <f>Settings!$I$7*MAX($D46 - x*voltijdfranchise/1000*(Premie_leeftijd!T45=0),0)</f>
        <v>25</v>
      </c>
      <c r="O46" s="18">
        <f>Settings!$I$7*MAX($D46 - x*voltijdfranchise/1000*(Premie_leeftijd!U45=0),0)</f>
        <v>25</v>
      </c>
      <c r="P46" s="18">
        <f>Settings!$I$3*D46*(1-Premie_leeftijd!R45)</f>
        <v>25</v>
      </c>
      <c r="Q46" s="73">
        <f t="shared" si="31"/>
        <v>8.7057831488263808</v>
      </c>
      <c r="S46" s="41" cm="1">
        <f t="array" ref="S46">SUMPRODUCT(Premie_leeftijd!AL$6:AL45, 1/Premie_leeftijd!AJ$6:AJ45, E$7:E46, G$7:G46)/G46 + Premie_leeftijd!AN46*E46</f>
        <v>17.500000000000004</v>
      </c>
      <c r="T46" s="73">
        <f t="shared" si="5"/>
        <v>17.499999999999986</v>
      </c>
      <c r="U46" s="42" cm="1">
        <f t="array" ref="U46">E46*Premie_leeftijd!CG45/Premie_leeftijd!CE45 + U45*(1+reele_index_opb)</f>
        <v>16.731095323920286</v>
      </c>
      <c r="V46" s="31" cm="1">
        <f t="array" ref="V46">E46*Premie_leeftijd!BY45/Premie_leeftijd!BW45 + V45*(1+reele_index_opb)</f>
        <v>16.476909276464482</v>
      </c>
      <c r="W46" s="41">
        <f>Premie_leeftijd!AL45*E46/Premie_leeftijd!AJ45 + W45*(1+reele_index_opb)</f>
        <v>16.294216851173619</v>
      </c>
      <c r="X46" s="20"/>
      <c r="Y46" s="20">
        <f t="shared" si="32"/>
        <v>64</v>
      </c>
      <c r="Z46" s="41">
        <f t="shared" si="39"/>
        <v>17.500000000000004</v>
      </c>
      <c r="AA46" s="41">
        <f t="shared" si="40"/>
        <v>17.499999999999986</v>
      </c>
      <c r="AB46" s="20">
        <f t="shared" si="41"/>
        <v>25</v>
      </c>
      <c r="AC46" s="20">
        <f t="shared" si="42"/>
        <v>25</v>
      </c>
      <c r="AD46" s="20">
        <f t="shared" si="10"/>
        <v>25</v>
      </c>
      <c r="AE46" s="20">
        <f t="shared" si="43"/>
        <v>25</v>
      </c>
      <c r="AG46" s="73">
        <f t="shared" si="44"/>
        <v>3</v>
      </c>
      <c r="AH46" s="73">
        <f t="shared" si="45"/>
        <v>17.500000000000004</v>
      </c>
      <c r="AI46" s="73">
        <f t="shared" si="46"/>
        <v>17.499999999999986</v>
      </c>
      <c r="AJ46" s="73">
        <f t="shared" si="47"/>
        <v>25</v>
      </c>
      <c r="AK46" s="73">
        <f t="shared" si="48"/>
        <v>25</v>
      </c>
      <c r="AL46" s="73">
        <f t="shared" si="49"/>
        <v>25</v>
      </c>
      <c r="AM46" s="73">
        <f t="shared" si="50"/>
        <v>25</v>
      </c>
      <c r="AO46" s="20">
        <f t="shared" si="33"/>
        <v>64</v>
      </c>
      <c r="AP46" s="20">
        <f t="shared" si="51"/>
        <v>4</v>
      </c>
      <c r="AQ46" s="18">
        <f t="shared" si="52"/>
        <v>17.500000000000004</v>
      </c>
      <c r="AR46" s="18">
        <f t="shared" si="53"/>
        <v>17.499999999999986</v>
      </c>
      <c r="AS46" s="73">
        <f t="shared" si="54"/>
        <v>25</v>
      </c>
      <c r="AT46" s="73">
        <f t="shared" si="55"/>
        <v>25</v>
      </c>
      <c r="AU46" s="73">
        <f t="shared" si="34"/>
        <v>17.500000000000004</v>
      </c>
      <c r="AV46" s="73">
        <f t="shared" si="35"/>
        <v>17.500000000000004</v>
      </c>
      <c r="AX46" s="5">
        <f>Premie_leeftijd!J45</f>
        <v>6.1942163908205172E-3</v>
      </c>
      <c r="AY46" s="5"/>
      <c r="AZ46" s="54">
        <v>39</v>
      </c>
      <c r="BA46" s="54">
        <f t="shared" si="56"/>
        <v>89</v>
      </c>
      <c r="BB46" s="54">
        <f t="shared" si="57"/>
        <v>89</v>
      </c>
      <c r="BC46" s="54" t="b">
        <f t="shared" si="63"/>
        <v>1</v>
      </c>
      <c r="BD46" s="54">
        <f t="shared" si="58"/>
        <v>17.500000000000004</v>
      </c>
      <c r="BE46" s="54">
        <f t="shared" si="59"/>
        <v>17.499999999999993</v>
      </c>
      <c r="BF46" s="54">
        <f t="shared" si="60"/>
        <v>25</v>
      </c>
      <c r="BG46" s="54">
        <f t="shared" si="61"/>
        <v>25</v>
      </c>
      <c r="BH46" s="54">
        <f t="shared" si="62"/>
        <v>17.500000000000004</v>
      </c>
    </row>
    <row r="47" spans="1:60" x14ac:dyDescent="0.25">
      <c r="A47" s="73">
        <f>Grondslag!A42</f>
        <v>65</v>
      </c>
      <c r="B47" s="19">
        <v>1</v>
      </c>
      <c r="C47" s="73">
        <f t="shared" si="38"/>
        <v>65</v>
      </c>
      <c r="D47" s="73">
        <f>B47*Grondslag!I42</f>
        <v>50</v>
      </c>
      <c r="E47" s="73">
        <f>B47*(Grondslag!I42 - voltijdfranchise/1000 )</f>
        <v>35</v>
      </c>
      <c r="F47" s="73">
        <f t="shared" si="3"/>
        <v>0.58139534883720934</v>
      </c>
      <c r="G47" s="73" cm="1">
        <f t="array" ref="G47">G48*(1+reele_index_opb)</f>
        <v>1</v>
      </c>
      <c r="H47" s="73">
        <f>SUMPRODUCT(F$7:F47, G$7:G47)/G47</f>
        <v>23.837209302325562</v>
      </c>
      <c r="I47" s="73">
        <f>(1+I48)/(1+Settings!I$10)</f>
        <v>2</v>
      </c>
      <c r="J47" s="73"/>
      <c r="K47" s="73">
        <f t="shared" ref="K47:L66" si="64">volledigAnw/1000</f>
        <v>0</v>
      </c>
      <c r="L47" s="73">
        <f t="shared" si="64"/>
        <v>0</v>
      </c>
      <c r="M47" s="18">
        <f>Settings!$I$3*D47</f>
        <v>25</v>
      </c>
      <c r="N47" s="18">
        <f>Settings!$I$7*MAX($D47 - x*voltijdfranchise/1000*(Premie_leeftijd!T46=0),0)</f>
        <v>25</v>
      </c>
      <c r="O47" s="18">
        <f>Settings!$I$7*MAX($D47 - x*voltijdfranchise/1000*(Premie_leeftijd!U46=0),0)</f>
        <v>25</v>
      </c>
      <c r="P47" s="18">
        <f>Settings!$I$3*D47*(1-Premie_leeftijd!R46)</f>
        <v>25</v>
      </c>
      <c r="Q47" s="73">
        <f t="shared" si="31"/>
        <v>8.3080339896782469</v>
      </c>
      <c r="S47" s="41" cm="1">
        <f t="array" ref="S47">SUMPRODUCT(Premie_leeftijd!AL$6:AL46, 1/Premie_leeftijd!AJ$6:AJ46, E$7:E47, G$7:G47)/G47 + Premie_leeftijd!AN47*E47</f>
        <v>17.500000000000004</v>
      </c>
      <c r="T47" s="73">
        <f t="shared" si="5"/>
        <v>17.499999999999982</v>
      </c>
      <c r="U47" s="42" cm="1">
        <f t="array" ref="U47">E47*Premie_leeftijd!CG46/Premie_leeftijd!CE46 + U46*(1+reele_index_opb)</f>
        <v>16.995259791103393</v>
      </c>
      <c r="V47" s="31" cm="1">
        <f t="array" ref="V47">E47*Premie_leeftijd!BY46/Premie_leeftijd!BW46 + V46*(1+reele_index_opb)</f>
        <v>16.816543136040291</v>
      </c>
      <c r="W47" s="41">
        <f>Premie_leeftijd!AL46*E47/Premie_leeftijd!AJ46 + W46*(1+reele_index_opb)</f>
        <v>16.691966010321753</v>
      </c>
      <c r="X47" s="20"/>
      <c r="Y47" s="20">
        <f t="shared" si="32"/>
        <v>65</v>
      </c>
      <c r="Z47" s="41">
        <f t="shared" si="39"/>
        <v>17.500000000000004</v>
      </c>
      <c r="AA47" s="41">
        <f t="shared" si="40"/>
        <v>17.499999999999982</v>
      </c>
      <c r="AB47" s="20">
        <f t="shared" si="41"/>
        <v>25</v>
      </c>
      <c r="AC47" s="20">
        <f t="shared" si="42"/>
        <v>25</v>
      </c>
      <c r="AD47" s="20">
        <f t="shared" si="10"/>
        <v>25</v>
      </c>
      <c r="AE47" s="20">
        <f t="shared" si="43"/>
        <v>25</v>
      </c>
      <c r="AG47" s="73">
        <f t="shared" si="44"/>
        <v>2</v>
      </c>
      <c r="AH47" s="73">
        <f t="shared" si="45"/>
        <v>17.500000000000004</v>
      </c>
      <c r="AI47" s="73">
        <f t="shared" si="46"/>
        <v>17.499999999999982</v>
      </c>
      <c r="AJ47" s="73">
        <f t="shared" si="47"/>
        <v>25</v>
      </c>
      <c r="AK47" s="73">
        <f t="shared" si="48"/>
        <v>25</v>
      </c>
      <c r="AL47" s="73">
        <f t="shared" si="49"/>
        <v>25</v>
      </c>
      <c r="AM47" s="73">
        <f t="shared" si="50"/>
        <v>25</v>
      </c>
      <c r="AO47" s="20">
        <f t="shared" si="33"/>
        <v>65</v>
      </c>
      <c r="AP47" s="20">
        <f t="shared" si="51"/>
        <v>3</v>
      </c>
      <c r="AQ47" s="18">
        <f t="shared" si="52"/>
        <v>17.500000000000004</v>
      </c>
      <c r="AR47" s="18">
        <f t="shared" si="53"/>
        <v>17.499999999999982</v>
      </c>
      <c r="AS47" s="73">
        <f t="shared" si="54"/>
        <v>25</v>
      </c>
      <c r="AT47" s="73">
        <f t="shared" si="55"/>
        <v>25</v>
      </c>
      <c r="AU47" s="73">
        <f t="shared" si="34"/>
        <v>17.500000000000004</v>
      </c>
      <c r="AV47" s="73">
        <f t="shared" si="35"/>
        <v>17.500000000000004</v>
      </c>
      <c r="AX47" s="5">
        <f>Premie_leeftijd!J46</f>
        <v>6.5610254038193094E-3</v>
      </c>
      <c r="AY47" s="5"/>
      <c r="AZ47" s="54">
        <v>40</v>
      </c>
      <c r="BA47" s="54">
        <f t="shared" si="56"/>
        <v>90</v>
      </c>
      <c r="BB47" s="54">
        <f t="shared" si="57"/>
        <v>90</v>
      </c>
      <c r="BC47" s="54" t="b">
        <f t="shared" si="63"/>
        <v>1</v>
      </c>
      <c r="BD47" s="54">
        <f t="shared" si="58"/>
        <v>17.500000000000004</v>
      </c>
      <c r="BE47" s="54">
        <f t="shared" si="59"/>
        <v>17.499999999999993</v>
      </c>
      <c r="BF47" s="54">
        <f t="shared" si="60"/>
        <v>25</v>
      </c>
      <c r="BG47" s="54">
        <f t="shared" si="61"/>
        <v>25</v>
      </c>
      <c r="BH47" s="54">
        <f t="shared" si="62"/>
        <v>17.500000000000004</v>
      </c>
    </row>
    <row r="48" spans="1:60" x14ac:dyDescent="0.25">
      <c r="A48" s="73">
        <f>Grondslag!A43</f>
        <v>66</v>
      </c>
      <c r="B48" s="19">
        <v>1</v>
      </c>
      <c r="C48" s="73">
        <f t="shared" si="38"/>
        <v>66</v>
      </c>
      <c r="D48" s="73">
        <f>B48*Grondslag!I43</f>
        <v>50</v>
      </c>
      <c r="E48" s="73">
        <f>B48*(Grondslag!I43 - voltijdfranchise/1000 )</f>
        <v>35</v>
      </c>
      <c r="F48" s="73">
        <f t="shared" si="3"/>
        <v>0.58139534883720934</v>
      </c>
      <c r="G48" s="73" cm="1">
        <f t="array" ref="G48">G49*(1+reele_index_opb)</f>
        <v>1</v>
      </c>
      <c r="H48" s="73">
        <f>SUMPRODUCT(F$7:F48, G$7:G48)/G48</f>
        <v>24.41860465116277</v>
      </c>
      <c r="I48" s="73">
        <f>(1+I49)/(1+Settings!I$10)</f>
        <v>1</v>
      </c>
      <c r="J48" s="73"/>
      <c r="K48" s="73">
        <f t="shared" si="64"/>
        <v>0</v>
      </c>
      <c r="L48" s="73">
        <f t="shared" si="64"/>
        <v>0</v>
      </c>
      <c r="M48" s="18">
        <f>Settings!$I$3*D48</f>
        <v>25</v>
      </c>
      <c r="N48" s="18">
        <f>Settings!$I$7*MAX($D48 - x*voltijdfranchise/1000*(Premie_leeftijd!T47=0),0)</f>
        <v>25</v>
      </c>
      <c r="O48" s="18">
        <f>Settings!$I$7*MAX($D48 - x*voltijdfranchise/1000*(Premie_leeftijd!U47=0),0)</f>
        <v>25</v>
      </c>
      <c r="P48" s="18">
        <f>Settings!$I$3*D48*(1-Premie_leeftijd!R47)</f>
        <v>25</v>
      </c>
      <c r="Q48" s="73">
        <f t="shared" ref="Q48:Q82" si="65">MAX(P48-W48, 0)</f>
        <v>7.9062380435782629</v>
      </c>
      <c r="S48" s="41" cm="1">
        <f t="array" ref="S48">SUMPRODUCT(Premie_leeftijd!AL$6:AL47, 1/Premie_leeftijd!AJ$6:AJ47, E$7:E48, G$7:G48)/G48 + Premie_leeftijd!AN48*E48</f>
        <v>17.500000000000004</v>
      </c>
      <c r="T48" s="73">
        <f t="shared" si="5"/>
        <v>17.499999999999982</v>
      </c>
      <c r="U48" s="42" cm="1">
        <f t="array" ref="U48">E48*Premie_leeftijd!CG47/Premie_leeftijd!CE47 + U47*(1+reele_index_opb)</f>
        <v>17.25158149395374</v>
      </c>
      <c r="V48" s="31" cm="1">
        <f t="array" ref="V48">E48*Premie_leeftijd!BY47/Premie_leeftijd!BW47 + V47*(1+reele_index_opb)</f>
        <v>17.157315230241444</v>
      </c>
      <c r="W48" s="41">
        <f>Premie_leeftijd!AL47*E48/Premie_leeftijd!AJ47 + W47*(1+reele_index_opb)</f>
        <v>17.093761956421737</v>
      </c>
      <c r="X48" s="20"/>
      <c r="Y48" s="20">
        <f t="shared" si="32"/>
        <v>66</v>
      </c>
      <c r="Z48" s="41">
        <f t="shared" si="39"/>
        <v>17.500000000000004</v>
      </c>
      <c r="AA48" s="41">
        <f t="shared" si="40"/>
        <v>17.499999999999982</v>
      </c>
      <c r="AB48" s="20">
        <f t="shared" si="41"/>
        <v>25</v>
      </c>
      <c r="AC48" s="20">
        <f t="shared" si="42"/>
        <v>25</v>
      </c>
      <c r="AD48" s="20">
        <f t="shared" si="10"/>
        <v>25</v>
      </c>
      <c r="AE48" s="20">
        <f t="shared" si="43"/>
        <v>25</v>
      </c>
      <c r="AG48" s="73">
        <f t="shared" si="44"/>
        <v>1</v>
      </c>
      <c r="AH48" s="73">
        <f t="shared" si="45"/>
        <v>17.500000000000004</v>
      </c>
      <c r="AI48" s="73">
        <f t="shared" si="46"/>
        <v>17.499999999999982</v>
      </c>
      <c r="AJ48" s="73">
        <f t="shared" si="47"/>
        <v>25</v>
      </c>
      <c r="AK48" s="73">
        <f t="shared" si="48"/>
        <v>25</v>
      </c>
      <c r="AL48" s="73">
        <f t="shared" si="49"/>
        <v>25</v>
      </c>
      <c r="AM48" s="73">
        <f t="shared" si="50"/>
        <v>25</v>
      </c>
      <c r="AO48" s="20">
        <f t="shared" si="33"/>
        <v>66</v>
      </c>
      <c r="AP48" s="20">
        <f t="shared" si="51"/>
        <v>2</v>
      </c>
      <c r="AQ48" s="18">
        <f t="shared" si="52"/>
        <v>17.500000000000004</v>
      </c>
      <c r="AR48" s="18">
        <f t="shared" si="53"/>
        <v>17.499999999999982</v>
      </c>
      <c r="AS48" s="73">
        <f t="shared" si="54"/>
        <v>25</v>
      </c>
      <c r="AT48" s="73">
        <f t="shared" si="55"/>
        <v>25</v>
      </c>
      <c r="AU48" s="73">
        <f t="shared" si="34"/>
        <v>17.500000000000004</v>
      </c>
      <c r="AV48" s="73">
        <f t="shared" si="35"/>
        <v>17.500000000000004</v>
      </c>
      <c r="AX48" s="5">
        <f>Premie_leeftijd!J47</f>
        <v>6.986867921969675E-3</v>
      </c>
      <c r="AY48" s="5"/>
      <c r="AZ48" s="54">
        <v>41</v>
      </c>
      <c r="BA48" s="54">
        <f t="shared" si="56"/>
        <v>91</v>
      </c>
      <c r="BB48" s="54">
        <f t="shared" si="57"/>
        <v>91</v>
      </c>
      <c r="BC48" s="54" t="b">
        <f t="shared" si="63"/>
        <v>1</v>
      </c>
      <c r="BD48" s="54">
        <f t="shared" si="58"/>
        <v>17.500000000000004</v>
      </c>
      <c r="BE48" s="54">
        <f t="shared" si="59"/>
        <v>17.499999999999993</v>
      </c>
      <c r="BF48" s="54">
        <f t="shared" si="60"/>
        <v>25</v>
      </c>
      <c r="BG48" s="54">
        <f t="shared" si="61"/>
        <v>25</v>
      </c>
      <c r="BH48" s="54">
        <f t="shared" si="62"/>
        <v>17.500000000000004</v>
      </c>
    </row>
    <row r="49" spans="1:60" s="3" customFormat="1" x14ac:dyDescent="0.25">
      <c r="A49" s="3">
        <f>Grondslag!A44</f>
        <v>67</v>
      </c>
      <c r="B49" s="19">
        <v>1</v>
      </c>
      <c r="C49" s="3">
        <f t="shared" si="38"/>
        <v>67</v>
      </c>
      <c r="D49" s="3">
        <f>B49*Grondslag!I44</f>
        <v>50</v>
      </c>
      <c r="E49" s="3">
        <f>B49*(Grondslag!I44 - voltijdfranchise/1000 )</f>
        <v>35</v>
      </c>
      <c r="F49" s="3">
        <f t="shared" si="3"/>
        <v>0.58139534883720934</v>
      </c>
      <c r="G49" s="63">
        <f>1</f>
        <v>1</v>
      </c>
      <c r="H49" s="3">
        <f>SUMPRODUCT(F$7:F49, G$7:G49)/G49</f>
        <v>24.999999999999979</v>
      </c>
      <c r="I49" s="63">
        <v>0</v>
      </c>
      <c r="K49" s="3">
        <f t="shared" si="64"/>
        <v>0</v>
      </c>
      <c r="L49" s="3">
        <f t="shared" si="64"/>
        <v>0</v>
      </c>
      <c r="M49" s="3">
        <f>Settings!$I$3*D49</f>
        <v>25</v>
      </c>
      <c r="N49" s="3">
        <f>Settings!$I$7*MAX($D49 - x*voltijdfranchise/1000*(Premie_leeftijd!T48=0),0)</f>
        <v>25</v>
      </c>
      <c r="O49" s="3">
        <f>Settings!$I$7*MAX($D49 - x*voltijdfranchise/1000*(Premie_leeftijd!U48=0),0)</f>
        <v>25</v>
      </c>
      <c r="P49" s="3">
        <f>Settings!$I$3*D49*(1-Premie_leeftijd!R48)</f>
        <v>25</v>
      </c>
      <c r="Q49" s="3">
        <f t="shared" si="65"/>
        <v>7.4999999999999964</v>
      </c>
      <c r="S49" s="35" cm="1">
        <f t="array" ref="S49">SUMPRODUCT(Premie_leeftijd!AL$6:AL48, 1/Premie_leeftijd!AJ$6:AJ48, E$7:E49, G$7:G49)/G49 + Premie_leeftijd!AN49*E49</f>
        <v>17.500000000000004</v>
      </c>
      <c r="T49" s="3">
        <f t="shared" si="5"/>
        <v>17.499999999999982</v>
      </c>
      <c r="U49" s="38" cm="1">
        <f t="array" ref="U49">E49*Premie_leeftijd!CG48/Premie_leeftijd!CE48 + U48*(1+reele_index_opb)</f>
        <v>17.500000000000004</v>
      </c>
      <c r="V49" s="38" cm="1">
        <f t="array" ref="V49">E49*Premie_leeftijd!BY48/Premie_leeftijd!BW48 + V48*(1+reele_index_opb)</f>
        <v>17.500000000000004</v>
      </c>
      <c r="W49" s="35">
        <f>Premie_leeftijd!AL48*E49/Premie_leeftijd!AJ48 + W48*(1+reele_index_opb)</f>
        <v>17.500000000000004</v>
      </c>
      <c r="X49" s="35"/>
      <c r="Y49" s="35">
        <f t="shared" si="32"/>
        <v>67</v>
      </c>
      <c r="Z49" s="35">
        <f t="shared" si="39"/>
        <v>17.500000000000004</v>
      </c>
      <c r="AA49" s="35">
        <f t="shared" si="40"/>
        <v>17.499999999999982</v>
      </c>
      <c r="AB49" s="35">
        <f t="shared" si="41"/>
        <v>25</v>
      </c>
      <c r="AC49" s="35">
        <f t="shared" si="42"/>
        <v>25</v>
      </c>
      <c r="AD49" s="35">
        <f t="shared" si="10"/>
        <v>25</v>
      </c>
      <c r="AE49" s="35">
        <f t="shared" si="43"/>
        <v>25</v>
      </c>
      <c r="AG49" s="3">
        <f t="shared" si="44"/>
        <v>0</v>
      </c>
      <c r="AH49" s="3">
        <f t="shared" si="45"/>
        <v>17.500000000000004</v>
      </c>
      <c r="AI49" s="3">
        <f t="shared" si="46"/>
        <v>17.499999999999982</v>
      </c>
      <c r="AJ49" s="3">
        <f t="shared" si="47"/>
        <v>25</v>
      </c>
      <c r="AK49" s="3">
        <f t="shared" si="48"/>
        <v>25</v>
      </c>
      <c r="AL49" s="3">
        <f t="shared" si="49"/>
        <v>25</v>
      </c>
      <c r="AM49" s="3">
        <f t="shared" si="50"/>
        <v>25</v>
      </c>
      <c r="AO49" s="35">
        <f t="shared" si="33"/>
        <v>67</v>
      </c>
      <c r="AP49" s="35">
        <f t="shared" si="51"/>
        <v>1</v>
      </c>
      <c r="AQ49" s="3">
        <f t="shared" si="52"/>
        <v>17.500000000000004</v>
      </c>
      <c r="AR49" s="3">
        <f t="shared" si="53"/>
        <v>17.499999999999982</v>
      </c>
      <c r="AS49" s="3">
        <f t="shared" si="54"/>
        <v>25</v>
      </c>
      <c r="AT49" s="3">
        <f t="shared" si="55"/>
        <v>25</v>
      </c>
      <c r="AU49" s="3">
        <f t="shared" si="34"/>
        <v>17.500000000000004</v>
      </c>
      <c r="AV49" s="3">
        <f t="shared" si="35"/>
        <v>17.500000000000004</v>
      </c>
      <c r="AX49" s="12">
        <f>Premie_leeftijd!J48</f>
        <v>7.4672383536364961E-3</v>
      </c>
      <c r="AY49" s="12"/>
      <c r="AZ49" s="67">
        <v>42</v>
      </c>
      <c r="BA49" s="54">
        <f t="shared" si="56"/>
        <v>92</v>
      </c>
      <c r="BB49" s="67">
        <f t="shared" si="57"/>
        <v>92</v>
      </c>
      <c r="BC49" s="54" t="b">
        <f t="shared" si="63"/>
        <v>1</v>
      </c>
      <c r="BD49" s="54">
        <f t="shared" si="58"/>
        <v>17.500000000000004</v>
      </c>
      <c r="BE49" s="54">
        <f t="shared" si="59"/>
        <v>17.499999999999993</v>
      </c>
      <c r="BF49" s="54">
        <f t="shared" si="60"/>
        <v>25</v>
      </c>
      <c r="BG49" s="54">
        <f t="shared" si="61"/>
        <v>25</v>
      </c>
      <c r="BH49" s="54">
        <f t="shared" si="62"/>
        <v>17.500000000000004</v>
      </c>
    </row>
    <row r="50" spans="1:60" x14ac:dyDescent="0.25">
      <c r="A50" s="73">
        <f>Grondslag!A45</f>
        <v>68</v>
      </c>
      <c r="C50" s="73">
        <f t="shared" si="38"/>
        <v>68</v>
      </c>
      <c r="J50" s="73"/>
      <c r="K50" s="18">
        <f t="shared" si="64"/>
        <v>0</v>
      </c>
      <c r="L50" s="18">
        <f t="shared" si="64"/>
        <v>0</v>
      </c>
      <c r="M50" s="18">
        <f>Settings!$I$3*D50</f>
        <v>0</v>
      </c>
      <c r="N50" s="18">
        <f>Settings!$I$7*MAX($D50 - x*voltijdfranchise/1000*(Premie_leeftijd!T49=0),0)</f>
        <v>0</v>
      </c>
      <c r="O50" s="18">
        <f>Settings!$I$7*MAX($D50 - x*voltijdfranchise/1000*(Premie_leeftijd!U49=0),0)</f>
        <v>0</v>
      </c>
      <c r="P50" s="18">
        <f>Settings!$I$3*D50*(1-Premie_leeftijd!R49)</f>
        <v>0</v>
      </c>
      <c r="Q50" s="73">
        <f t="shared" si="65"/>
        <v>0</v>
      </c>
      <c r="S50" s="20" cm="1">
        <f t="array" ref="S50">S49*(1+reele_index_opb)</f>
        <v>17.500000000000004</v>
      </c>
      <c r="T50" s="20" cm="1">
        <f t="array" ref="T50">T49*(1+reele_index_opb)</f>
        <v>17.499999999999982</v>
      </c>
      <c r="U50" s="39" cm="1">
        <f t="array" ref="U50">U49*(1+reele_index_opb)</f>
        <v>17.500000000000004</v>
      </c>
      <c r="V50" s="20" cm="1">
        <f t="array" ref="V50">V49*(1+reele_index_opb)</f>
        <v>17.500000000000004</v>
      </c>
      <c r="W50" s="20" cm="1">
        <f t="array" ref="W50">W49*(1+reele_index_opb)</f>
        <v>17.500000000000004</v>
      </c>
      <c r="X50" s="20"/>
      <c r="Y50" s="20">
        <f t="shared" si="32"/>
        <v>68</v>
      </c>
      <c r="Z50" s="41">
        <f t="shared" si="39"/>
        <v>17.500000000000004</v>
      </c>
      <c r="AA50" s="41">
        <f t="shared" si="40"/>
        <v>17.499999999999982</v>
      </c>
      <c r="AB50" s="20">
        <f t="shared" si="41"/>
        <v>17.500000000000004</v>
      </c>
      <c r="AC50" s="20">
        <f t="shared" si="42"/>
        <v>17.500000000000004</v>
      </c>
      <c r="AD50" s="20">
        <f t="shared" ref="AD50:AD82" si="66">V50</f>
        <v>17.500000000000004</v>
      </c>
      <c r="AE50" s="20">
        <f t="shared" si="43"/>
        <v>17.500000000000004</v>
      </c>
      <c r="AG50" s="73">
        <f t="shared" si="44"/>
        <v>0</v>
      </c>
      <c r="AH50" s="73">
        <f t="shared" si="45"/>
        <v>17.500000000000004</v>
      </c>
      <c r="AI50" s="73">
        <f t="shared" si="46"/>
        <v>17.499999999999982</v>
      </c>
      <c r="AJ50" s="73">
        <f t="shared" si="47"/>
        <v>17.500000000000004</v>
      </c>
      <c r="AK50" s="73">
        <f t="shared" si="48"/>
        <v>17.500000000000004</v>
      </c>
      <c r="AL50" s="73">
        <f t="shared" si="49"/>
        <v>17.500000000000004</v>
      </c>
      <c r="AM50" s="73">
        <f t="shared" si="50"/>
        <v>17.500000000000004</v>
      </c>
      <c r="AO50" s="20">
        <f t="shared" si="33"/>
        <v>68</v>
      </c>
      <c r="AP50" s="20">
        <f t="shared" si="51"/>
        <v>0</v>
      </c>
      <c r="AQ50" s="18">
        <f t="shared" si="52"/>
        <v>17.500000000000004</v>
      </c>
      <c r="AR50" s="18">
        <f t="shared" si="53"/>
        <v>17.499999999999982</v>
      </c>
      <c r="AS50" s="73">
        <f t="shared" si="54"/>
        <v>17.500000000000004</v>
      </c>
      <c r="AT50" s="73">
        <f t="shared" si="55"/>
        <v>17.500000000000004</v>
      </c>
      <c r="AU50" s="73">
        <f>AQ50</f>
        <v>17.500000000000004</v>
      </c>
      <c r="AV50" s="73">
        <f>AQ50</f>
        <v>17.500000000000004</v>
      </c>
      <c r="AX50" s="5">
        <f>Premie_leeftijd!J49</f>
        <v>7.8395428298303482E-3</v>
      </c>
      <c r="AY50" s="5"/>
      <c r="AZ50" s="67">
        <v>43</v>
      </c>
      <c r="BA50" s="54">
        <f t="shared" si="56"/>
        <v>93</v>
      </c>
      <c r="BB50" s="67">
        <f t="shared" si="57"/>
        <v>93</v>
      </c>
      <c r="BC50" s="54" t="b">
        <f t="shared" si="63"/>
        <v>1</v>
      </c>
      <c r="BD50" s="54">
        <f t="shared" si="58"/>
        <v>17.500000000000004</v>
      </c>
      <c r="BE50" s="54">
        <f t="shared" si="59"/>
        <v>17.499999999999993</v>
      </c>
      <c r="BF50" s="54">
        <f t="shared" si="60"/>
        <v>25</v>
      </c>
      <c r="BG50" s="54">
        <f t="shared" si="61"/>
        <v>25</v>
      </c>
      <c r="BH50" s="54">
        <f t="shared" si="62"/>
        <v>17.500000000000004</v>
      </c>
    </row>
    <row r="51" spans="1:60" x14ac:dyDescent="0.25">
      <c r="A51" s="73">
        <f>Grondslag!A46</f>
        <v>69</v>
      </c>
      <c r="C51" s="73">
        <f t="shared" si="38"/>
        <v>69</v>
      </c>
      <c r="J51" s="73"/>
      <c r="K51" s="18">
        <f t="shared" si="64"/>
        <v>0</v>
      </c>
      <c r="L51" s="18">
        <f t="shared" si="64"/>
        <v>0</v>
      </c>
      <c r="M51" s="18">
        <f>Settings!$I$3*D51</f>
        <v>0</v>
      </c>
      <c r="N51" s="18">
        <f>Settings!$I$7*MAX($D51 - x*voltijdfranchise/1000*(Premie_leeftijd!T50=0),0)</f>
        <v>0</v>
      </c>
      <c r="O51" s="18">
        <f>Settings!$I$7*MAX($D51 - x*voltijdfranchise/1000*(Premie_leeftijd!U50=0),0)</f>
        <v>0</v>
      </c>
      <c r="P51" s="18">
        <f>Settings!$I$3*D51*(1-Premie_leeftijd!R50)</f>
        <v>0</v>
      </c>
      <c r="Q51" s="73">
        <f t="shared" si="65"/>
        <v>0</v>
      </c>
      <c r="S51" s="20" cm="1">
        <f t="array" ref="S51">S50*(1+reele_index_opb)</f>
        <v>17.500000000000004</v>
      </c>
      <c r="T51" s="20" cm="1">
        <f t="array" ref="T51">T50*(1+reele_index_opb)</f>
        <v>17.499999999999982</v>
      </c>
      <c r="U51" s="39" cm="1">
        <f t="array" ref="U51">U50*(1+reele_index_opb)</f>
        <v>17.500000000000004</v>
      </c>
      <c r="V51" s="20" cm="1">
        <f t="array" ref="V51">V50*(1+reele_index_opb)</f>
        <v>17.500000000000004</v>
      </c>
      <c r="W51" s="20" cm="1">
        <f t="array" ref="W51">W50*(1+reele_index_opb)</f>
        <v>17.500000000000004</v>
      </c>
      <c r="X51" s="20"/>
      <c r="Y51" s="20">
        <f t="shared" si="32"/>
        <v>69</v>
      </c>
      <c r="Z51" s="41">
        <f t="shared" si="39"/>
        <v>17.500000000000004</v>
      </c>
      <c r="AA51" s="41">
        <f t="shared" si="40"/>
        <v>17.499999999999982</v>
      </c>
      <c r="AB51" s="20">
        <f t="shared" si="41"/>
        <v>17.500000000000004</v>
      </c>
      <c r="AC51" s="20">
        <f t="shared" si="42"/>
        <v>17.500000000000004</v>
      </c>
      <c r="AD51" s="20">
        <f t="shared" si="66"/>
        <v>17.500000000000004</v>
      </c>
      <c r="AE51" s="20">
        <f t="shared" si="43"/>
        <v>17.500000000000004</v>
      </c>
      <c r="AG51" s="73">
        <f t="shared" si="44"/>
        <v>0</v>
      </c>
      <c r="AH51" s="73">
        <f t="shared" si="45"/>
        <v>17.500000000000004</v>
      </c>
      <c r="AI51" s="73">
        <f t="shared" si="46"/>
        <v>17.499999999999982</v>
      </c>
      <c r="AJ51" s="73">
        <f t="shared" si="47"/>
        <v>17.500000000000004</v>
      </c>
      <c r="AK51" s="73">
        <f t="shared" si="48"/>
        <v>17.500000000000004</v>
      </c>
      <c r="AL51" s="73">
        <f t="shared" si="49"/>
        <v>17.500000000000004</v>
      </c>
      <c r="AM51" s="73">
        <f t="shared" si="50"/>
        <v>17.500000000000004</v>
      </c>
      <c r="AO51" s="20">
        <f t="shared" si="33"/>
        <v>69</v>
      </c>
      <c r="AP51" s="20">
        <f t="shared" si="51"/>
        <v>0</v>
      </c>
      <c r="AQ51" s="18">
        <f t="shared" si="52"/>
        <v>17.500000000000004</v>
      </c>
      <c r="AR51" s="18">
        <f t="shared" si="53"/>
        <v>17.499999999999982</v>
      </c>
      <c r="AS51" s="73">
        <f t="shared" si="54"/>
        <v>17.500000000000004</v>
      </c>
      <c r="AT51" s="73">
        <f t="shared" si="55"/>
        <v>17.500000000000004</v>
      </c>
      <c r="AU51" s="73">
        <f t="shared" ref="AU51:AU82" si="67">AQ51</f>
        <v>17.500000000000004</v>
      </c>
      <c r="AV51" s="73">
        <f t="shared" ref="AV51:AV82" si="68">AQ51</f>
        <v>17.500000000000004</v>
      </c>
      <c r="AX51" s="5">
        <f>Premie_leeftijd!J50</f>
        <v>8.435843639579832E-3</v>
      </c>
      <c r="AY51" s="5"/>
      <c r="AZ51" s="54">
        <v>44</v>
      </c>
      <c r="BA51" s="54">
        <f t="shared" si="56"/>
        <v>94</v>
      </c>
      <c r="BB51" s="54">
        <f t="shared" si="57"/>
        <v>94</v>
      </c>
      <c r="BC51" s="54" t="b">
        <f t="shared" si="63"/>
        <v>1</v>
      </c>
      <c r="BD51" s="54">
        <f t="shared" si="58"/>
        <v>17.500000000000004</v>
      </c>
      <c r="BE51" s="54">
        <f t="shared" si="59"/>
        <v>17.499999999999993</v>
      </c>
      <c r="BF51" s="54">
        <f t="shared" si="60"/>
        <v>25</v>
      </c>
      <c r="BG51" s="54">
        <f t="shared" si="61"/>
        <v>25</v>
      </c>
      <c r="BH51" s="54">
        <f t="shared" si="62"/>
        <v>17.500000000000004</v>
      </c>
    </row>
    <row r="52" spans="1:60" x14ac:dyDescent="0.25">
      <c r="A52" s="73">
        <f>Grondslag!A47</f>
        <v>70</v>
      </c>
      <c r="C52" s="73">
        <f t="shared" si="38"/>
        <v>70</v>
      </c>
      <c r="J52" s="73"/>
      <c r="K52" s="18">
        <f t="shared" si="64"/>
        <v>0</v>
      </c>
      <c r="L52" s="18">
        <f t="shared" si="64"/>
        <v>0</v>
      </c>
      <c r="M52" s="18">
        <f>Settings!$I$3*D52</f>
        <v>0</v>
      </c>
      <c r="N52" s="18">
        <f>Settings!$I$7*MAX($D52 - x*voltijdfranchise/1000*(Premie_leeftijd!T51=0),0)</f>
        <v>0</v>
      </c>
      <c r="O52" s="18">
        <f>Settings!$I$7*MAX($D52 - x*voltijdfranchise/1000*(Premie_leeftijd!U51=0),0)</f>
        <v>0</v>
      </c>
      <c r="P52" s="18">
        <f>Settings!$I$3*D52*(1-Premie_leeftijd!R51)</f>
        <v>0</v>
      </c>
      <c r="Q52" s="73">
        <f t="shared" si="65"/>
        <v>0</v>
      </c>
      <c r="S52" s="20" cm="1">
        <f t="array" ref="S52">S51*(1+reele_index_opb)</f>
        <v>17.500000000000004</v>
      </c>
      <c r="T52" s="20" cm="1">
        <f t="array" ref="T52">T51*(1+reele_index_opb)</f>
        <v>17.499999999999982</v>
      </c>
      <c r="U52" s="39" cm="1">
        <f t="array" ref="U52">U51*(1+reele_index_opb)</f>
        <v>17.500000000000004</v>
      </c>
      <c r="V52" s="20" cm="1">
        <f t="array" ref="V52">V51*(1+reele_index_opb)</f>
        <v>17.500000000000004</v>
      </c>
      <c r="W52" s="20" cm="1">
        <f t="array" ref="W52">W51*(1+reele_index_opb)</f>
        <v>17.500000000000004</v>
      </c>
      <c r="X52" s="20"/>
      <c r="Y52" s="20">
        <f t="shared" si="32"/>
        <v>70</v>
      </c>
      <c r="Z52" s="41">
        <f t="shared" si="39"/>
        <v>17.500000000000004</v>
      </c>
      <c r="AA52" s="41">
        <f t="shared" si="40"/>
        <v>17.499999999999982</v>
      </c>
      <c r="AB52" s="20">
        <f t="shared" si="41"/>
        <v>17.500000000000004</v>
      </c>
      <c r="AC52" s="20">
        <f t="shared" si="42"/>
        <v>17.500000000000004</v>
      </c>
      <c r="AD52" s="20">
        <f t="shared" si="66"/>
        <v>17.500000000000004</v>
      </c>
      <c r="AE52" s="20">
        <f t="shared" si="43"/>
        <v>17.500000000000004</v>
      </c>
      <c r="AG52" s="73">
        <f t="shared" si="44"/>
        <v>0</v>
      </c>
      <c r="AH52" s="73">
        <f t="shared" si="45"/>
        <v>17.500000000000004</v>
      </c>
      <c r="AI52" s="73">
        <f t="shared" si="46"/>
        <v>17.499999999999982</v>
      </c>
      <c r="AJ52" s="73">
        <f t="shared" si="47"/>
        <v>17.500000000000004</v>
      </c>
      <c r="AK52" s="73">
        <f t="shared" si="48"/>
        <v>17.500000000000004</v>
      </c>
      <c r="AL52" s="73">
        <f t="shared" si="49"/>
        <v>17.500000000000004</v>
      </c>
      <c r="AM52" s="73">
        <f t="shared" si="50"/>
        <v>17.500000000000004</v>
      </c>
      <c r="AO52" s="20">
        <f t="shared" si="33"/>
        <v>70</v>
      </c>
      <c r="AP52" s="20">
        <f t="shared" si="51"/>
        <v>0</v>
      </c>
      <c r="AQ52" s="18">
        <f t="shared" si="52"/>
        <v>17.500000000000004</v>
      </c>
      <c r="AR52" s="18">
        <f t="shared" si="53"/>
        <v>17.499999999999982</v>
      </c>
      <c r="AS52" s="73">
        <f t="shared" si="54"/>
        <v>17.500000000000004</v>
      </c>
      <c r="AT52" s="73">
        <f t="shared" si="55"/>
        <v>17.500000000000004</v>
      </c>
      <c r="AU52" s="73">
        <f t="shared" si="67"/>
        <v>17.500000000000004</v>
      </c>
      <c r="AV52" s="73">
        <f t="shared" si="68"/>
        <v>17.500000000000004</v>
      </c>
      <c r="AX52" s="5">
        <f>Premie_leeftijd!J51</f>
        <v>8.9977848474601663E-3</v>
      </c>
      <c r="AY52" s="5"/>
      <c r="AZ52" s="54">
        <v>45</v>
      </c>
      <c r="BA52" s="54">
        <f t="shared" si="56"/>
        <v>95</v>
      </c>
      <c r="BB52" s="54">
        <f t="shared" si="57"/>
        <v>95</v>
      </c>
      <c r="BC52" s="54" t="b">
        <f t="shared" si="63"/>
        <v>1</v>
      </c>
      <c r="BD52" s="54">
        <f t="shared" si="58"/>
        <v>17.500000000000004</v>
      </c>
      <c r="BE52" s="54">
        <f t="shared" si="59"/>
        <v>17.499999999999993</v>
      </c>
      <c r="BF52" s="54">
        <f t="shared" si="60"/>
        <v>25</v>
      </c>
      <c r="BG52" s="54">
        <f t="shared" si="61"/>
        <v>25</v>
      </c>
      <c r="BH52" s="54">
        <f t="shared" si="62"/>
        <v>17.500000000000004</v>
      </c>
    </row>
    <row r="53" spans="1:60" x14ac:dyDescent="0.25">
      <c r="A53" s="73">
        <f>Grondslag!A48</f>
        <v>71</v>
      </c>
      <c r="C53" s="73">
        <f t="shared" si="38"/>
        <v>71</v>
      </c>
      <c r="J53" s="73"/>
      <c r="K53" s="18">
        <f t="shared" si="64"/>
        <v>0</v>
      </c>
      <c r="L53" s="18">
        <f t="shared" si="64"/>
        <v>0</v>
      </c>
      <c r="M53" s="18">
        <f>Settings!$I$3*D53</f>
        <v>0</v>
      </c>
      <c r="N53" s="18">
        <f>Settings!$I$7*MAX($D53 - x*voltijdfranchise/1000*(Premie_leeftijd!T52=0),0)</f>
        <v>0</v>
      </c>
      <c r="O53" s="18">
        <f>Settings!$I$7*MAX($D53 - x*voltijdfranchise/1000*(Premie_leeftijd!U52=0),0)</f>
        <v>0</v>
      </c>
      <c r="P53" s="18">
        <f>Settings!$I$3*D53*(1-Premie_leeftijd!R52)</f>
        <v>0</v>
      </c>
      <c r="Q53" s="73">
        <f t="shared" si="65"/>
        <v>0</v>
      </c>
      <c r="S53" s="20" cm="1">
        <f t="array" ref="S53">S52*(1+reele_index_opb)</f>
        <v>17.500000000000004</v>
      </c>
      <c r="T53" s="20" cm="1">
        <f t="array" ref="T53">T52*(1+reele_index_opb)</f>
        <v>17.499999999999982</v>
      </c>
      <c r="U53" s="39" cm="1">
        <f t="array" ref="U53">U52*(1+reele_index_opb)</f>
        <v>17.500000000000004</v>
      </c>
      <c r="V53" s="20" cm="1">
        <f t="array" ref="V53">V52*(1+reele_index_opb)</f>
        <v>17.500000000000004</v>
      </c>
      <c r="W53" s="20" cm="1">
        <f t="array" ref="W53">W52*(1+reele_index_opb)</f>
        <v>17.500000000000004</v>
      </c>
      <c r="X53" s="20"/>
      <c r="Y53" s="20">
        <f t="shared" si="32"/>
        <v>71</v>
      </c>
      <c r="Z53" s="41">
        <f t="shared" si="39"/>
        <v>17.500000000000004</v>
      </c>
      <c r="AA53" s="41">
        <f t="shared" si="40"/>
        <v>17.499999999999982</v>
      </c>
      <c r="AB53" s="20">
        <f t="shared" si="41"/>
        <v>17.500000000000004</v>
      </c>
      <c r="AC53" s="20">
        <f t="shared" si="42"/>
        <v>17.500000000000004</v>
      </c>
      <c r="AD53" s="20">
        <f t="shared" si="66"/>
        <v>17.500000000000004</v>
      </c>
      <c r="AE53" s="20">
        <f t="shared" si="43"/>
        <v>17.500000000000004</v>
      </c>
      <c r="AG53" s="73">
        <f t="shared" si="44"/>
        <v>0</v>
      </c>
      <c r="AH53" s="73">
        <f t="shared" si="45"/>
        <v>17.500000000000004</v>
      </c>
      <c r="AI53" s="73">
        <f t="shared" si="46"/>
        <v>17.499999999999982</v>
      </c>
      <c r="AJ53" s="73">
        <f t="shared" si="47"/>
        <v>17.500000000000004</v>
      </c>
      <c r="AK53" s="73">
        <f t="shared" si="48"/>
        <v>17.500000000000004</v>
      </c>
      <c r="AL53" s="73">
        <f t="shared" si="49"/>
        <v>17.500000000000004</v>
      </c>
      <c r="AM53" s="73">
        <f t="shared" si="50"/>
        <v>17.500000000000004</v>
      </c>
      <c r="AO53" s="20">
        <f t="shared" si="33"/>
        <v>71</v>
      </c>
      <c r="AP53" s="20">
        <f t="shared" si="51"/>
        <v>0</v>
      </c>
      <c r="AQ53" s="18">
        <f t="shared" si="52"/>
        <v>17.500000000000004</v>
      </c>
      <c r="AR53" s="18">
        <f t="shared" si="53"/>
        <v>17.499999999999982</v>
      </c>
      <c r="AS53" s="73">
        <f t="shared" si="54"/>
        <v>17.500000000000004</v>
      </c>
      <c r="AT53" s="73">
        <f t="shared" si="55"/>
        <v>17.500000000000004</v>
      </c>
      <c r="AU53" s="73">
        <f t="shared" si="67"/>
        <v>17.500000000000004</v>
      </c>
      <c r="AV53" s="73">
        <f t="shared" si="68"/>
        <v>17.500000000000004</v>
      </c>
      <c r="AX53" s="5">
        <f>Premie_leeftijd!J52</f>
        <v>9.5480695390682824E-3</v>
      </c>
      <c r="AY53" s="5"/>
      <c r="AZ53" s="54">
        <v>46</v>
      </c>
      <c r="BA53" s="54">
        <f t="shared" si="56"/>
        <v>96</v>
      </c>
      <c r="BB53" s="54">
        <f t="shared" si="57"/>
        <v>96</v>
      </c>
      <c r="BC53" s="54" t="b">
        <f t="shared" si="63"/>
        <v>1</v>
      </c>
      <c r="BD53" s="54">
        <f t="shared" si="58"/>
        <v>17.500000000000004</v>
      </c>
      <c r="BE53" s="54">
        <f t="shared" si="59"/>
        <v>17.499999999999993</v>
      </c>
      <c r="BF53" s="54">
        <f t="shared" si="60"/>
        <v>25</v>
      </c>
      <c r="BG53" s="54">
        <f t="shared" si="61"/>
        <v>25</v>
      </c>
      <c r="BH53" s="54">
        <f t="shared" si="62"/>
        <v>17.500000000000004</v>
      </c>
    </row>
    <row r="54" spans="1:60" x14ac:dyDescent="0.25">
      <c r="A54" s="73">
        <f>Grondslag!A49</f>
        <v>72</v>
      </c>
      <c r="C54" s="73">
        <f t="shared" si="38"/>
        <v>72</v>
      </c>
      <c r="J54" s="73"/>
      <c r="K54" s="18">
        <f t="shared" si="64"/>
        <v>0</v>
      </c>
      <c r="L54" s="18">
        <f t="shared" si="64"/>
        <v>0</v>
      </c>
      <c r="M54" s="18">
        <f>Settings!$I$3*D54</f>
        <v>0</v>
      </c>
      <c r="N54" s="18">
        <f>Settings!$I$7*MAX($D54 - x*voltijdfranchise/1000*(Premie_leeftijd!T53=0),0)</f>
        <v>0</v>
      </c>
      <c r="O54" s="18">
        <f>Settings!$I$7*MAX($D54 - x*voltijdfranchise/1000*(Premie_leeftijd!U53=0),0)</f>
        <v>0</v>
      </c>
      <c r="P54" s="18">
        <f>Settings!$I$3*D54*(1-Premie_leeftijd!R53)</f>
        <v>0</v>
      </c>
      <c r="Q54" s="73">
        <f t="shared" si="65"/>
        <v>0</v>
      </c>
      <c r="S54" s="20" cm="1">
        <f t="array" ref="S54">S53*(1+reele_index_opb)</f>
        <v>17.500000000000004</v>
      </c>
      <c r="T54" s="20" cm="1">
        <f t="array" ref="T54">T53*(1+reele_index_opb)</f>
        <v>17.499999999999982</v>
      </c>
      <c r="U54" s="39" cm="1">
        <f t="array" ref="U54">U53*(1+reele_index_opb)</f>
        <v>17.500000000000004</v>
      </c>
      <c r="V54" s="20" cm="1">
        <f t="array" ref="V54">V53*(1+reele_index_opb)</f>
        <v>17.500000000000004</v>
      </c>
      <c r="W54" s="20" cm="1">
        <f t="array" ref="W54">W53*(1+reele_index_opb)</f>
        <v>17.500000000000004</v>
      </c>
      <c r="X54" s="20"/>
      <c r="Y54" s="20">
        <f t="shared" si="32"/>
        <v>72</v>
      </c>
      <c r="Z54" s="41">
        <f t="shared" si="39"/>
        <v>17.500000000000004</v>
      </c>
      <c r="AA54" s="41">
        <f t="shared" si="40"/>
        <v>17.499999999999982</v>
      </c>
      <c r="AB54" s="20">
        <f t="shared" si="41"/>
        <v>17.500000000000004</v>
      </c>
      <c r="AC54" s="20">
        <f t="shared" si="42"/>
        <v>17.500000000000004</v>
      </c>
      <c r="AD54" s="20">
        <f t="shared" si="66"/>
        <v>17.500000000000004</v>
      </c>
      <c r="AE54" s="20">
        <f t="shared" si="43"/>
        <v>17.500000000000004</v>
      </c>
      <c r="AG54" s="73">
        <f t="shared" si="44"/>
        <v>0</v>
      </c>
      <c r="AH54" s="73">
        <f t="shared" si="45"/>
        <v>17.500000000000004</v>
      </c>
      <c r="AI54" s="73">
        <f t="shared" si="46"/>
        <v>17.499999999999982</v>
      </c>
      <c r="AJ54" s="73">
        <f t="shared" si="47"/>
        <v>17.500000000000004</v>
      </c>
      <c r="AK54" s="73">
        <f t="shared" si="48"/>
        <v>17.500000000000004</v>
      </c>
      <c r="AL54" s="73">
        <f t="shared" si="49"/>
        <v>17.500000000000004</v>
      </c>
      <c r="AM54" s="73">
        <f t="shared" si="50"/>
        <v>17.500000000000004</v>
      </c>
      <c r="AO54" s="20">
        <f t="shared" si="33"/>
        <v>72</v>
      </c>
      <c r="AP54" s="20">
        <f t="shared" si="51"/>
        <v>0</v>
      </c>
      <c r="AQ54" s="18">
        <f t="shared" si="52"/>
        <v>17.500000000000004</v>
      </c>
      <c r="AR54" s="18">
        <f t="shared" si="53"/>
        <v>17.499999999999982</v>
      </c>
      <c r="AS54" s="73">
        <f t="shared" si="54"/>
        <v>17.500000000000004</v>
      </c>
      <c r="AT54" s="73">
        <f t="shared" si="55"/>
        <v>17.500000000000004</v>
      </c>
      <c r="AU54" s="73">
        <f t="shared" si="67"/>
        <v>17.500000000000004</v>
      </c>
      <c r="AV54" s="73">
        <f t="shared" si="68"/>
        <v>17.500000000000004</v>
      </c>
      <c r="AX54" s="5">
        <f>Premie_leeftijd!J53</f>
        <v>1.0324757651126837E-2</v>
      </c>
      <c r="AY54" s="5"/>
      <c r="AZ54" s="54">
        <v>47</v>
      </c>
      <c r="BA54" s="54">
        <f t="shared" si="56"/>
        <v>97</v>
      </c>
      <c r="BB54" s="54">
        <f t="shared" si="57"/>
        <v>97</v>
      </c>
      <c r="BC54" s="54" t="b">
        <f t="shared" si="63"/>
        <v>1</v>
      </c>
      <c r="BD54" s="54">
        <f t="shared" si="58"/>
        <v>17.500000000000004</v>
      </c>
      <c r="BE54" s="54">
        <f t="shared" si="59"/>
        <v>17.499999999999993</v>
      </c>
      <c r="BF54" s="54">
        <f t="shared" si="60"/>
        <v>25</v>
      </c>
      <c r="BG54" s="54">
        <f t="shared" si="61"/>
        <v>25</v>
      </c>
      <c r="BH54" s="54">
        <f t="shared" si="62"/>
        <v>17.500000000000004</v>
      </c>
    </row>
    <row r="55" spans="1:60" x14ac:dyDescent="0.25">
      <c r="A55" s="73">
        <f>Grondslag!A50</f>
        <v>73</v>
      </c>
      <c r="C55" s="73">
        <f t="shared" si="38"/>
        <v>73</v>
      </c>
      <c r="J55" s="73"/>
      <c r="K55" s="18">
        <f t="shared" si="64"/>
        <v>0</v>
      </c>
      <c r="L55" s="18">
        <f t="shared" si="64"/>
        <v>0</v>
      </c>
      <c r="M55" s="18">
        <f>Settings!$I$3*D55</f>
        <v>0</v>
      </c>
      <c r="N55" s="18">
        <f>Settings!$I$7*MAX($D55 - x*voltijdfranchise/1000*(Premie_leeftijd!T54=0),0)</f>
        <v>0</v>
      </c>
      <c r="O55" s="18">
        <f>Settings!$I$7*MAX($D55 - x*voltijdfranchise/1000*(Premie_leeftijd!U54=0),0)</f>
        <v>0</v>
      </c>
      <c r="P55" s="18">
        <f>Settings!$I$3*D55*(1-Premie_leeftijd!R54)</f>
        <v>0</v>
      </c>
      <c r="Q55" s="73">
        <f t="shared" si="65"/>
        <v>0</v>
      </c>
      <c r="S55" s="20" cm="1">
        <f t="array" ref="S55">S54*(1+reele_index_opb)</f>
        <v>17.500000000000004</v>
      </c>
      <c r="T55" s="20" cm="1">
        <f t="array" ref="T55">T54*(1+reele_index_opb)</f>
        <v>17.499999999999982</v>
      </c>
      <c r="U55" s="39" cm="1">
        <f t="array" ref="U55">U54*(1+reele_index_opb)</f>
        <v>17.500000000000004</v>
      </c>
      <c r="V55" s="20" cm="1">
        <f t="array" ref="V55">V54*(1+reele_index_opb)</f>
        <v>17.500000000000004</v>
      </c>
      <c r="W55" s="20" cm="1">
        <f t="array" ref="W55">W54*(1+reele_index_opb)</f>
        <v>17.500000000000004</v>
      </c>
      <c r="X55" s="20"/>
      <c r="Y55" s="20">
        <f t="shared" si="32"/>
        <v>73</v>
      </c>
      <c r="Z55" s="41">
        <f t="shared" si="39"/>
        <v>17.500000000000004</v>
      </c>
      <c r="AA55" s="41">
        <f t="shared" si="40"/>
        <v>17.499999999999982</v>
      </c>
      <c r="AB55" s="20">
        <f t="shared" si="41"/>
        <v>17.500000000000004</v>
      </c>
      <c r="AC55" s="20">
        <f t="shared" si="42"/>
        <v>17.500000000000004</v>
      </c>
      <c r="AD55" s="20">
        <f t="shared" si="66"/>
        <v>17.500000000000004</v>
      </c>
      <c r="AE55" s="20">
        <f t="shared" si="43"/>
        <v>17.500000000000004</v>
      </c>
      <c r="AG55" s="73">
        <f t="shared" si="44"/>
        <v>0</v>
      </c>
      <c r="AH55" s="73">
        <f t="shared" si="45"/>
        <v>17.500000000000004</v>
      </c>
      <c r="AI55" s="73">
        <f t="shared" si="46"/>
        <v>17.499999999999982</v>
      </c>
      <c r="AJ55" s="73">
        <f t="shared" si="47"/>
        <v>17.500000000000004</v>
      </c>
      <c r="AK55" s="73">
        <f t="shared" si="48"/>
        <v>17.500000000000004</v>
      </c>
      <c r="AL55" s="73">
        <f t="shared" si="49"/>
        <v>17.500000000000004</v>
      </c>
      <c r="AM55" s="73">
        <f t="shared" si="50"/>
        <v>17.500000000000004</v>
      </c>
      <c r="AO55" s="20">
        <f t="shared" si="33"/>
        <v>73</v>
      </c>
      <c r="AP55" s="20">
        <f t="shared" si="51"/>
        <v>0</v>
      </c>
      <c r="AQ55" s="18">
        <f t="shared" si="52"/>
        <v>17.500000000000004</v>
      </c>
      <c r="AR55" s="18">
        <f t="shared" si="53"/>
        <v>17.499999999999982</v>
      </c>
      <c r="AS55" s="73">
        <f t="shared" si="54"/>
        <v>17.500000000000004</v>
      </c>
      <c r="AT55" s="73">
        <f t="shared" si="55"/>
        <v>17.500000000000004</v>
      </c>
      <c r="AU55" s="73">
        <f t="shared" si="67"/>
        <v>17.500000000000004</v>
      </c>
      <c r="AV55" s="73">
        <f t="shared" si="68"/>
        <v>17.500000000000004</v>
      </c>
      <c r="AX55" s="5">
        <f>Premie_leeftijd!J54</f>
        <v>1.1035216000229386E-2</v>
      </c>
      <c r="AY55" s="5"/>
      <c r="AZ55" s="54">
        <v>48</v>
      </c>
      <c r="BA55" s="54">
        <f t="shared" si="56"/>
        <v>98</v>
      </c>
      <c r="BB55" s="54">
        <f t="shared" si="57"/>
        <v>98</v>
      </c>
      <c r="BC55" s="54" t="b">
        <f t="shared" si="63"/>
        <v>1</v>
      </c>
      <c r="BD55" s="54">
        <f t="shared" si="58"/>
        <v>17.500000000000004</v>
      </c>
      <c r="BE55" s="54">
        <f t="shared" si="59"/>
        <v>17.499999999999993</v>
      </c>
      <c r="BF55" s="54">
        <f t="shared" si="60"/>
        <v>25</v>
      </c>
      <c r="BG55" s="54">
        <f t="shared" si="61"/>
        <v>25</v>
      </c>
      <c r="BH55" s="54">
        <f t="shared" si="62"/>
        <v>17.500000000000004</v>
      </c>
    </row>
    <row r="56" spans="1:60" x14ac:dyDescent="0.25">
      <c r="A56" s="73">
        <f>Grondslag!A51</f>
        <v>74</v>
      </c>
      <c r="C56" s="73">
        <f t="shared" si="38"/>
        <v>74</v>
      </c>
      <c r="J56" s="73"/>
      <c r="K56" s="18">
        <f t="shared" si="64"/>
        <v>0</v>
      </c>
      <c r="L56" s="18">
        <f t="shared" si="64"/>
        <v>0</v>
      </c>
      <c r="M56" s="18">
        <f>Settings!$I$3*D56</f>
        <v>0</v>
      </c>
      <c r="N56" s="18">
        <f>Settings!$I$7*MAX($D56 - x*voltijdfranchise/1000*(Premie_leeftijd!T55=0),0)</f>
        <v>0</v>
      </c>
      <c r="O56" s="18">
        <f>Settings!$I$7*MAX($D56 - x*voltijdfranchise/1000*(Premie_leeftijd!U55=0),0)</f>
        <v>0</v>
      </c>
      <c r="P56" s="18">
        <f>Settings!$I$3*D56*(1-Premie_leeftijd!R55)</f>
        <v>0</v>
      </c>
      <c r="Q56" s="73">
        <f t="shared" si="65"/>
        <v>0</v>
      </c>
      <c r="S56" s="20" cm="1">
        <f t="array" ref="S56">S55*(1+reele_index_opb)</f>
        <v>17.500000000000004</v>
      </c>
      <c r="T56" s="20" cm="1">
        <f t="array" ref="T56">T55*(1+reele_index_opb)</f>
        <v>17.499999999999982</v>
      </c>
      <c r="U56" s="39" cm="1">
        <f t="array" ref="U56">U55*(1+reele_index_opb)</f>
        <v>17.500000000000004</v>
      </c>
      <c r="V56" s="20" cm="1">
        <f t="array" ref="V56">V55*(1+reele_index_opb)</f>
        <v>17.500000000000004</v>
      </c>
      <c r="W56" s="20" cm="1">
        <f t="array" ref="W56">W55*(1+reele_index_opb)</f>
        <v>17.500000000000004</v>
      </c>
      <c r="X56" s="20"/>
      <c r="Y56" s="20">
        <f t="shared" si="32"/>
        <v>74</v>
      </c>
      <c r="Z56" s="41">
        <f t="shared" si="39"/>
        <v>17.500000000000004</v>
      </c>
      <c r="AA56" s="41">
        <f t="shared" si="40"/>
        <v>17.499999999999982</v>
      </c>
      <c r="AB56" s="20">
        <f t="shared" si="41"/>
        <v>17.500000000000004</v>
      </c>
      <c r="AC56" s="20">
        <f t="shared" si="42"/>
        <v>17.500000000000004</v>
      </c>
      <c r="AD56" s="20">
        <f t="shared" si="66"/>
        <v>17.500000000000004</v>
      </c>
      <c r="AE56" s="20">
        <f t="shared" si="43"/>
        <v>17.500000000000004</v>
      </c>
      <c r="AG56" s="73">
        <f t="shared" si="44"/>
        <v>0</v>
      </c>
      <c r="AH56" s="73">
        <f t="shared" si="45"/>
        <v>17.500000000000004</v>
      </c>
      <c r="AI56" s="73">
        <f t="shared" si="46"/>
        <v>17.499999999999982</v>
      </c>
      <c r="AJ56" s="73">
        <f t="shared" si="47"/>
        <v>17.500000000000004</v>
      </c>
      <c r="AK56" s="73">
        <f t="shared" si="48"/>
        <v>17.500000000000004</v>
      </c>
      <c r="AL56" s="73">
        <f t="shared" si="49"/>
        <v>17.500000000000004</v>
      </c>
      <c r="AM56" s="73">
        <f t="shared" si="50"/>
        <v>17.500000000000004</v>
      </c>
      <c r="AO56" s="20">
        <f t="shared" si="33"/>
        <v>74</v>
      </c>
      <c r="AP56" s="20">
        <f t="shared" si="51"/>
        <v>0</v>
      </c>
      <c r="AQ56" s="18">
        <f t="shared" si="52"/>
        <v>17.500000000000004</v>
      </c>
      <c r="AR56" s="18">
        <f t="shared" si="53"/>
        <v>17.499999999999982</v>
      </c>
      <c r="AS56" s="73">
        <f t="shared" si="54"/>
        <v>17.500000000000004</v>
      </c>
      <c r="AT56" s="73">
        <f t="shared" si="55"/>
        <v>17.500000000000004</v>
      </c>
      <c r="AU56" s="73">
        <f t="shared" si="67"/>
        <v>17.500000000000004</v>
      </c>
      <c r="AV56" s="73">
        <f t="shared" si="68"/>
        <v>17.500000000000004</v>
      </c>
      <c r="AX56" s="5">
        <f>Premie_leeftijd!J55</f>
        <v>1.1896309910591096E-2</v>
      </c>
      <c r="AY56" s="5"/>
      <c r="AZ56" s="54">
        <v>49</v>
      </c>
      <c r="BA56" s="54">
        <f t="shared" si="56"/>
        <v>99</v>
      </c>
      <c r="BB56" s="54">
        <f t="shared" si="57"/>
        <v>99</v>
      </c>
      <c r="BC56" s="54" t="b">
        <f t="shared" si="63"/>
        <v>1</v>
      </c>
      <c r="BD56" s="54">
        <f t="shared" si="58"/>
        <v>17.500000000000004</v>
      </c>
      <c r="BE56" s="54">
        <f t="shared" si="59"/>
        <v>17.499999999999993</v>
      </c>
      <c r="BF56" s="54">
        <f t="shared" si="60"/>
        <v>25</v>
      </c>
      <c r="BG56" s="54">
        <f t="shared" si="61"/>
        <v>25</v>
      </c>
      <c r="BH56" s="54">
        <f t="shared" si="62"/>
        <v>17.500000000000004</v>
      </c>
    </row>
    <row r="57" spans="1:60" x14ac:dyDescent="0.25">
      <c r="A57" s="73">
        <f>Grondslag!A52</f>
        <v>75</v>
      </c>
      <c r="C57" s="73">
        <f t="shared" si="38"/>
        <v>75</v>
      </c>
      <c r="J57" s="73"/>
      <c r="K57" s="18">
        <f t="shared" si="64"/>
        <v>0</v>
      </c>
      <c r="L57" s="18">
        <f t="shared" si="64"/>
        <v>0</v>
      </c>
      <c r="M57" s="18">
        <f>Settings!$I$3*D57</f>
        <v>0</v>
      </c>
      <c r="N57" s="18">
        <f>Settings!$I$7*MAX($D57 - x*voltijdfranchise/1000*(Premie_leeftijd!T56=0),0)</f>
        <v>0</v>
      </c>
      <c r="O57" s="18">
        <f>Settings!$I$7*MAX($D57 - x*voltijdfranchise/1000*(Premie_leeftijd!U56=0),0)</f>
        <v>0</v>
      </c>
      <c r="P57" s="18">
        <f>Settings!$I$3*D57*(1-Premie_leeftijd!R56)</f>
        <v>0</v>
      </c>
      <c r="Q57" s="73">
        <f t="shared" si="65"/>
        <v>0</v>
      </c>
      <c r="S57" s="20" cm="1">
        <f t="array" ref="S57">S56*(1+reele_index_opb)</f>
        <v>17.500000000000004</v>
      </c>
      <c r="T57" s="20" cm="1">
        <f t="array" ref="T57">T56*(1+reele_index_opb)</f>
        <v>17.499999999999982</v>
      </c>
      <c r="U57" s="39" cm="1">
        <f t="array" ref="U57">U56*(1+reele_index_opb)</f>
        <v>17.500000000000004</v>
      </c>
      <c r="V57" s="20" cm="1">
        <f t="array" ref="V57">V56*(1+reele_index_opb)</f>
        <v>17.500000000000004</v>
      </c>
      <c r="W57" s="20" cm="1">
        <f t="array" ref="W57">W56*(1+reele_index_opb)</f>
        <v>17.500000000000004</v>
      </c>
      <c r="X57" s="20"/>
      <c r="Y57" s="20">
        <f t="shared" si="32"/>
        <v>75</v>
      </c>
      <c r="Z57" s="41">
        <f t="shared" si="39"/>
        <v>17.500000000000004</v>
      </c>
      <c r="AA57" s="41">
        <f t="shared" si="40"/>
        <v>17.499999999999982</v>
      </c>
      <c r="AB57" s="20">
        <f t="shared" si="41"/>
        <v>17.500000000000004</v>
      </c>
      <c r="AC57" s="20">
        <f t="shared" si="42"/>
        <v>17.500000000000004</v>
      </c>
      <c r="AD57" s="20">
        <f t="shared" si="66"/>
        <v>17.500000000000004</v>
      </c>
      <c r="AE57" s="20">
        <f t="shared" si="43"/>
        <v>17.500000000000004</v>
      </c>
      <c r="AG57" s="73">
        <f t="shared" si="44"/>
        <v>0</v>
      </c>
      <c r="AH57" s="73">
        <f t="shared" si="45"/>
        <v>17.500000000000004</v>
      </c>
      <c r="AI57" s="73">
        <f t="shared" si="46"/>
        <v>17.499999999999982</v>
      </c>
      <c r="AJ57" s="73">
        <f t="shared" si="47"/>
        <v>17.500000000000004</v>
      </c>
      <c r="AK57" s="73">
        <f t="shared" si="48"/>
        <v>17.500000000000004</v>
      </c>
      <c r="AL57" s="73">
        <f t="shared" si="49"/>
        <v>17.500000000000004</v>
      </c>
      <c r="AM57" s="73">
        <f t="shared" si="50"/>
        <v>17.500000000000004</v>
      </c>
      <c r="AO57" s="20">
        <f t="shared" si="33"/>
        <v>75</v>
      </c>
      <c r="AP57" s="20">
        <f t="shared" si="51"/>
        <v>0</v>
      </c>
      <c r="AQ57" s="18">
        <f t="shared" si="52"/>
        <v>17.500000000000004</v>
      </c>
      <c r="AR57" s="18">
        <f t="shared" si="53"/>
        <v>17.499999999999982</v>
      </c>
      <c r="AS57" s="73">
        <f t="shared" si="54"/>
        <v>17.500000000000004</v>
      </c>
      <c r="AT57" s="73">
        <f t="shared" si="55"/>
        <v>17.500000000000004</v>
      </c>
      <c r="AU57" s="73">
        <f t="shared" si="67"/>
        <v>17.500000000000004</v>
      </c>
      <c r="AV57" s="73">
        <f t="shared" si="68"/>
        <v>17.500000000000004</v>
      </c>
      <c r="AX57" s="5">
        <f>Premie_leeftijd!J56</f>
        <v>1.2802909292977782E-2</v>
      </c>
      <c r="AY57" s="5"/>
      <c r="AZ57" s="54">
        <v>50</v>
      </c>
      <c r="BA57" s="54">
        <f t="shared" si="56"/>
        <v>100</v>
      </c>
      <c r="BB57" s="54">
        <f t="shared" si="57"/>
        <v>100</v>
      </c>
      <c r="BC57" s="54" t="b">
        <f t="shared" si="63"/>
        <v>1</v>
      </c>
      <c r="BD57" s="54">
        <f t="shared" si="58"/>
        <v>17.500000000000004</v>
      </c>
      <c r="BE57" s="54">
        <f t="shared" si="59"/>
        <v>17.499999999999993</v>
      </c>
      <c r="BF57" s="54">
        <f t="shared" si="60"/>
        <v>25</v>
      </c>
      <c r="BG57" s="54">
        <f t="shared" si="61"/>
        <v>25</v>
      </c>
      <c r="BH57" s="54">
        <f t="shared" si="62"/>
        <v>17.500000000000004</v>
      </c>
    </row>
    <row r="58" spans="1:60" x14ac:dyDescent="0.25">
      <c r="A58" s="73">
        <f>Grondslag!A53</f>
        <v>76</v>
      </c>
      <c r="C58" s="73">
        <f t="shared" si="38"/>
        <v>76</v>
      </c>
      <c r="J58" s="73"/>
      <c r="K58" s="18">
        <f t="shared" si="64"/>
        <v>0</v>
      </c>
      <c r="L58" s="18">
        <f t="shared" si="64"/>
        <v>0</v>
      </c>
      <c r="M58" s="18">
        <f>Settings!$I$3*D58</f>
        <v>0</v>
      </c>
      <c r="N58" s="18">
        <f>Settings!$I$7*MAX($D58 - x*voltijdfranchise/1000*(Premie_leeftijd!T57=0),0)</f>
        <v>0</v>
      </c>
      <c r="O58" s="18">
        <f>Settings!$I$7*MAX($D58 - x*voltijdfranchise/1000*(Premie_leeftijd!U57=0),0)</f>
        <v>0</v>
      </c>
      <c r="P58" s="18">
        <f>Settings!$I$3*D58*(1-Premie_leeftijd!R57)</f>
        <v>0</v>
      </c>
      <c r="Q58" s="73">
        <f t="shared" si="65"/>
        <v>0</v>
      </c>
      <c r="S58" s="20" cm="1">
        <f t="array" ref="S58">S57*(1+reele_index_opb)</f>
        <v>17.500000000000004</v>
      </c>
      <c r="T58" s="20" cm="1">
        <f t="array" ref="T58">T57*(1+reele_index_opb)</f>
        <v>17.499999999999982</v>
      </c>
      <c r="U58" s="39" cm="1">
        <f t="array" ref="U58">U57*(1+reele_index_opb)</f>
        <v>17.500000000000004</v>
      </c>
      <c r="V58" s="20" cm="1">
        <f t="array" ref="V58">V57*(1+reele_index_opb)</f>
        <v>17.500000000000004</v>
      </c>
      <c r="W58" s="20" cm="1">
        <f t="array" ref="W58">W57*(1+reele_index_opb)</f>
        <v>17.500000000000004</v>
      </c>
      <c r="X58" s="20"/>
      <c r="Y58" s="20">
        <f t="shared" si="32"/>
        <v>76</v>
      </c>
      <c r="Z58" s="41">
        <f t="shared" si="39"/>
        <v>17.500000000000004</v>
      </c>
      <c r="AA58" s="41">
        <f t="shared" si="40"/>
        <v>17.499999999999982</v>
      </c>
      <c r="AB58" s="20">
        <f t="shared" si="41"/>
        <v>17.500000000000004</v>
      </c>
      <c r="AC58" s="20">
        <f t="shared" si="42"/>
        <v>17.500000000000004</v>
      </c>
      <c r="AD58" s="20">
        <f t="shared" si="66"/>
        <v>17.500000000000004</v>
      </c>
      <c r="AE58" s="20">
        <f t="shared" si="43"/>
        <v>17.500000000000004</v>
      </c>
      <c r="AG58" s="73">
        <f t="shared" si="44"/>
        <v>0</v>
      </c>
      <c r="AH58" s="73">
        <f t="shared" si="45"/>
        <v>17.500000000000004</v>
      </c>
      <c r="AI58" s="73">
        <f t="shared" si="46"/>
        <v>17.499999999999982</v>
      </c>
      <c r="AJ58" s="73">
        <f t="shared" si="47"/>
        <v>17.500000000000004</v>
      </c>
      <c r="AK58" s="73">
        <f t="shared" si="48"/>
        <v>17.500000000000004</v>
      </c>
      <c r="AL58" s="73">
        <f t="shared" si="49"/>
        <v>17.500000000000004</v>
      </c>
      <c r="AM58" s="73">
        <f t="shared" si="50"/>
        <v>17.500000000000004</v>
      </c>
      <c r="AO58" s="20">
        <f t="shared" si="33"/>
        <v>76</v>
      </c>
      <c r="AP58" s="20">
        <f t="shared" si="51"/>
        <v>0</v>
      </c>
      <c r="AQ58" s="18">
        <f t="shared" si="52"/>
        <v>17.500000000000004</v>
      </c>
      <c r="AR58" s="18">
        <f t="shared" si="53"/>
        <v>17.499999999999982</v>
      </c>
      <c r="AS58" s="73">
        <f t="shared" si="54"/>
        <v>17.500000000000004</v>
      </c>
      <c r="AT58" s="73">
        <f t="shared" si="55"/>
        <v>17.500000000000004</v>
      </c>
      <c r="AU58" s="73">
        <f t="shared" si="67"/>
        <v>17.500000000000004</v>
      </c>
      <c r="AV58" s="73">
        <f t="shared" si="68"/>
        <v>17.500000000000004</v>
      </c>
      <c r="AX58" s="5">
        <f>Premie_leeftijd!J57</f>
        <v>1.3858569917281516E-2</v>
      </c>
      <c r="AY58" s="5"/>
      <c r="AZ58" s="54">
        <v>51</v>
      </c>
      <c r="BA58" s="54">
        <f t="shared" si="56"/>
        <v>101</v>
      </c>
      <c r="BB58" s="54">
        <f t="shared" si="57"/>
        <v>101</v>
      </c>
      <c r="BC58" s="54" t="b">
        <f t="shared" si="63"/>
        <v>1</v>
      </c>
      <c r="BD58" s="54">
        <f t="shared" si="58"/>
        <v>17.500000000000004</v>
      </c>
      <c r="BE58" s="54">
        <f t="shared" si="59"/>
        <v>17.499999999999993</v>
      </c>
      <c r="BF58" s="54">
        <f t="shared" si="60"/>
        <v>25</v>
      </c>
      <c r="BG58" s="54">
        <f t="shared" si="61"/>
        <v>25</v>
      </c>
      <c r="BH58" s="54">
        <f t="shared" si="62"/>
        <v>17.500000000000004</v>
      </c>
    </row>
    <row r="59" spans="1:60" x14ac:dyDescent="0.25">
      <c r="A59" s="73">
        <f>Grondslag!A54</f>
        <v>77</v>
      </c>
      <c r="C59" s="73">
        <f t="shared" si="38"/>
        <v>77</v>
      </c>
      <c r="J59" s="73"/>
      <c r="K59" s="18">
        <f t="shared" si="64"/>
        <v>0</v>
      </c>
      <c r="L59" s="18">
        <f t="shared" si="64"/>
        <v>0</v>
      </c>
      <c r="M59" s="18">
        <f>Settings!$I$3*D59</f>
        <v>0</v>
      </c>
      <c r="N59" s="18">
        <f>Settings!$I$7*MAX($D59 - x*voltijdfranchise/1000*(Premie_leeftijd!T58=0),0)</f>
        <v>0</v>
      </c>
      <c r="O59" s="18">
        <f>Settings!$I$7*MAX($D59 - x*voltijdfranchise/1000*(Premie_leeftijd!U58=0),0)</f>
        <v>0</v>
      </c>
      <c r="P59" s="18">
        <f>Settings!$I$3*D59*(1-Premie_leeftijd!R58)</f>
        <v>0</v>
      </c>
      <c r="Q59" s="73">
        <f t="shared" si="65"/>
        <v>0</v>
      </c>
      <c r="S59" s="20" cm="1">
        <f t="array" ref="S59">S58*(1+reele_index_opb)</f>
        <v>17.500000000000004</v>
      </c>
      <c r="T59" s="20" cm="1">
        <f t="array" ref="T59">T58*(1+reele_index_opb)</f>
        <v>17.499999999999982</v>
      </c>
      <c r="U59" s="39" cm="1">
        <f t="array" ref="U59">U58*(1+reele_index_opb)</f>
        <v>17.500000000000004</v>
      </c>
      <c r="V59" s="20" cm="1">
        <f t="array" ref="V59">V58*(1+reele_index_opb)</f>
        <v>17.500000000000004</v>
      </c>
      <c r="W59" s="20" cm="1">
        <f t="array" ref="W59">W58*(1+reele_index_opb)</f>
        <v>17.500000000000004</v>
      </c>
      <c r="X59" s="20"/>
      <c r="Y59" s="20">
        <f t="shared" si="32"/>
        <v>77</v>
      </c>
      <c r="Z59" s="41">
        <f t="shared" si="39"/>
        <v>17.500000000000004</v>
      </c>
      <c r="AA59" s="41">
        <f t="shared" si="40"/>
        <v>17.499999999999982</v>
      </c>
      <c r="AB59" s="20">
        <f t="shared" si="41"/>
        <v>17.500000000000004</v>
      </c>
      <c r="AC59" s="20">
        <f t="shared" si="42"/>
        <v>17.500000000000004</v>
      </c>
      <c r="AD59" s="20">
        <f t="shared" si="66"/>
        <v>17.500000000000004</v>
      </c>
      <c r="AE59" s="20">
        <f t="shared" si="43"/>
        <v>17.500000000000004</v>
      </c>
      <c r="AG59" s="73">
        <f t="shared" si="44"/>
        <v>0</v>
      </c>
      <c r="AH59" s="73">
        <f t="shared" si="45"/>
        <v>17.500000000000004</v>
      </c>
      <c r="AI59" s="73">
        <f t="shared" si="46"/>
        <v>17.499999999999982</v>
      </c>
      <c r="AJ59" s="73">
        <f t="shared" si="47"/>
        <v>17.500000000000004</v>
      </c>
      <c r="AK59" s="73">
        <f t="shared" si="48"/>
        <v>17.500000000000004</v>
      </c>
      <c r="AL59" s="73">
        <f t="shared" si="49"/>
        <v>17.500000000000004</v>
      </c>
      <c r="AM59" s="73">
        <f t="shared" si="50"/>
        <v>17.500000000000004</v>
      </c>
      <c r="AO59" s="20">
        <f t="shared" si="33"/>
        <v>77</v>
      </c>
      <c r="AP59" s="20">
        <f t="shared" si="51"/>
        <v>0</v>
      </c>
      <c r="AQ59" s="18">
        <f t="shared" si="52"/>
        <v>17.500000000000004</v>
      </c>
      <c r="AR59" s="18">
        <f t="shared" si="53"/>
        <v>17.499999999999982</v>
      </c>
      <c r="AS59" s="73">
        <f t="shared" si="54"/>
        <v>17.500000000000004</v>
      </c>
      <c r="AT59" s="73">
        <f t="shared" si="55"/>
        <v>17.500000000000004</v>
      </c>
      <c r="AU59" s="73">
        <f t="shared" si="67"/>
        <v>17.500000000000004</v>
      </c>
      <c r="AV59" s="73">
        <f t="shared" si="68"/>
        <v>17.500000000000004</v>
      </c>
      <c r="AX59" s="5">
        <f>Premie_leeftijd!J58</f>
        <v>1.5109499446698149E-2</v>
      </c>
      <c r="AY59" s="5"/>
      <c r="AZ59" s="54">
        <v>52</v>
      </c>
      <c r="BA59" s="54">
        <f t="shared" si="56"/>
        <v>102</v>
      </c>
      <c r="BB59" s="54">
        <f t="shared" si="57"/>
        <v>102</v>
      </c>
      <c r="BC59" s="54" t="b">
        <f t="shared" si="63"/>
        <v>1</v>
      </c>
      <c r="BD59" s="54">
        <f t="shared" si="58"/>
        <v>17.500000000000004</v>
      </c>
      <c r="BE59" s="54">
        <f t="shared" si="59"/>
        <v>17.499999999999993</v>
      </c>
      <c r="BF59" s="54">
        <f t="shared" si="60"/>
        <v>25</v>
      </c>
      <c r="BG59" s="54">
        <f t="shared" si="61"/>
        <v>25</v>
      </c>
      <c r="BH59" s="54">
        <f t="shared" si="62"/>
        <v>17.500000000000004</v>
      </c>
    </row>
    <row r="60" spans="1:60" x14ac:dyDescent="0.25">
      <c r="A60" s="73">
        <f>Grondslag!A55</f>
        <v>78</v>
      </c>
      <c r="C60" s="73">
        <f t="shared" si="38"/>
        <v>78</v>
      </c>
      <c r="J60" s="73"/>
      <c r="K60" s="18">
        <f t="shared" si="64"/>
        <v>0</v>
      </c>
      <c r="L60" s="18">
        <f t="shared" si="64"/>
        <v>0</v>
      </c>
      <c r="M60" s="18">
        <f>Settings!$I$3*D60</f>
        <v>0</v>
      </c>
      <c r="N60" s="18">
        <f>Settings!$I$7*MAX($D60 - x*voltijdfranchise/1000*(Premie_leeftijd!T59=0),0)</f>
        <v>0</v>
      </c>
      <c r="O60" s="18">
        <f>Settings!$I$7*MAX($D60 - x*voltijdfranchise/1000*(Premie_leeftijd!U59=0),0)</f>
        <v>0</v>
      </c>
      <c r="P60" s="18">
        <f>Settings!$I$3*D60*(1-Premie_leeftijd!R59)</f>
        <v>0</v>
      </c>
      <c r="Q60" s="73">
        <f t="shared" si="65"/>
        <v>0</v>
      </c>
      <c r="S60" s="20" cm="1">
        <f t="array" ref="S60">S59*(1+reele_index_opb)</f>
        <v>17.500000000000004</v>
      </c>
      <c r="T60" s="20" cm="1">
        <f t="array" ref="T60">T59*(1+reele_index_opb)</f>
        <v>17.499999999999982</v>
      </c>
      <c r="U60" s="39" cm="1">
        <f t="array" ref="U60">U59*(1+reele_index_opb)</f>
        <v>17.500000000000004</v>
      </c>
      <c r="V60" s="20" cm="1">
        <f t="array" ref="V60">V59*(1+reele_index_opb)</f>
        <v>17.500000000000004</v>
      </c>
      <c r="W60" s="20" cm="1">
        <f t="array" ref="W60">W59*(1+reele_index_opb)</f>
        <v>17.500000000000004</v>
      </c>
      <c r="X60" s="20"/>
      <c r="Y60" s="20">
        <f t="shared" si="32"/>
        <v>78</v>
      </c>
      <c r="Z60" s="41">
        <f t="shared" si="39"/>
        <v>17.500000000000004</v>
      </c>
      <c r="AA60" s="41">
        <f t="shared" si="40"/>
        <v>17.499999999999982</v>
      </c>
      <c r="AB60" s="20">
        <f t="shared" si="41"/>
        <v>17.500000000000004</v>
      </c>
      <c r="AC60" s="20">
        <f t="shared" si="42"/>
        <v>17.500000000000004</v>
      </c>
      <c r="AD60" s="20">
        <f t="shared" si="66"/>
        <v>17.500000000000004</v>
      </c>
      <c r="AE60" s="20">
        <f t="shared" si="43"/>
        <v>17.500000000000004</v>
      </c>
      <c r="AG60" s="73">
        <f t="shared" si="44"/>
        <v>0</v>
      </c>
      <c r="AH60" s="73">
        <f t="shared" si="45"/>
        <v>17.500000000000004</v>
      </c>
      <c r="AI60" s="73">
        <f t="shared" si="46"/>
        <v>17.499999999999982</v>
      </c>
      <c r="AJ60" s="73">
        <f t="shared" si="47"/>
        <v>17.500000000000004</v>
      </c>
      <c r="AK60" s="73">
        <f t="shared" si="48"/>
        <v>17.500000000000004</v>
      </c>
      <c r="AL60" s="73">
        <f t="shared" si="49"/>
        <v>17.500000000000004</v>
      </c>
      <c r="AM60" s="73">
        <f t="shared" si="50"/>
        <v>17.500000000000004</v>
      </c>
      <c r="AO60" s="20">
        <f t="shared" si="33"/>
        <v>78</v>
      </c>
      <c r="AP60" s="20">
        <f t="shared" si="51"/>
        <v>0</v>
      </c>
      <c r="AQ60" s="18">
        <f t="shared" si="52"/>
        <v>17.500000000000004</v>
      </c>
      <c r="AR60" s="18">
        <f t="shared" si="53"/>
        <v>17.499999999999982</v>
      </c>
      <c r="AS60" s="73">
        <f t="shared" si="54"/>
        <v>17.500000000000004</v>
      </c>
      <c r="AT60" s="73">
        <f t="shared" si="55"/>
        <v>17.500000000000004</v>
      </c>
      <c r="AU60" s="73">
        <f t="shared" si="67"/>
        <v>17.500000000000004</v>
      </c>
      <c r="AV60" s="73">
        <f t="shared" si="68"/>
        <v>17.500000000000004</v>
      </c>
      <c r="AX60" s="5">
        <f>Premie_leeftijd!J59</f>
        <v>1.6466651693575418E-2</v>
      </c>
      <c r="AY60" s="5"/>
      <c r="AZ60" s="54">
        <v>53</v>
      </c>
      <c r="BA60" s="54">
        <f t="shared" si="56"/>
        <v>103</v>
      </c>
      <c r="BB60" s="54">
        <f t="shared" si="57"/>
        <v>103</v>
      </c>
      <c r="BC60" s="54" t="b">
        <f t="shared" si="63"/>
        <v>1</v>
      </c>
      <c r="BD60" s="54">
        <f t="shared" si="58"/>
        <v>17.500000000000004</v>
      </c>
      <c r="BE60" s="54">
        <f t="shared" si="59"/>
        <v>17.499999999999993</v>
      </c>
      <c r="BF60" s="54">
        <f t="shared" si="60"/>
        <v>25</v>
      </c>
      <c r="BG60" s="54">
        <f t="shared" si="61"/>
        <v>25</v>
      </c>
      <c r="BH60" s="54">
        <f t="shared" si="62"/>
        <v>17.500000000000004</v>
      </c>
    </row>
    <row r="61" spans="1:60" x14ac:dyDescent="0.25">
      <c r="A61" s="73">
        <f>Grondslag!A56</f>
        <v>79</v>
      </c>
      <c r="C61" s="73">
        <f t="shared" si="38"/>
        <v>79</v>
      </c>
      <c r="J61" s="73"/>
      <c r="K61" s="18">
        <f t="shared" si="64"/>
        <v>0</v>
      </c>
      <c r="L61" s="18">
        <f t="shared" si="64"/>
        <v>0</v>
      </c>
      <c r="M61" s="18">
        <f>Settings!$I$3*D61</f>
        <v>0</v>
      </c>
      <c r="N61" s="18">
        <f>Settings!$I$7*MAX($D61 - x*voltijdfranchise/1000*(Premie_leeftijd!T60=0),0)</f>
        <v>0</v>
      </c>
      <c r="O61" s="18">
        <f>Settings!$I$7*MAX($D61 - x*voltijdfranchise/1000*(Premie_leeftijd!U60=0),0)</f>
        <v>0</v>
      </c>
      <c r="P61" s="18">
        <f>Settings!$I$3*D61*(1-Premie_leeftijd!R60)</f>
        <v>0</v>
      </c>
      <c r="Q61" s="73">
        <f t="shared" si="65"/>
        <v>0</v>
      </c>
      <c r="S61" s="20" cm="1">
        <f t="array" ref="S61">S60*(1+reele_index_opb)</f>
        <v>17.500000000000004</v>
      </c>
      <c r="T61" s="20" cm="1">
        <f t="array" ref="T61">T60*(1+reele_index_opb)</f>
        <v>17.499999999999982</v>
      </c>
      <c r="U61" s="39" cm="1">
        <f t="array" ref="U61">U60*(1+reele_index_opb)</f>
        <v>17.500000000000004</v>
      </c>
      <c r="V61" s="20" cm="1">
        <f t="array" ref="V61">V60*(1+reele_index_opb)</f>
        <v>17.500000000000004</v>
      </c>
      <c r="W61" s="20" cm="1">
        <f t="array" ref="W61">W60*(1+reele_index_opb)</f>
        <v>17.500000000000004</v>
      </c>
      <c r="X61" s="20"/>
      <c r="Y61" s="20">
        <f t="shared" si="32"/>
        <v>79</v>
      </c>
      <c r="Z61" s="41">
        <f t="shared" si="39"/>
        <v>17.500000000000004</v>
      </c>
      <c r="AA61" s="41">
        <f t="shared" si="40"/>
        <v>17.499999999999982</v>
      </c>
      <c r="AB61" s="20">
        <f t="shared" si="41"/>
        <v>17.500000000000004</v>
      </c>
      <c r="AC61" s="20">
        <f t="shared" si="42"/>
        <v>17.500000000000004</v>
      </c>
      <c r="AD61" s="20">
        <f t="shared" si="66"/>
        <v>17.500000000000004</v>
      </c>
      <c r="AE61" s="20">
        <f t="shared" si="43"/>
        <v>17.500000000000004</v>
      </c>
      <c r="AG61" s="73">
        <f t="shared" si="44"/>
        <v>0</v>
      </c>
      <c r="AH61" s="73">
        <f t="shared" si="45"/>
        <v>17.500000000000004</v>
      </c>
      <c r="AI61" s="73">
        <f t="shared" si="46"/>
        <v>17.499999999999982</v>
      </c>
      <c r="AJ61" s="73">
        <f t="shared" si="47"/>
        <v>17.500000000000004</v>
      </c>
      <c r="AK61" s="73">
        <f t="shared" si="48"/>
        <v>17.500000000000004</v>
      </c>
      <c r="AL61" s="73">
        <f t="shared" si="49"/>
        <v>17.500000000000004</v>
      </c>
      <c r="AM61" s="73">
        <f t="shared" si="50"/>
        <v>17.500000000000004</v>
      </c>
      <c r="AO61" s="20">
        <f t="shared" si="33"/>
        <v>79</v>
      </c>
      <c r="AP61" s="20">
        <f t="shared" si="51"/>
        <v>0</v>
      </c>
      <c r="AQ61" s="18">
        <f t="shared" si="52"/>
        <v>17.500000000000004</v>
      </c>
      <c r="AR61" s="18">
        <f t="shared" si="53"/>
        <v>17.499999999999982</v>
      </c>
      <c r="AS61" s="73">
        <f t="shared" si="54"/>
        <v>17.500000000000004</v>
      </c>
      <c r="AT61" s="73">
        <f t="shared" si="55"/>
        <v>17.500000000000004</v>
      </c>
      <c r="AU61" s="73">
        <f t="shared" si="67"/>
        <v>17.500000000000004</v>
      </c>
      <c r="AV61" s="73">
        <f t="shared" si="68"/>
        <v>17.500000000000004</v>
      </c>
      <c r="AX61" s="5">
        <f>Premie_leeftijd!J60</f>
        <v>1.8137658848708549E-2</v>
      </c>
      <c r="AY61" s="5"/>
      <c r="AZ61" s="54">
        <v>54</v>
      </c>
      <c r="BA61" s="54">
        <f t="shared" si="56"/>
        <v>104</v>
      </c>
      <c r="BB61" s="54">
        <f t="shared" si="57"/>
        <v>104</v>
      </c>
      <c r="BC61" s="54" t="b">
        <f t="shared" si="63"/>
        <v>1</v>
      </c>
      <c r="BD61" s="54">
        <f t="shared" si="58"/>
        <v>17.500000000000004</v>
      </c>
      <c r="BE61" s="54">
        <f t="shared" si="59"/>
        <v>17.499999999999993</v>
      </c>
      <c r="BF61" s="54">
        <f t="shared" si="60"/>
        <v>25</v>
      </c>
      <c r="BG61" s="54">
        <f t="shared" si="61"/>
        <v>25</v>
      </c>
      <c r="BH61" s="54">
        <f t="shared" si="62"/>
        <v>17.500000000000004</v>
      </c>
    </row>
    <row r="62" spans="1:60" x14ac:dyDescent="0.25">
      <c r="A62" s="73">
        <f>Grondslag!A57</f>
        <v>80</v>
      </c>
      <c r="C62" s="73">
        <f t="shared" si="38"/>
        <v>80</v>
      </c>
      <c r="J62" s="73"/>
      <c r="K62" s="18">
        <f t="shared" si="64"/>
        <v>0</v>
      </c>
      <c r="L62" s="18">
        <f t="shared" si="64"/>
        <v>0</v>
      </c>
      <c r="M62" s="18">
        <f>Settings!$I$3*D62</f>
        <v>0</v>
      </c>
      <c r="N62" s="18">
        <f>Settings!$I$7*MAX($D62 - x*voltijdfranchise/1000*(Premie_leeftijd!T61=0),0)</f>
        <v>0</v>
      </c>
      <c r="O62" s="18">
        <f>Settings!$I$7*MAX($D62 - x*voltijdfranchise/1000*(Premie_leeftijd!U61=0),0)</f>
        <v>0</v>
      </c>
      <c r="P62" s="18">
        <f>Settings!$I$3*D62*(1-Premie_leeftijd!R61)</f>
        <v>0</v>
      </c>
      <c r="Q62" s="73">
        <f t="shared" si="65"/>
        <v>0</v>
      </c>
      <c r="S62" s="20" cm="1">
        <f t="array" ref="S62">S61*(1+reele_index_opb)</f>
        <v>17.500000000000004</v>
      </c>
      <c r="T62" s="20" cm="1">
        <f t="array" ref="T62">T61*(1+reele_index_opb)</f>
        <v>17.499999999999982</v>
      </c>
      <c r="U62" s="39" cm="1">
        <f t="array" ref="U62">U61*(1+reele_index_opb)</f>
        <v>17.500000000000004</v>
      </c>
      <c r="V62" s="20" cm="1">
        <f t="array" ref="V62">V61*(1+reele_index_opb)</f>
        <v>17.500000000000004</v>
      </c>
      <c r="W62" s="20" cm="1">
        <f t="array" ref="W62">W61*(1+reele_index_opb)</f>
        <v>17.500000000000004</v>
      </c>
      <c r="X62" s="20"/>
      <c r="Y62" s="20">
        <f t="shared" si="32"/>
        <v>80</v>
      </c>
      <c r="Z62" s="41">
        <f t="shared" si="39"/>
        <v>17.500000000000004</v>
      </c>
      <c r="AA62" s="41">
        <f t="shared" si="40"/>
        <v>17.499999999999982</v>
      </c>
      <c r="AB62" s="20">
        <f t="shared" si="41"/>
        <v>17.500000000000004</v>
      </c>
      <c r="AC62" s="20">
        <f t="shared" si="42"/>
        <v>17.500000000000004</v>
      </c>
      <c r="AD62" s="20">
        <f t="shared" si="66"/>
        <v>17.500000000000004</v>
      </c>
      <c r="AE62" s="20">
        <f t="shared" si="43"/>
        <v>17.500000000000004</v>
      </c>
      <c r="AG62" s="73">
        <f t="shared" si="44"/>
        <v>0</v>
      </c>
      <c r="AH62" s="73">
        <f t="shared" si="45"/>
        <v>17.500000000000004</v>
      </c>
      <c r="AI62" s="73">
        <f t="shared" si="46"/>
        <v>17.499999999999982</v>
      </c>
      <c r="AJ62" s="73">
        <f t="shared" si="47"/>
        <v>17.500000000000004</v>
      </c>
      <c r="AK62" s="73">
        <f t="shared" si="48"/>
        <v>17.500000000000004</v>
      </c>
      <c r="AL62" s="73">
        <f t="shared" si="49"/>
        <v>17.500000000000004</v>
      </c>
      <c r="AM62" s="73">
        <f t="shared" si="50"/>
        <v>17.500000000000004</v>
      </c>
      <c r="AO62" s="20">
        <f t="shared" si="33"/>
        <v>80</v>
      </c>
      <c r="AP62" s="20">
        <f t="shared" si="51"/>
        <v>0</v>
      </c>
      <c r="AQ62" s="18">
        <f t="shared" si="52"/>
        <v>17.500000000000004</v>
      </c>
      <c r="AR62" s="18">
        <f t="shared" si="53"/>
        <v>17.499999999999982</v>
      </c>
      <c r="AS62" s="73">
        <f t="shared" si="54"/>
        <v>17.500000000000004</v>
      </c>
      <c r="AT62" s="73">
        <f t="shared" si="55"/>
        <v>17.500000000000004</v>
      </c>
      <c r="AU62" s="73">
        <f t="shared" si="67"/>
        <v>17.500000000000004</v>
      </c>
      <c r="AV62" s="73">
        <f t="shared" si="68"/>
        <v>17.500000000000004</v>
      </c>
      <c r="AX62" s="5">
        <f>Premie_leeftijd!J61</f>
        <v>1.9671552393411451E-2</v>
      </c>
      <c r="AY62" s="5"/>
      <c r="AZ62" s="54">
        <v>55</v>
      </c>
      <c r="BA62" s="54">
        <f t="shared" si="56"/>
        <v>105</v>
      </c>
      <c r="BB62" s="54">
        <f t="shared" si="57"/>
        <v>105</v>
      </c>
      <c r="BC62" s="54" t="b">
        <f t="shared" si="63"/>
        <v>1</v>
      </c>
      <c r="BD62" s="54">
        <f t="shared" si="58"/>
        <v>17.500000000000004</v>
      </c>
      <c r="BE62" s="54">
        <f t="shared" si="59"/>
        <v>17.499999999999993</v>
      </c>
      <c r="BF62" s="54">
        <f t="shared" si="60"/>
        <v>25</v>
      </c>
      <c r="BG62" s="54">
        <f t="shared" si="61"/>
        <v>25</v>
      </c>
      <c r="BH62" s="54">
        <f t="shared" si="62"/>
        <v>17.500000000000004</v>
      </c>
    </row>
    <row r="63" spans="1:60" x14ac:dyDescent="0.25">
      <c r="A63" s="73">
        <f>Grondslag!A58</f>
        <v>81</v>
      </c>
      <c r="C63" s="73">
        <f t="shared" si="38"/>
        <v>81</v>
      </c>
      <c r="J63" s="73"/>
      <c r="K63" s="18">
        <f t="shared" si="64"/>
        <v>0</v>
      </c>
      <c r="L63" s="18">
        <f t="shared" si="64"/>
        <v>0</v>
      </c>
      <c r="M63" s="18">
        <f>Settings!$I$3*D63</f>
        <v>0</v>
      </c>
      <c r="N63" s="18">
        <f>Settings!$I$7*MAX($D63 - x*voltijdfranchise/1000*(Premie_leeftijd!T62=0),0)</f>
        <v>0</v>
      </c>
      <c r="O63" s="18">
        <f>Settings!$I$7*MAX($D63 - x*voltijdfranchise/1000*(Premie_leeftijd!U62=0),0)</f>
        <v>0</v>
      </c>
      <c r="P63" s="18">
        <f>Settings!$I$3*D63*(1-Premie_leeftijd!R62)</f>
        <v>0</v>
      </c>
      <c r="Q63" s="73">
        <f t="shared" si="65"/>
        <v>0</v>
      </c>
      <c r="S63" s="20" cm="1">
        <f t="array" ref="S63">S62*(1+reele_index_opb)</f>
        <v>17.500000000000004</v>
      </c>
      <c r="T63" s="20" cm="1">
        <f t="array" ref="T63">T62*(1+reele_index_opb)</f>
        <v>17.499999999999982</v>
      </c>
      <c r="U63" s="39" cm="1">
        <f t="array" ref="U63">U62*(1+reele_index_opb)</f>
        <v>17.500000000000004</v>
      </c>
      <c r="V63" s="20" cm="1">
        <f t="array" ref="V63">V62*(1+reele_index_opb)</f>
        <v>17.500000000000004</v>
      </c>
      <c r="W63" s="20" cm="1">
        <f t="array" ref="W63">W62*(1+reele_index_opb)</f>
        <v>17.500000000000004</v>
      </c>
      <c r="X63" s="20"/>
      <c r="Y63" s="20">
        <f t="shared" si="32"/>
        <v>81</v>
      </c>
      <c r="Z63" s="41">
        <f t="shared" si="39"/>
        <v>17.500000000000004</v>
      </c>
      <c r="AA63" s="41">
        <f t="shared" si="40"/>
        <v>17.499999999999982</v>
      </c>
      <c r="AB63" s="20">
        <f t="shared" si="41"/>
        <v>17.500000000000004</v>
      </c>
      <c r="AC63" s="20">
        <f t="shared" si="42"/>
        <v>17.500000000000004</v>
      </c>
      <c r="AD63" s="20">
        <f t="shared" si="66"/>
        <v>17.500000000000004</v>
      </c>
      <c r="AE63" s="20">
        <f t="shared" si="43"/>
        <v>17.500000000000004</v>
      </c>
      <c r="AG63" s="73">
        <f t="shared" si="44"/>
        <v>0</v>
      </c>
      <c r="AH63" s="73">
        <f t="shared" si="45"/>
        <v>17.500000000000004</v>
      </c>
      <c r="AI63" s="73">
        <f t="shared" si="46"/>
        <v>17.499999999999982</v>
      </c>
      <c r="AJ63" s="73">
        <f t="shared" si="47"/>
        <v>17.500000000000004</v>
      </c>
      <c r="AK63" s="73">
        <f t="shared" si="48"/>
        <v>17.500000000000004</v>
      </c>
      <c r="AL63" s="73">
        <f t="shared" si="49"/>
        <v>17.500000000000004</v>
      </c>
      <c r="AM63" s="73">
        <f t="shared" si="50"/>
        <v>17.500000000000004</v>
      </c>
      <c r="AO63" s="20">
        <f t="shared" si="33"/>
        <v>81</v>
      </c>
      <c r="AP63" s="20">
        <f t="shared" si="51"/>
        <v>0</v>
      </c>
      <c r="AQ63" s="18">
        <f t="shared" si="52"/>
        <v>17.500000000000004</v>
      </c>
      <c r="AR63" s="18">
        <f t="shared" si="53"/>
        <v>17.499999999999982</v>
      </c>
      <c r="AS63" s="73">
        <f t="shared" si="54"/>
        <v>17.500000000000004</v>
      </c>
      <c r="AT63" s="73">
        <f t="shared" si="55"/>
        <v>17.500000000000004</v>
      </c>
      <c r="AU63" s="73">
        <f t="shared" si="67"/>
        <v>17.500000000000004</v>
      </c>
      <c r="AV63" s="73">
        <f t="shared" si="68"/>
        <v>17.500000000000004</v>
      </c>
      <c r="AX63" s="5">
        <f>Premie_leeftijd!J62</f>
        <v>2.1827525297732242E-2</v>
      </c>
      <c r="AY63" s="5"/>
      <c r="AZ63" s="54">
        <v>56</v>
      </c>
      <c r="BA63" s="54">
        <f t="shared" si="56"/>
        <v>106</v>
      </c>
      <c r="BB63" s="54">
        <f t="shared" si="57"/>
        <v>106</v>
      </c>
      <c r="BC63" s="54" t="b">
        <f t="shared" si="63"/>
        <v>1</v>
      </c>
      <c r="BD63" s="54">
        <f t="shared" si="58"/>
        <v>17.500000000000004</v>
      </c>
      <c r="BE63" s="54">
        <f t="shared" si="59"/>
        <v>17.499999999999993</v>
      </c>
      <c r="BF63" s="54">
        <f t="shared" si="60"/>
        <v>25</v>
      </c>
      <c r="BG63" s="54">
        <f t="shared" si="61"/>
        <v>25</v>
      </c>
      <c r="BH63" s="54">
        <f t="shared" si="62"/>
        <v>17.500000000000004</v>
      </c>
    </row>
    <row r="64" spans="1:60" x14ac:dyDescent="0.25">
      <c r="A64" s="73">
        <f>Grondslag!A59</f>
        <v>82</v>
      </c>
      <c r="C64" s="73">
        <f t="shared" si="38"/>
        <v>82</v>
      </c>
      <c r="J64" s="73"/>
      <c r="K64" s="18">
        <f t="shared" si="64"/>
        <v>0</v>
      </c>
      <c r="L64" s="18">
        <f t="shared" si="64"/>
        <v>0</v>
      </c>
      <c r="M64" s="18">
        <f>Settings!$I$3*D64</f>
        <v>0</v>
      </c>
      <c r="N64" s="18">
        <f>Settings!$I$7*MAX($D64 - x*voltijdfranchise/1000*(Premie_leeftijd!T63=0),0)</f>
        <v>0</v>
      </c>
      <c r="O64" s="18">
        <f>Settings!$I$7*MAX($D64 - x*voltijdfranchise/1000*(Premie_leeftijd!U63=0),0)</f>
        <v>0</v>
      </c>
      <c r="P64" s="18">
        <f>Settings!$I$3*D64*(1-Premie_leeftijd!R63)</f>
        <v>0</v>
      </c>
      <c r="Q64" s="73">
        <f t="shared" si="65"/>
        <v>0</v>
      </c>
      <c r="S64" s="20" cm="1">
        <f t="array" ref="S64">S63*(1+reele_index_opb)</f>
        <v>17.500000000000004</v>
      </c>
      <c r="T64" s="20" cm="1">
        <f t="array" ref="T64">T63*(1+reele_index_opb)</f>
        <v>17.499999999999982</v>
      </c>
      <c r="U64" s="39" cm="1">
        <f t="array" ref="U64">U63*(1+reele_index_opb)</f>
        <v>17.500000000000004</v>
      </c>
      <c r="V64" s="20" cm="1">
        <f t="array" ref="V64">V63*(1+reele_index_opb)</f>
        <v>17.500000000000004</v>
      </c>
      <c r="W64" s="20" cm="1">
        <f t="array" ref="W64">W63*(1+reele_index_opb)</f>
        <v>17.500000000000004</v>
      </c>
      <c r="X64" s="20"/>
      <c r="Y64" s="20">
        <f t="shared" si="32"/>
        <v>82</v>
      </c>
      <c r="Z64" s="41">
        <f t="shared" si="39"/>
        <v>17.500000000000004</v>
      </c>
      <c r="AA64" s="41">
        <f t="shared" si="40"/>
        <v>17.499999999999982</v>
      </c>
      <c r="AB64" s="20">
        <f t="shared" si="41"/>
        <v>17.500000000000004</v>
      </c>
      <c r="AC64" s="20">
        <f t="shared" si="42"/>
        <v>17.500000000000004</v>
      </c>
      <c r="AD64" s="20">
        <f t="shared" si="66"/>
        <v>17.500000000000004</v>
      </c>
      <c r="AE64" s="20">
        <f t="shared" si="43"/>
        <v>17.500000000000004</v>
      </c>
      <c r="AG64" s="73">
        <f t="shared" si="44"/>
        <v>0</v>
      </c>
      <c r="AH64" s="73">
        <f t="shared" si="45"/>
        <v>17.500000000000004</v>
      </c>
      <c r="AI64" s="73">
        <f t="shared" si="46"/>
        <v>17.499999999999982</v>
      </c>
      <c r="AJ64" s="73">
        <f t="shared" si="47"/>
        <v>17.500000000000004</v>
      </c>
      <c r="AK64" s="73">
        <f t="shared" si="48"/>
        <v>17.500000000000004</v>
      </c>
      <c r="AL64" s="73">
        <f t="shared" si="49"/>
        <v>17.500000000000004</v>
      </c>
      <c r="AM64" s="73">
        <f t="shared" si="50"/>
        <v>17.500000000000004</v>
      </c>
      <c r="AO64" s="20">
        <f t="shared" si="33"/>
        <v>82</v>
      </c>
      <c r="AP64" s="20">
        <f t="shared" si="51"/>
        <v>0</v>
      </c>
      <c r="AQ64" s="18">
        <f t="shared" si="52"/>
        <v>17.500000000000004</v>
      </c>
      <c r="AR64" s="18">
        <f t="shared" si="53"/>
        <v>17.499999999999982</v>
      </c>
      <c r="AS64" s="73">
        <f t="shared" si="54"/>
        <v>17.500000000000004</v>
      </c>
      <c r="AT64" s="73">
        <f t="shared" si="55"/>
        <v>17.500000000000004</v>
      </c>
      <c r="AU64" s="73">
        <f t="shared" si="67"/>
        <v>17.500000000000004</v>
      </c>
      <c r="AV64" s="73">
        <f t="shared" si="68"/>
        <v>17.500000000000004</v>
      </c>
      <c r="AX64" s="5">
        <f>Premie_leeftijd!J63</f>
        <v>2.4227969552276796E-2</v>
      </c>
      <c r="AY64" s="5"/>
      <c r="AZ64" s="54">
        <v>57</v>
      </c>
      <c r="BA64" s="54">
        <f t="shared" si="56"/>
        <v>107</v>
      </c>
      <c r="BB64" s="54">
        <f t="shared" si="57"/>
        <v>107</v>
      </c>
      <c r="BC64" s="54" t="b">
        <f t="shared" si="63"/>
        <v>1</v>
      </c>
      <c r="BD64" s="54">
        <f t="shared" si="58"/>
        <v>17.500000000000004</v>
      </c>
      <c r="BE64" s="54">
        <f t="shared" si="59"/>
        <v>17.499999999999993</v>
      </c>
      <c r="BF64" s="54">
        <f t="shared" si="60"/>
        <v>25</v>
      </c>
      <c r="BG64" s="54">
        <f t="shared" si="61"/>
        <v>25</v>
      </c>
      <c r="BH64" s="54">
        <f t="shared" si="62"/>
        <v>17.500000000000004</v>
      </c>
    </row>
    <row r="65" spans="1:60" x14ac:dyDescent="0.25">
      <c r="A65" s="73">
        <f>Grondslag!A60</f>
        <v>83</v>
      </c>
      <c r="C65" s="73">
        <f t="shared" si="38"/>
        <v>83</v>
      </c>
      <c r="J65" s="73"/>
      <c r="K65" s="18">
        <f t="shared" si="64"/>
        <v>0</v>
      </c>
      <c r="L65" s="18">
        <f t="shared" si="64"/>
        <v>0</v>
      </c>
      <c r="M65" s="18">
        <f>Settings!$I$3*D65</f>
        <v>0</v>
      </c>
      <c r="N65" s="18">
        <f>Settings!$I$7*MAX($D65 - x*voltijdfranchise/1000*(Premie_leeftijd!T64=0),0)</f>
        <v>0</v>
      </c>
      <c r="O65" s="18">
        <f>Settings!$I$7*MAX($D65 - x*voltijdfranchise/1000*(Premie_leeftijd!U64=0),0)</f>
        <v>0</v>
      </c>
      <c r="P65" s="18">
        <f>Settings!$I$3*D65*(1-Premie_leeftijd!R64)</f>
        <v>0</v>
      </c>
      <c r="Q65" s="73">
        <f t="shared" si="65"/>
        <v>0</v>
      </c>
      <c r="S65" s="20" cm="1">
        <f t="array" ref="S65">S64*(1+reele_index_opb)</f>
        <v>17.500000000000004</v>
      </c>
      <c r="T65" s="20" cm="1">
        <f t="array" ref="T65">T64*(1+reele_index_opb)</f>
        <v>17.499999999999982</v>
      </c>
      <c r="U65" s="39" cm="1">
        <f t="array" ref="U65">U64*(1+reele_index_opb)</f>
        <v>17.500000000000004</v>
      </c>
      <c r="V65" s="20" cm="1">
        <f t="array" ref="V65">V64*(1+reele_index_opb)</f>
        <v>17.500000000000004</v>
      </c>
      <c r="W65" s="20" cm="1">
        <f t="array" ref="W65">W64*(1+reele_index_opb)</f>
        <v>17.500000000000004</v>
      </c>
      <c r="X65" s="20"/>
      <c r="Y65" s="20">
        <f t="shared" si="32"/>
        <v>83</v>
      </c>
      <c r="Z65" s="41">
        <f t="shared" si="39"/>
        <v>17.500000000000004</v>
      </c>
      <c r="AA65" s="41">
        <f t="shared" si="40"/>
        <v>17.499999999999982</v>
      </c>
      <c r="AB65" s="20">
        <f t="shared" si="41"/>
        <v>17.500000000000004</v>
      </c>
      <c r="AC65" s="20">
        <f t="shared" si="42"/>
        <v>17.500000000000004</v>
      </c>
      <c r="AD65" s="20">
        <f t="shared" si="66"/>
        <v>17.500000000000004</v>
      </c>
      <c r="AE65" s="20">
        <f t="shared" si="43"/>
        <v>17.500000000000004</v>
      </c>
      <c r="AG65" s="73">
        <f t="shared" si="44"/>
        <v>0</v>
      </c>
      <c r="AH65" s="73">
        <f t="shared" si="45"/>
        <v>17.500000000000004</v>
      </c>
      <c r="AI65" s="73">
        <f t="shared" si="46"/>
        <v>17.499999999999982</v>
      </c>
      <c r="AJ65" s="73">
        <f t="shared" si="47"/>
        <v>17.500000000000004</v>
      </c>
      <c r="AK65" s="73">
        <f t="shared" si="48"/>
        <v>17.500000000000004</v>
      </c>
      <c r="AL65" s="73">
        <f t="shared" si="49"/>
        <v>17.500000000000004</v>
      </c>
      <c r="AM65" s="73">
        <f t="shared" si="50"/>
        <v>17.500000000000004</v>
      </c>
      <c r="AO65" s="20">
        <f t="shared" si="33"/>
        <v>83</v>
      </c>
      <c r="AP65" s="20">
        <f t="shared" si="51"/>
        <v>0</v>
      </c>
      <c r="AQ65" s="18">
        <f t="shared" si="52"/>
        <v>17.500000000000004</v>
      </c>
      <c r="AR65" s="18">
        <f t="shared" si="53"/>
        <v>17.499999999999982</v>
      </c>
      <c r="AS65" s="73">
        <f t="shared" si="54"/>
        <v>17.500000000000004</v>
      </c>
      <c r="AT65" s="73">
        <f t="shared" si="55"/>
        <v>17.500000000000004</v>
      </c>
      <c r="AU65" s="73">
        <f t="shared" si="67"/>
        <v>17.500000000000004</v>
      </c>
      <c r="AV65" s="73">
        <f t="shared" si="68"/>
        <v>17.500000000000004</v>
      </c>
      <c r="AX65" s="5">
        <f>Premie_leeftijd!J64</f>
        <v>2.6482648974180623E-2</v>
      </c>
      <c r="AY65" s="5"/>
      <c r="AZ65" s="54">
        <v>58</v>
      </c>
      <c r="BA65" s="54">
        <f t="shared" si="56"/>
        <v>108</v>
      </c>
      <c r="BB65" s="54">
        <f t="shared" si="57"/>
        <v>108</v>
      </c>
      <c r="BC65" s="54" t="b">
        <f t="shared" si="63"/>
        <v>1</v>
      </c>
      <c r="BD65" s="54">
        <f t="shared" si="58"/>
        <v>17.500000000000004</v>
      </c>
      <c r="BE65" s="54">
        <f t="shared" si="59"/>
        <v>17.499999999999993</v>
      </c>
      <c r="BF65" s="54">
        <f t="shared" si="60"/>
        <v>25</v>
      </c>
      <c r="BG65" s="54">
        <f t="shared" si="61"/>
        <v>25</v>
      </c>
      <c r="BH65" s="54">
        <f t="shared" si="62"/>
        <v>17.500000000000004</v>
      </c>
    </row>
    <row r="66" spans="1:60" x14ac:dyDescent="0.25">
      <c r="A66" s="73">
        <f>Grondslag!A61</f>
        <v>84</v>
      </c>
      <c r="C66" s="73">
        <f t="shared" si="38"/>
        <v>84</v>
      </c>
      <c r="J66" s="73"/>
      <c r="K66" s="18">
        <f t="shared" si="64"/>
        <v>0</v>
      </c>
      <c r="L66" s="18">
        <f t="shared" si="64"/>
        <v>0</v>
      </c>
      <c r="M66" s="18">
        <f>Settings!$I$3*D66</f>
        <v>0</v>
      </c>
      <c r="N66" s="18">
        <f>Settings!$I$7*MAX($D66 - x*voltijdfranchise/1000*(Premie_leeftijd!T65=0),0)</f>
        <v>0</v>
      </c>
      <c r="O66" s="18">
        <f>Settings!$I$7*MAX($D66 - x*voltijdfranchise/1000*(Premie_leeftijd!U65=0),0)</f>
        <v>0</v>
      </c>
      <c r="P66" s="18">
        <f>Settings!$I$3*D66*(1-Premie_leeftijd!R65)</f>
        <v>0</v>
      </c>
      <c r="Q66" s="73">
        <f t="shared" si="65"/>
        <v>0</v>
      </c>
      <c r="S66" s="20" cm="1">
        <f t="array" ref="S66">S65*(1+reele_index_opb)</f>
        <v>17.500000000000004</v>
      </c>
      <c r="T66" s="20" cm="1">
        <f t="array" ref="T66">T65*(1+reele_index_opb)</f>
        <v>17.499999999999982</v>
      </c>
      <c r="U66" s="39" cm="1">
        <f t="array" ref="U66">U65*(1+reele_index_opb)</f>
        <v>17.500000000000004</v>
      </c>
      <c r="V66" s="20" cm="1">
        <f t="array" ref="V66">V65*(1+reele_index_opb)</f>
        <v>17.500000000000004</v>
      </c>
      <c r="W66" s="20" cm="1">
        <f t="array" ref="W66">W65*(1+reele_index_opb)</f>
        <v>17.500000000000004</v>
      </c>
      <c r="X66" s="20"/>
      <c r="Y66" s="20">
        <f t="shared" si="32"/>
        <v>84</v>
      </c>
      <c r="Z66" s="41">
        <f t="shared" si="39"/>
        <v>17.500000000000004</v>
      </c>
      <c r="AA66" s="41">
        <f t="shared" si="40"/>
        <v>17.499999999999982</v>
      </c>
      <c r="AB66" s="20">
        <f t="shared" si="41"/>
        <v>17.500000000000004</v>
      </c>
      <c r="AC66" s="20">
        <f t="shared" si="42"/>
        <v>17.500000000000004</v>
      </c>
      <c r="AD66" s="20">
        <f t="shared" si="66"/>
        <v>17.500000000000004</v>
      </c>
      <c r="AE66" s="20">
        <f t="shared" si="43"/>
        <v>17.500000000000004</v>
      </c>
      <c r="AG66" s="73">
        <f t="shared" si="44"/>
        <v>0</v>
      </c>
      <c r="AH66" s="73">
        <f t="shared" si="45"/>
        <v>17.500000000000004</v>
      </c>
      <c r="AI66" s="73">
        <f t="shared" si="46"/>
        <v>17.499999999999982</v>
      </c>
      <c r="AJ66" s="73">
        <f t="shared" si="47"/>
        <v>17.500000000000004</v>
      </c>
      <c r="AK66" s="73">
        <f t="shared" si="48"/>
        <v>17.500000000000004</v>
      </c>
      <c r="AL66" s="73">
        <f t="shared" si="49"/>
        <v>17.500000000000004</v>
      </c>
      <c r="AM66" s="73">
        <f t="shared" si="50"/>
        <v>17.500000000000004</v>
      </c>
      <c r="AO66" s="20">
        <f t="shared" si="33"/>
        <v>84</v>
      </c>
      <c r="AP66" s="20">
        <f t="shared" si="51"/>
        <v>0</v>
      </c>
      <c r="AQ66" s="18">
        <f t="shared" si="52"/>
        <v>17.500000000000004</v>
      </c>
      <c r="AR66" s="18">
        <f t="shared" si="53"/>
        <v>17.499999999999982</v>
      </c>
      <c r="AS66" s="73">
        <f t="shared" si="54"/>
        <v>17.500000000000004</v>
      </c>
      <c r="AT66" s="73">
        <f t="shared" si="55"/>
        <v>17.500000000000004</v>
      </c>
      <c r="AU66" s="73">
        <f t="shared" si="67"/>
        <v>17.500000000000004</v>
      </c>
      <c r="AV66" s="73">
        <f t="shared" si="68"/>
        <v>17.500000000000004</v>
      </c>
      <c r="AX66" s="5">
        <f>Premie_leeftijd!J65</f>
        <v>2.9108816102669466E-2</v>
      </c>
      <c r="AY66" s="5"/>
      <c r="AZ66" s="54">
        <v>59</v>
      </c>
      <c r="BA66" s="54">
        <f t="shared" si="56"/>
        <v>109</v>
      </c>
      <c r="BB66" s="54">
        <f t="shared" si="57"/>
        <v>109</v>
      </c>
      <c r="BC66" s="54" t="b">
        <f t="shared" si="63"/>
        <v>1</v>
      </c>
      <c r="BD66" s="54">
        <f t="shared" si="58"/>
        <v>17.500000000000004</v>
      </c>
      <c r="BE66" s="54">
        <f t="shared" si="59"/>
        <v>17.499999999999993</v>
      </c>
      <c r="BF66" s="54">
        <f t="shared" si="60"/>
        <v>25</v>
      </c>
      <c r="BG66" s="54">
        <f t="shared" si="61"/>
        <v>25</v>
      </c>
      <c r="BH66" s="54">
        <f t="shared" si="62"/>
        <v>17.500000000000004</v>
      </c>
    </row>
    <row r="67" spans="1:60" x14ac:dyDescent="0.25">
      <c r="A67" s="73">
        <f>Grondslag!A62</f>
        <v>85</v>
      </c>
      <c r="C67" s="73">
        <f t="shared" si="38"/>
        <v>85</v>
      </c>
      <c r="J67" s="73"/>
      <c r="K67" s="18">
        <f t="shared" ref="K67:L82" si="69">volledigAnw/1000</f>
        <v>0</v>
      </c>
      <c r="L67" s="18">
        <f t="shared" si="69"/>
        <v>0</v>
      </c>
      <c r="M67" s="18">
        <f>Settings!$I$3*D67</f>
        <v>0</v>
      </c>
      <c r="N67" s="18">
        <f>Settings!$I$7*MAX($D67 - x*voltijdfranchise/1000*(Premie_leeftijd!T66=0),0)</f>
        <v>0</v>
      </c>
      <c r="O67" s="18">
        <f>Settings!$I$7*MAX($D67 - x*voltijdfranchise/1000*(Premie_leeftijd!U66=0),0)</f>
        <v>0</v>
      </c>
      <c r="P67" s="18">
        <f>Settings!$I$3*D67*(1-Premie_leeftijd!R66)</f>
        <v>0</v>
      </c>
      <c r="Q67" s="73">
        <f t="shared" si="65"/>
        <v>0</v>
      </c>
      <c r="S67" s="20" cm="1">
        <f t="array" ref="S67">S66*(1+reele_index_opb)</f>
        <v>17.500000000000004</v>
      </c>
      <c r="T67" s="20" cm="1">
        <f t="array" ref="T67">T66*(1+reele_index_opb)</f>
        <v>17.499999999999982</v>
      </c>
      <c r="U67" s="39" cm="1">
        <f t="array" ref="U67">U66*(1+reele_index_opb)</f>
        <v>17.500000000000004</v>
      </c>
      <c r="V67" s="20" cm="1">
        <f t="array" ref="V67">V66*(1+reele_index_opb)</f>
        <v>17.500000000000004</v>
      </c>
      <c r="W67" s="20" cm="1">
        <f t="array" ref="W67">W66*(1+reele_index_opb)</f>
        <v>17.500000000000004</v>
      </c>
      <c r="X67" s="20"/>
      <c r="Y67" s="20">
        <f t="shared" si="32"/>
        <v>85</v>
      </c>
      <c r="Z67" s="41">
        <f t="shared" si="39"/>
        <v>17.500000000000004</v>
      </c>
      <c r="AA67" s="41">
        <f t="shared" si="40"/>
        <v>17.499999999999982</v>
      </c>
      <c r="AB67" s="20">
        <f t="shared" si="41"/>
        <v>17.500000000000004</v>
      </c>
      <c r="AC67" s="20">
        <f t="shared" si="42"/>
        <v>17.500000000000004</v>
      </c>
      <c r="AD67" s="20">
        <f t="shared" si="66"/>
        <v>17.500000000000004</v>
      </c>
      <c r="AE67" s="20">
        <f t="shared" si="43"/>
        <v>17.500000000000004</v>
      </c>
      <c r="AG67" s="73">
        <f t="shared" si="44"/>
        <v>0</v>
      </c>
      <c r="AH67" s="73">
        <f t="shared" si="45"/>
        <v>17.500000000000004</v>
      </c>
      <c r="AI67" s="73">
        <f t="shared" si="46"/>
        <v>17.499999999999982</v>
      </c>
      <c r="AJ67" s="73">
        <f t="shared" si="47"/>
        <v>17.500000000000004</v>
      </c>
      <c r="AK67" s="73">
        <f t="shared" si="48"/>
        <v>17.500000000000004</v>
      </c>
      <c r="AL67" s="73">
        <f t="shared" si="49"/>
        <v>17.500000000000004</v>
      </c>
      <c r="AM67" s="73">
        <f t="shared" si="50"/>
        <v>17.500000000000004</v>
      </c>
      <c r="AO67" s="20">
        <f t="shared" si="33"/>
        <v>85</v>
      </c>
      <c r="AP67" s="20">
        <f t="shared" si="51"/>
        <v>0</v>
      </c>
      <c r="AQ67" s="18">
        <f t="shared" si="52"/>
        <v>17.500000000000004</v>
      </c>
      <c r="AR67" s="18">
        <f t="shared" si="53"/>
        <v>17.499999999999982</v>
      </c>
      <c r="AS67" s="73">
        <f t="shared" si="54"/>
        <v>17.500000000000004</v>
      </c>
      <c r="AT67" s="73">
        <f t="shared" si="55"/>
        <v>17.500000000000004</v>
      </c>
      <c r="AU67" s="73">
        <f t="shared" si="67"/>
        <v>17.500000000000004</v>
      </c>
      <c r="AV67" s="73">
        <f t="shared" si="68"/>
        <v>17.500000000000004</v>
      </c>
      <c r="AX67" s="5">
        <f>Premie_leeftijd!J66</f>
        <v>3.1584597437560369E-2</v>
      </c>
      <c r="AY67" s="5"/>
      <c r="AZ67" s="54">
        <v>60</v>
      </c>
      <c r="BA67" s="54">
        <f t="shared" si="56"/>
        <v>110</v>
      </c>
      <c r="BB67" s="54">
        <f t="shared" si="57"/>
        <v>110</v>
      </c>
      <c r="BC67" s="54" t="b">
        <f t="shared" si="63"/>
        <v>1</v>
      </c>
      <c r="BD67" s="54">
        <f t="shared" si="58"/>
        <v>17.500000000000004</v>
      </c>
      <c r="BE67" s="54">
        <f t="shared" si="59"/>
        <v>17.499999999999993</v>
      </c>
      <c r="BF67" s="54">
        <f t="shared" si="60"/>
        <v>25</v>
      </c>
      <c r="BG67" s="54">
        <f t="shared" si="61"/>
        <v>25</v>
      </c>
      <c r="BH67" s="54">
        <f t="shared" si="62"/>
        <v>17.500000000000004</v>
      </c>
    </row>
    <row r="68" spans="1:60" x14ac:dyDescent="0.25">
      <c r="A68" s="73">
        <f>Grondslag!A63</f>
        <v>86</v>
      </c>
      <c r="C68" s="73">
        <f t="shared" si="38"/>
        <v>86</v>
      </c>
      <c r="J68" s="73"/>
      <c r="K68" s="18">
        <f t="shared" si="69"/>
        <v>0</v>
      </c>
      <c r="L68" s="18">
        <f t="shared" si="69"/>
        <v>0</v>
      </c>
      <c r="M68" s="18">
        <f>Settings!$I$3*D68</f>
        <v>0</v>
      </c>
      <c r="N68" s="18">
        <f>Settings!$I$7*MAX($D68 - x*voltijdfranchise/1000*(Premie_leeftijd!T67=0),0)</f>
        <v>0</v>
      </c>
      <c r="O68" s="18">
        <f>Settings!$I$7*MAX($D68 - x*voltijdfranchise/1000*(Premie_leeftijd!U67=0),0)</f>
        <v>0</v>
      </c>
      <c r="P68" s="18">
        <f>Settings!$I$3*D68*(1-Premie_leeftijd!R67)</f>
        <v>0</v>
      </c>
      <c r="Q68" s="73">
        <f t="shared" si="65"/>
        <v>0</v>
      </c>
      <c r="S68" s="20" cm="1">
        <f t="array" ref="S68">S67*(1+reele_index_opb)</f>
        <v>17.500000000000004</v>
      </c>
      <c r="T68" s="20" cm="1">
        <f t="array" ref="T68">T67*(1+reele_index_opb)</f>
        <v>17.499999999999982</v>
      </c>
      <c r="U68" s="39" cm="1">
        <f t="array" ref="U68">U67*(1+reele_index_opb)</f>
        <v>17.500000000000004</v>
      </c>
      <c r="V68" s="20" cm="1">
        <f t="array" ref="V68">V67*(1+reele_index_opb)</f>
        <v>17.500000000000004</v>
      </c>
      <c r="W68" s="20" cm="1">
        <f t="array" ref="W68">W67*(1+reele_index_opb)</f>
        <v>17.500000000000004</v>
      </c>
      <c r="X68" s="20"/>
      <c r="Y68" s="20">
        <f t="shared" si="32"/>
        <v>86</v>
      </c>
      <c r="Z68" s="41">
        <f t="shared" si="39"/>
        <v>17.500000000000004</v>
      </c>
      <c r="AA68" s="41">
        <f t="shared" si="40"/>
        <v>17.499999999999982</v>
      </c>
      <c r="AB68" s="20">
        <f t="shared" si="41"/>
        <v>17.500000000000004</v>
      </c>
      <c r="AC68" s="20">
        <f t="shared" si="42"/>
        <v>17.500000000000004</v>
      </c>
      <c r="AD68" s="20">
        <f t="shared" si="66"/>
        <v>17.500000000000004</v>
      </c>
      <c r="AE68" s="20">
        <f t="shared" si="43"/>
        <v>17.500000000000004</v>
      </c>
      <c r="AG68" s="73">
        <f t="shared" si="44"/>
        <v>0</v>
      </c>
      <c r="AH68" s="73">
        <f t="shared" si="45"/>
        <v>17.500000000000004</v>
      </c>
      <c r="AI68" s="73">
        <f t="shared" si="46"/>
        <v>17.499999999999982</v>
      </c>
      <c r="AJ68" s="73">
        <f t="shared" si="47"/>
        <v>17.500000000000004</v>
      </c>
      <c r="AK68" s="73">
        <f t="shared" si="48"/>
        <v>17.500000000000004</v>
      </c>
      <c r="AL68" s="73">
        <f t="shared" si="49"/>
        <v>17.500000000000004</v>
      </c>
      <c r="AM68" s="73">
        <f t="shared" si="50"/>
        <v>17.500000000000004</v>
      </c>
      <c r="AO68" s="20">
        <f t="shared" si="33"/>
        <v>86</v>
      </c>
      <c r="AP68" s="20">
        <f t="shared" si="51"/>
        <v>0</v>
      </c>
      <c r="AQ68" s="18">
        <f t="shared" si="52"/>
        <v>17.500000000000004</v>
      </c>
      <c r="AR68" s="18">
        <f t="shared" si="53"/>
        <v>17.499999999999982</v>
      </c>
      <c r="AS68" s="73">
        <f t="shared" si="54"/>
        <v>17.500000000000004</v>
      </c>
      <c r="AT68" s="73">
        <f t="shared" si="55"/>
        <v>17.500000000000004</v>
      </c>
      <c r="AU68" s="73">
        <f t="shared" si="67"/>
        <v>17.500000000000004</v>
      </c>
      <c r="AV68" s="73">
        <f t="shared" si="68"/>
        <v>17.500000000000004</v>
      </c>
      <c r="AX68" s="5">
        <f>Premie_leeftijd!J67</f>
        <v>3.4540636846747241E-2</v>
      </c>
      <c r="AY68" s="5"/>
      <c r="AZ68" s="54">
        <v>61</v>
      </c>
      <c r="BA68" s="54">
        <f t="shared" si="56"/>
        <v>111</v>
      </c>
      <c r="BB68" s="54">
        <f t="shared" si="57"/>
        <v>111</v>
      </c>
      <c r="BC68" s="54" t="b">
        <f t="shared" si="63"/>
        <v>1</v>
      </c>
      <c r="BD68" s="54">
        <f t="shared" si="58"/>
        <v>17.500000000000004</v>
      </c>
      <c r="BE68" s="54">
        <f t="shared" si="59"/>
        <v>17.499999999999993</v>
      </c>
      <c r="BF68" s="54">
        <f t="shared" si="60"/>
        <v>25</v>
      </c>
      <c r="BG68" s="54">
        <f t="shared" si="61"/>
        <v>25</v>
      </c>
      <c r="BH68" s="54">
        <f t="shared" si="62"/>
        <v>17.500000000000004</v>
      </c>
    </row>
    <row r="69" spans="1:60" x14ac:dyDescent="0.25">
      <c r="A69" s="73">
        <f>Grondslag!A64</f>
        <v>87</v>
      </c>
      <c r="C69" s="73">
        <f t="shared" si="38"/>
        <v>87</v>
      </c>
      <c r="J69" s="73"/>
      <c r="K69" s="18">
        <f t="shared" si="69"/>
        <v>0</v>
      </c>
      <c r="L69" s="18">
        <f t="shared" si="69"/>
        <v>0</v>
      </c>
      <c r="M69" s="18">
        <f>Settings!$I$3*D69</f>
        <v>0</v>
      </c>
      <c r="N69" s="18">
        <f>Settings!$I$7*MAX($D69 - x*voltijdfranchise/1000*(Premie_leeftijd!T68=0),0)</f>
        <v>0</v>
      </c>
      <c r="O69" s="18">
        <f>Settings!$I$7*MAX($D69 - x*voltijdfranchise/1000*(Premie_leeftijd!U68=0),0)</f>
        <v>0</v>
      </c>
      <c r="P69" s="18">
        <f>Settings!$I$3*D69*(1-Premie_leeftijd!R68)</f>
        <v>0</v>
      </c>
      <c r="Q69" s="73">
        <f t="shared" si="65"/>
        <v>0</v>
      </c>
      <c r="S69" s="20" cm="1">
        <f t="array" ref="S69">S68*(1+reele_index_opb)</f>
        <v>17.500000000000004</v>
      </c>
      <c r="T69" s="20" cm="1">
        <f t="array" ref="T69">T68*(1+reele_index_opb)</f>
        <v>17.499999999999982</v>
      </c>
      <c r="U69" s="39" cm="1">
        <f t="array" ref="U69">U68*(1+reele_index_opb)</f>
        <v>17.500000000000004</v>
      </c>
      <c r="V69" s="20" cm="1">
        <f t="array" ref="V69">V68*(1+reele_index_opb)</f>
        <v>17.500000000000004</v>
      </c>
      <c r="W69" s="20" cm="1">
        <f t="array" ref="W69">W68*(1+reele_index_opb)</f>
        <v>17.500000000000004</v>
      </c>
      <c r="X69" s="20"/>
      <c r="Y69" s="20">
        <f t="shared" si="32"/>
        <v>87</v>
      </c>
      <c r="Z69" s="41">
        <f t="shared" si="39"/>
        <v>17.500000000000004</v>
      </c>
      <c r="AA69" s="41">
        <f t="shared" si="40"/>
        <v>17.499999999999982</v>
      </c>
      <c r="AB69" s="20">
        <f t="shared" si="41"/>
        <v>17.500000000000004</v>
      </c>
      <c r="AC69" s="20">
        <f t="shared" si="42"/>
        <v>17.500000000000004</v>
      </c>
      <c r="AD69" s="20">
        <f t="shared" si="66"/>
        <v>17.500000000000004</v>
      </c>
      <c r="AE69" s="20">
        <f t="shared" si="43"/>
        <v>17.500000000000004</v>
      </c>
      <c r="AG69" s="73">
        <f t="shared" si="44"/>
        <v>0</v>
      </c>
      <c r="AH69" s="73">
        <f t="shared" si="45"/>
        <v>17.500000000000004</v>
      </c>
      <c r="AI69" s="73">
        <f t="shared" si="46"/>
        <v>17.499999999999982</v>
      </c>
      <c r="AJ69" s="73">
        <f t="shared" si="47"/>
        <v>17.500000000000004</v>
      </c>
      <c r="AK69" s="73">
        <f t="shared" si="48"/>
        <v>17.500000000000004</v>
      </c>
      <c r="AL69" s="73">
        <f t="shared" si="49"/>
        <v>17.500000000000004</v>
      </c>
      <c r="AM69" s="73">
        <f t="shared" si="50"/>
        <v>17.500000000000004</v>
      </c>
      <c r="AO69" s="20">
        <f t="shared" si="33"/>
        <v>87</v>
      </c>
      <c r="AP69" s="20">
        <f t="shared" si="51"/>
        <v>0</v>
      </c>
      <c r="AQ69" s="18">
        <f t="shared" si="52"/>
        <v>17.500000000000004</v>
      </c>
      <c r="AR69" s="18">
        <f t="shared" si="53"/>
        <v>17.499999999999982</v>
      </c>
      <c r="AS69" s="73">
        <f t="shared" si="54"/>
        <v>17.500000000000004</v>
      </c>
      <c r="AT69" s="73">
        <f t="shared" si="55"/>
        <v>17.500000000000004</v>
      </c>
      <c r="AU69" s="73">
        <f t="shared" si="67"/>
        <v>17.500000000000004</v>
      </c>
      <c r="AV69" s="73">
        <f t="shared" si="68"/>
        <v>17.500000000000004</v>
      </c>
      <c r="AX69" s="5">
        <f>Premie_leeftijd!J68</f>
        <v>3.7556106775584741E-2</v>
      </c>
      <c r="AY69" s="5"/>
      <c r="AZ69" s="54">
        <v>62</v>
      </c>
      <c r="BA69" s="54">
        <f t="shared" si="56"/>
        <v>112</v>
      </c>
      <c r="BB69" s="54">
        <f t="shared" si="57"/>
        <v>112</v>
      </c>
      <c r="BC69" s="54" t="b">
        <f t="shared" si="63"/>
        <v>1</v>
      </c>
      <c r="BD69" s="54">
        <f t="shared" si="58"/>
        <v>17.500000000000004</v>
      </c>
      <c r="BE69" s="54">
        <f t="shared" si="59"/>
        <v>17.499999999999993</v>
      </c>
      <c r="BF69" s="54">
        <f t="shared" si="60"/>
        <v>25</v>
      </c>
      <c r="BG69" s="54">
        <f t="shared" si="61"/>
        <v>25</v>
      </c>
      <c r="BH69" s="54">
        <f t="shared" si="62"/>
        <v>17.500000000000004</v>
      </c>
    </row>
    <row r="70" spans="1:60" x14ac:dyDescent="0.25">
      <c r="A70" s="73">
        <f>Grondslag!A65</f>
        <v>88</v>
      </c>
      <c r="C70" s="73">
        <f t="shared" si="38"/>
        <v>88</v>
      </c>
      <c r="J70" s="73"/>
      <c r="K70" s="18">
        <f t="shared" si="69"/>
        <v>0</v>
      </c>
      <c r="L70" s="18">
        <f t="shared" si="69"/>
        <v>0</v>
      </c>
      <c r="M70" s="18">
        <f>Settings!$I$3*D70</f>
        <v>0</v>
      </c>
      <c r="N70" s="18">
        <f>Settings!$I$7*MAX($D70 - x*voltijdfranchise/1000*(Premie_leeftijd!T69=0),0)</f>
        <v>0</v>
      </c>
      <c r="O70" s="18">
        <f>Settings!$I$7*MAX($D70 - x*voltijdfranchise/1000*(Premie_leeftijd!U69=0),0)</f>
        <v>0</v>
      </c>
      <c r="P70" s="18">
        <f>Settings!$I$3*D70*(1-Premie_leeftijd!R69)</f>
        <v>0</v>
      </c>
      <c r="Q70" s="73">
        <f t="shared" si="65"/>
        <v>0</v>
      </c>
      <c r="S70" s="20" cm="1">
        <f t="array" ref="S70">S69*(1+reele_index_opb)</f>
        <v>17.500000000000004</v>
      </c>
      <c r="T70" s="20" cm="1">
        <f t="array" ref="T70">T69*(1+reele_index_opb)</f>
        <v>17.499999999999982</v>
      </c>
      <c r="U70" s="39" cm="1">
        <f t="array" ref="U70">U69*(1+reele_index_opb)</f>
        <v>17.500000000000004</v>
      </c>
      <c r="V70" s="20" cm="1">
        <f t="array" ref="V70">V69*(1+reele_index_opb)</f>
        <v>17.500000000000004</v>
      </c>
      <c r="W70" s="20" cm="1">
        <f t="array" ref="W70">W69*(1+reele_index_opb)</f>
        <v>17.500000000000004</v>
      </c>
      <c r="X70" s="20"/>
      <c r="Y70" s="20">
        <f t="shared" si="32"/>
        <v>88</v>
      </c>
      <c r="Z70" s="41">
        <f t="shared" si="39"/>
        <v>17.500000000000004</v>
      </c>
      <c r="AA70" s="41">
        <f t="shared" si="40"/>
        <v>17.499999999999982</v>
      </c>
      <c r="AB70" s="20">
        <f t="shared" si="41"/>
        <v>17.500000000000004</v>
      </c>
      <c r="AC70" s="20">
        <f t="shared" si="42"/>
        <v>17.500000000000004</v>
      </c>
      <c r="AD70" s="20">
        <f t="shared" si="66"/>
        <v>17.500000000000004</v>
      </c>
      <c r="AE70" s="20">
        <f t="shared" si="43"/>
        <v>17.500000000000004</v>
      </c>
      <c r="AG70" s="73">
        <f t="shared" si="44"/>
        <v>0</v>
      </c>
      <c r="AH70" s="73">
        <f t="shared" si="45"/>
        <v>17.500000000000004</v>
      </c>
      <c r="AI70" s="73">
        <f t="shared" si="46"/>
        <v>17.499999999999982</v>
      </c>
      <c r="AJ70" s="73">
        <f t="shared" si="47"/>
        <v>17.500000000000004</v>
      </c>
      <c r="AK70" s="73">
        <f t="shared" si="48"/>
        <v>17.500000000000004</v>
      </c>
      <c r="AL70" s="73">
        <f t="shared" si="49"/>
        <v>17.500000000000004</v>
      </c>
      <c r="AM70" s="73">
        <f t="shared" si="50"/>
        <v>17.500000000000004</v>
      </c>
      <c r="AO70" s="20">
        <f t="shared" si="33"/>
        <v>88</v>
      </c>
      <c r="AP70" s="20">
        <f t="shared" si="51"/>
        <v>0</v>
      </c>
      <c r="AQ70" s="18">
        <f t="shared" si="52"/>
        <v>17.500000000000004</v>
      </c>
      <c r="AR70" s="18">
        <f t="shared" si="53"/>
        <v>17.499999999999982</v>
      </c>
      <c r="AS70" s="73">
        <f t="shared" si="54"/>
        <v>17.500000000000004</v>
      </c>
      <c r="AT70" s="73">
        <f t="shared" si="55"/>
        <v>17.500000000000004</v>
      </c>
      <c r="AU70" s="73">
        <f t="shared" si="67"/>
        <v>17.500000000000004</v>
      </c>
      <c r="AV70" s="73">
        <f t="shared" si="68"/>
        <v>17.500000000000004</v>
      </c>
      <c r="AX70" s="5">
        <f>Premie_leeftijd!J69</f>
        <v>4.0438920030085868E-2</v>
      </c>
      <c r="AY70" s="5"/>
      <c r="AZ70" s="54">
        <v>63</v>
      </c>
      <c r="BA70" s="54">
        <f t="shared" si="56"/>
        <v>113</v>
      </c>
      <c r="BB70" s="54">
        <f t="shared" si="57"/>
        <v>113</v>
      </c>
      <c r="BC70" s="54" t="b">
        <f t="shared" si="63"/>
        <v>1</v>
      </c>
      <c r="BD70" s="54">
        <f t="shared" si="58"/>
        <v>17.500000000000004</v>
      </c>
      <c r="BE70" s="54">
        <f t="shared" si="59"/>
        <v>17.499999999999993</v>
      </c>
      <c r="BF70" s="54">
        <f t="shared" si="60"/>
        <v>25</v>
      </c>
      <c r="BG70" s="54">
        <f t="shared" si="61"/>
        <v>25</v>
      </c>
      <c r="BH70" s="54">
        <f t="shared" si="62"/>
        <v>17.500000000000004</v>
      </c>
    </row>
    <row r="71" spans="1:60" x14ac:dyDescent="0.25">
      <c r="A71" s="73">
        <f>Grondslag!A66</f>
        <v>89</v>
      </c>
      <c r="C71" s="73">
        <f t="shared" ref="C71:C82" si="70">A71+(geb_deeln-geb_partner)</f>
        <v>89</v>
      </c>
      <c r="J71" s="73"/>
      <c r="K71" s="18">
        <f t="shared" si="69"/>
        <v>0</v>
      </c>
      <c r="L71" s="18">
        <f t="shared" si="69"/>
        <v>0</v>
      </c>
      <c r="M71" s="18">
        <f>Settings!$I$3*D71</f>
        <v>0</v>
      </c>
      <c r="N71" s="18">
        <f>Settings!$I$7*MAX($D71 - x*voltijdfranchise/1000*(Premie_leeftijd!T70=0),0)</f>
        <v>0</v>
      </c>
      <c r="O71" s="18">
        <f>Settings!$I$7*MAX($D71 - x*voltijdfranchise/1000*(Premie_leeftijd!U70=0),0)</f>
        <v>0</v>
      </c>
      <c r="P71" s="18">
        <f>Settings!$I$3*D71*(1-Premie_leeftijd!R70)</f>
        <v>0</v>
      </c>
      <c r="Q71" s="73">
        <f t="shared" si="65"/>
        <v>0</v>
      </c>
      <c r="S71" s="20" cm="1">
        <f t="array" ref="S71">S70*(1+reele_index_opb)</f>
        <v>17.500000000000004</v>
      </c>
      <c r="T71" s="20" cm="1">
        <f t="array" ref="T71">T70*(1+reele_index_opb)</f>
        <v>17.499999999999982</v>
      </c>
      <c r="U71" s="39" cm="1">
        <f t="array" ref="U71">U70*(1+reele_index_opb)</f>
        <v>17.500000000000004</v>
      </c>
      <c r="V71" s="20" cm="1">
        <f t="array" ref="V71">V70*(1+reele_index_opb)</f>
        <v>17.500000000000004</v>
      </c>
      <c r="W71" s="20" cm="1">
        <f t="array" ref="W71">W70*(1+reele_index_opb)</f>
        <v>17.500000000000004</v>
      </c>
      <c r="X71" s="20"/>
      <c r="Y71" s="20">
        <f t="shared" si="32"/>
        <v>89</v>
      </c>
      <c r="Z71" s="41">
        <f t="shared" ref="Z71:Z82" si="71">S71 + ($C71&lt;AOWlftd)*volledigAnw/1000</f>
        <v>17.500000000000004</v>
      </c>
      <c r="AA71" s="41">
        <f t="shared" ref="AA71:AA82" si="72">T71 + ($C71&lt;AOWlftd)*volledigAnw/1000</f>
        <v>17.499999999999982</v>
      </c>
      <c r="AB71" s="20">
        <f t="shared" ref="AB71:AB82" si="73" xml:space="preserve"> IF($A71&gt;=AOWlftd, $U71, IF( $C71&lt;AOWlftd, $M71, N71))</f>
        <v>17.500000000000004</v>
      </c>
      <c r="AC71" s="20">
        <f t="shared" ref="AC71:AC82" si="74" xml:space="preserve"> IF($A71&gt;=AOWlftd, $U71, IF( $C71&lt;AOWlftd, $M71, O71))</f>
        <v>17.500000000000004</v>
      </c>
      <c r="AD71" s="20">
        <f t="shared" si="66"/>
        <v>17.500000000000004</v>
      </c>
      <c r="AE71" s="20">
        <f t="shared" ref="AE71:AE82" si="75">Q71+W71</f>
        <v>17.500000000000004</v>
      </c>
      <c r="AG71" s="73">
        <f t="shared" ref="AG71:AG82" si="76">MAX(0, AOWlftd-$C71-1)</f>
        <v>0</v>
      </c>
      <c r="AH71" s="73">
        <f t="shared" ref="AH71:AH82" si="77">S71*(1+reele_index_opb)^$AG71 + ($C71&lt;AOWlftd)*volledigAnw/1000*(1+reele_index_ris)^$AG71</f>
        <v>17.500000000000004</v>
      </c>
      <c r="AI71" s="73">
        <f t="shared" ref="AI71:AI82" si="78">T71*(1+reele_index_opb)^$AG71 + ($C71&lt;AOWlftd)*volledigAnw/1000*(1+reele_index_ris)^$AG71</f>
        <v>17.499999999999982</v>
      </c>
      <c r="AJ71" s="73">
        <f t="shared" ref="AJ71:AJ82" si="79">IF($A71&gt;=AOWlftd,$U71 *(1+reele_index_opb)^$AG71, AB71*(1+ reele_index_ris)^$AG71 )</f>
        <v>17.500000000000004</v>
      </c>
      <c r="AK71" s="73">
        <f t="shared" ref="AK71:AK82" si="80">IF($A71&gt;=AOWlftd,$U71 *(1+reele_index_opb)^$AG71, AC71*(1+ reele_index_ris)^$AG71 )</f>
        <v>17.500000000000004</v>
      </c>
      <c r="AL71" s="73">
        <f t="shared" ref="AL71:AL82" si="81">AD71*(1+IF($A71&lt;AOWlftd,reele_index_ris,reele_index_opb))^$AG71</f>
        <v>17.500000000000004</v>
      </c>
      <c r="AM71" s="73">
        <f t="shared" ref="AM71:AM82" si="82">AE71*(1+IF($A71&lt;AOWlftd,reele_index_ris,reele_index_opb))^$AG71</f>
        <v>17.500000000000004</v>
      </c>
      <c r="AO71" s="20">
        <f t="shared" si="33"/>
        <v>89</v>
      </c>
      <c r="AP71" s="20">
        <f t="shared" ref="AP71:AP82" si="83">MAX(0, AOWlftd-$C71)</f>
        <v>0</v>
      </c>
      <c r="AQ71" s="18">
        <f t="shared" ref="AQ71:AQ82" si="84">S71*(1+reele_index_opb)^$AP71</f>
        <v>17.500000000000004</v>
      </c>
      <c r="AR71" s="18">
        <f t="shared" ref="AR71:AR82" si="85">T71*(1+reele_index_opb)^$AP71</f>
        <v>17.499999999999982</v>
      </c>
      <c r="AS71" s="73">
        <f t="shared" ref="AS71:AS82" si="86">IF($A71&gt;=AOWlftd, $U71*(1+reele_index_opb)^$AP71, N71*(1+reele_index_ris)^$AP71)</f>
        <v>17.500000000000004</v>
      </c>
      <c r="AT71" s="73">
        <f t="shared" ref="AT71:AT82" si="87">IF($A71&gt;=AOWlftd, $U71*(1+reele_index_opb)^$AP71, O71*(1+reele_index_ris)^$AP71)</f>
        <v>17.500000000000004</v>
      </c>
      <c r="AU71" s="73">
        <f t="shared" si="67"/>
        <v>17.500000000000004</v>
      </c>
      <c r="AV71" s="73">
        <f t="shared" si="68"/>
        <v>17.500000000000004</v>
      </c>
      <c r="AX71" s="5">
        <f>Premie_leeftijd!J70</f>
        <v>4.3016325323881388E-2</v>
      </c>
      <c r="AY71" s="5"/>
      <c r="AZ71" s="54">
        <v>64</v>
      </c>
      <c r="BA71" s="54">
        <f t="shared" ref="BA71:BA82" si="88">$BF$1+AZ71</f>
        <v>114</v>
      </c>
      <c r="BB71" s="54">
        <f t="shared" ref="BB71:BB82" si="89">$BF$2+AZ71</f>
        <v>114</v>
      </c>
      <c r="BC71" s="54" t="b">
        <f t="shared" si="63"/>
        <v>1</v>
      </c>
      <c r="BD71" s="54">
        <f t="shared" ref="BD71:BD82" si="90" xml:space="preserve"> IF(OR($BA71=$BF$1, $BB71=AOWlftd), VLOOKUP($BF$1, IF($BC71, $AO$7:$AV$82, $Y$7:$AE$82), 2+BD$5, FALSE), BD70*(1+reele_index_opb))</f>
        <v>17.500000000000004</v>
      </c>
      <c r="BE71" s="54">
        <f t="shared" ref="BE71:BE82" si="91" xml:space="preserve"> IF(OR($BA71=$BF$1, $BB71=AOWlftd), VLOOKUP($BF$1, IF($BC71, $AO$7:$AV$82, $Y$7:$AE$82), 2+BE$5, FALSE), BE70*(1+reele_index_opb))</f>
        <v>17.499999999999993</v>
      </c>
      <c r="BF71" s="54">
        <f t="shared" ref="BF71:BF82" si="92" xml:space="preserve"> IF(OR($BA71=$BF$1, $BB71=AOWlftd), VLOOKUP($BF$1, IF($BC71, $AO$7:$AV$82, $Y$7:$AE$82), 2+BF$5, FALSE), BF70*(1+reele_index_opb))</f>
        <v>25</v>
      </c>
      <c r="BG71" s="54">
        <f t="shared" ref="BG71:BG82" si="93" xml:space="preserve"> IF(OR($BA71=$BF$1, $BB71=AOWlftd), VLOOKUP($BF$1, IF($BC71, $AO$7:$AV$82, $Y$7:$AE$82), 2+BG$5, FALSE), BG70*(1+reele_index_opb))</f>
        <v>25</v>
      </c>
      <c r="BH71" s="54">
        <f t="shared" ref="BH71:BH82" si="94" xml:space="preserve"> IF(OR($BA71=$BF$1, $BB71=AOWlftd), VLOOKUP($BF$1, IF($BC71, $AO$7:$AV$82, $Y$7:$AE$82), 2+BH$5, FALSE), BH70*(1+reele_index_opb))</f>
        <v>17.500000000000004</v>
      </c>
    </row>
    <row r="72" spans="1:60" x14ac:dyDescent="0.25">
      <c r="A72" s="73">
        <f>Grondslag!A67</f>
        <v>90</v>
      </c>
      <c r="C72" s="73">
        <f t="shared" si="70"/>
        <v>90</v>
      </c>
      <c r="J72" s="73"/>
      <c r="K72" s="18">
        <f t="shared" si="69"/>
        <v>0</v>
      </c>
      <c r="L72" s="18">
        <f t="shared" si="69"/>
        <v>0</v>
      </c>
      <c r="M72" s="18">
        <f>Settings!$I$3*D72</f>
        <v>0</v>
      </c>
      <c r="N72" s="18">
        <f>Settings!$I$7*MAX($D72 - x*voltijdfranchise/1000*(Premie_leeftijd!T71=0),0)</f>
        <v>0</v>
      </c>
      <c r="O72" s="18">
        <f>Settings!$I$7*MAX($D72 - x*voltijdfranchise/1000*(Premie_leeftijd!U71=0),0)</f>
        <v>0</v>
      </c>
      <c r="P72" s="18">
        <f>Settings!$I$3*D72*(1-Premie_leeftijd!R71)</f>
        <v>0</v>
      </c>
      <c r="Q72" s="73">
        <f t="shared" si="65"/>
        <v>0</v>
      </c>
      <c r="S72" s="20" cm="1">
        <f t="array" ref="S72">S71*(1+reele_index_opb)</f>
        <v>17.500000000000004</v>
      </c>
      <c r="T72" s="20" cm="1">
        <f t="array" ref="T72">T71*(1+reele_index_opb)</f>
        <v>17.499999999999982</v>
      </c>
      <c r="U72" s="39" cm="1">
        <f t="array" ref="U72">U71*(1+reele_index_opb)</f>
        <v>17.500000000000004</v>
      </c>
      <c r="V72" s="20" cm="1">
        <f t="array" ref="V72">V71*(1+reele_index_opb)</f>
        <v>17.500000000000004</v>
      </c>
      <c r="W72" s="20" cm="1">
        <f t="array" ref="W72">W71*(1+reele_index_opb)</f>
        <v>17.500000000000004</v>
      </c>
      <c r="X72" s="20"/>
      <c r="Y72" s="20">
        <f t="shared" ref="Y72:Y82" si="95">$A72</f>
        <v>90</v>
      </c>
      <c r="Z72" s="41">
        <f t="shared" si="71"/>
        <v>17.500000000000004</v>
      </c>
      <c r="AA72" s="41">
        <f t="shared" si="72"/>
        <v>17.499999999999982</v>
      </c>
      <c r="AB72" s="20">
        <f t="shared" si="73"/>
        <v>17.500000000000004</v>
      </c>
      <c r="AC72" s="20">
        <f t="shared" si="74"/>
        <v>17.500000000000004</v>
      </c>
      <c r="AD72" s="20">
        <f t="shared" si="66"/>
        <v>17.500000000000004</v>
      </c>
      <c r="AE72" s="20">
        <f t="shared" si="75"/>
        <v>17.500000000000004</v>
      </c>
      <c r="AG72" s="73">
        <f t="shared" si="76"/>
        <v>0</v>
      </c>
      <c r="AH72" s="73">
        <f t="shared" si="77"/>
        <v>17.500000000000004</v>
      </c>
      <c r="AI72" s="73">
        <f t="shared" si="78"/>
        <v>17.499999999999982</v>
      </c>
      <c r="AJ72" s="73">
        <f t="shared" si="79"/>
        <v>17.500000000000004</v>
      </c>
      <c r="AK72" s="73">
        <f t="shared" si="80"/>
        <v>17.500000000000004</v>
      </c>
      <c r="AL72" s="73">
        <f t="shared" si="81"/>
        <v>17.500000000000004</v>
      </c>
      <c r="AM72" s="73">
        <f t="shared" si="82"/>
        <v>17.500000000000004</v>
      </c>
      <c r="AO72" s="20">
        <f t="shared" ref="AO72:AO82" si="96">$A72</f>
        <v>90</v>
      </c>
      <c r="AP72" s="20">
        <f t="shared" si="83"/>
        <v>0</v>
      </c>
      <c r="AQ72" s="18">
        <f t="shared" si="84"/>
        <v>17.500000000000004</v>
      </c>
      <c r="AR72" s="18">
        <f t="shared" si="85"/>
        <v>17.499999999999982</v>
      </c>
      <c r="AS72" s="73">
        <f t="shared" si="86"/>
        <v>17.500000000000004</v>
      </c>
      <c r="AT72" s="73">
        <f t="shared" si="87"/>
        <v>17.500000000000004</v>
      </c>
      <c r="AU72" s="73">
        <f t="shared" si="67"/>
        <v>17.500000000000004</v>
      </c>
      <c r="AV72" s="73">
        <f t="shared" si="68"/>
        <v>17.500000000000004</v>
      </c>
      <c r="AX72" s="5">
        <f>Premie_leeftijd!J71</f>
        <v>4.5084748614697967E-2</v>
      </c>
      <c r="AY72" s="5"/>
      <c r="AZ72" s="54">
        <v>65</v>
      </c>
      <c r="BA72" s="54">
        <f t="shared" si="88"/>
        <v>115</v>
      </c>
      <c r="BB72" s="54">
        <f t="shared" si="89"/>
        <v>115</v>
      </c>
      <c r="BC72" s="54" t="b">
        <f t="shared" ref="BC72:BC82" si="97">BB72&gt;=AOWlftd</f>
        <v>1</v>
      </c>
      <c r="BD72" s="54">
        <f t="shared" si="90"/>
        <v>17.500000000000004</v>
      </c>
      <c r="BE72" s="54">
        <f t="shared" si="91"/>
        <v>17.499999999999993</v>
      </c>
      <c r="BF72" s="54">
        <f t="shared" si="92"/>
        <v>25</v>
      </c>
      <c r="BG72" s="54">
        <f t="shared" si="93"/>
        <v>25</v>
      </c>
      <c r="BH72" s="54">
        <f t="shared" si="94"/>
        <v>17.500000000000004</v>
      </c>
    </row>
    <row r="73" spans="1:60" x14ac:dyDescent="0.25">
      <c r="A73" s="73">
        <f>Grondslag!A68</f>
        <v>91</v>
      </c>
      <c r="C73" s="73">
        <f t="shared" si="70"/>
        <v>91</v>
      </c>
      <c r="J73" s="73"/>
      <c r="K73" s="18">
        <f t="shared" si="69"/>
        <v>0</v>
      </c>
      <c r="L73" s="18">
        <f t="shared" si="69"/>
        <v>0</v>
      </c>
      <c r="M73" s="18">
        <f>Settings!$I$3*D73</f>
        <v>0</v>
      </c>
      <c r="N73" s="18">
        <f>Settings!$I$7*MAX($D73 - x*voltijdfranchise/1000*(Premie_leeftijd!T72=0),0)</f>
        <v>0</v>
      </c>
      <c r="O73" s="18">
        <f>Settings!$I$7*MAX($D73 - x*voltijdfranchise/1000*(Premie_leeftijd!U72=0),0)</f>
        <v>0</v>
      </c>
      <c r="P73" s="18">
        <f>Settings!$I$3*D73*(1-Premie_leeftijd!R72)</f>
        <v>0</v>
      </c>
      <c r="Q73" s="73">
        <f t="shared" si="65"/>
        <v>0</v>
      </c>
      <c r="S73" s="20" cm="1">
        <f t="array" ref="S73">S72*(1+reele_index_opb)</f>
        <v>17.500000000000004</v>
      </c>
      <c r="T73" s="20" cm="1">
        <f t="array" ref="T73">T72*(1+reele_index_opb)</f>
        <v>17.499999999999982</v>
      </c>
      <c r="U73" s="39" cm="1">
        <f t="array" ref="U73">U72*(1+reele_index_opb)</f>
        <v>17.500000000000004</v>
      </c>
      <c r="V73" s="20" cm="1">
        <f t="array" ref="V73">V72*(1+reele_index_opb)</f>
        <v>17.500000000000004</v>
      </c>
      <c r="W73" s="20" cm="1">
        <f t="array" ref="W73">W72*(1+reele_index_opb)</f>
        <v>17.500000000000004</v>
      </c>
      <c r="X73" s="20"/>
      <c r="Y73" s="20">
        <f t="shared" si="95"/>
        <v>91</v>
      </c>
      <c r="Z73" s="41">
        <f t="shared" si="71"/>
        <v>17.500000000000004</v>
      </c>
      <c r="AA73" s="41">
        <f t="shared" si="72"/>
        <v>17.499999999999982</v>
      </c>
      <c r="AB73" s="20">
        <f t="shared" si="73"/>
        <v>17.500000000000004</v>
      </c>
      <c r="AC73" s="20">
        <f t="shared" si="74"/>
        <v>17.500000000000004</v>
      </c>
      <c r="AD73" s="20">
        <f t="shared" si="66"/>
        <v>17.500000000000004</v>
      </c>
      <c r="AE73" s="20">
        <f t="shared" si="75"/>
        <v>17.500000000000004</v>
      </c>
      <c r="AG73" s="73">
        <f t="shared" si="76"/>
        <v>0</v>
      </c>
      <c r="AH73" s="73">
        <f t="shared" si="77"/>
        <v>17.500000000000004</v>
      </c>
      <c r="AI73" s="73">
        <f t="shared" si="78"/>
        <v>17.499999999999982</v>
      </c>
      <c r="AJ73" s="73">
        <f t="shared" si="79"/>
        <v>17.500000000000004</v>
      </c>
      <c r="AK73" s="73">
        <f t="shared" si="80"/>
        <v>17.500000000000004</v>
      </c>
      <c r="AL73" s="73">
        <f t="shared" si="81"/>
        <v>17.500000000000004</v>
      </c>
      <c r="AM73" s="73">
        <f t="shared" si="82"/>
        <v>17.500000000000004</v>
      </c>
      <c r="AO73" s="20">
        <f t="shared" si="96"/>
        <v>91</v>
      </c>
      <c r="AP73" s="20">
        <f t="shared" si="83"/>
        <v>0</v>
      </c>
      <c r="AQ73" s="18">
        <f t="shared" si="84"/>
        <v>17.500000000000004</v>
      </c>
      <c r="AR73" s="18">
        <f t="shared" si="85"/>
        <v>17.499999999999982</v>
      </c>
      <c r="AS73" s="73">
        <f t="shared" si="86"/>
        <v>17.500000000000004</v>
      </c>
      <c r="AT73" s="73">
        <f t="shared" si="87"/>
        <v>17.500000000000004</v>
      </c>
      <c r="AU73" s="73">
        <f t="shared" si="67"/>
        <v>17.500000000000004</v>
      </c>
      <c r="AV73" s="73">
        <f t="shared" si="68"/>
        <v>17.500000000000004</v>
      </c>
      <c r="AX73" s="5">
        <f>Premie_leeftijd!J72</f>
        <v>4.674732133298326E-2</v>
      </c>
      <c r="AY73" s="5"/>
      <c r="AZ73" s="54">
        <v>66</v>
      </c>
      <c r="BA73" s="54">
        <f t="shared" si="88"/>
        <v>116</v>
      </c>
      <c r="BB73" s="54">
        <f t="shared" si="89"/>
        <v>116</v>
      </c>
      <c r="BC73" s="54" t="b">
        <f t="shared" si="97"/>
        <v>1</v>
      </c>
      <c r="BD73" s="54">
        <f t="shared" si="90"/>
        <v>17.500000000000004</v>
      </c>
      <c r="BE73" s="54">
        <f t="shared" si="91"/>
        <v>17.499999999999993</v>
      </c>
      <c r="BF73" s="54">
        <f t="shared" si="92"/>
        <v>25</v>
      </c>
      <c r="BG73" s="54">
        <f t="shared" si="93"/>
        <v>25</v>
      </c>
      <c r="BH73" s="54">
        <f t="shared" si="94"/>
        <v>17.500000000000004</v>
      </c>
    </row>
    <row r="74" spans="1:60" x14ac:dyDescent="0.25">
      <c r="A74" s="73">
        <f>Grondslag!A69</f>
        <v>92</v>
      </c>
      <c r="C74" s="73">
        <f t="shared" si="70"/>
        <v>92</v>
      </c>
      <c r="J74" s="73"/>
      <c r="K74" s="18">
        <f t="shared" si="69"/>
        <v>0</v>
      </c>
      <c r="L74" s="18">
        <f t="shared" si="69"/>
        <v>0</v>
      </c>
      <c r="M74" s="18">
        <f>Settings!$I$3*D74</f>
        <v>0</v>
      </c>
      <c r="N74" s="18">
        <f>Settings!$I$7*MAX($D74 - x*voltijdfranchise/1000*(Premie_leeftijd!T73=0),0)</f>
        <v>0</v>
      </c>
      <c r="O74" s="18">
        <f>Settings!$I$7*MAX($D74 - x*voltijdfranchise/1000*(Premie_leeftijd!U73=0),0)</f>
        <v>0</v>
      </c>
      <c r="P74" s="18">
        <f>Settings!$I$3*D74*(1-Premie_leeftijd!R73)</f>
        <v>0</v>
      </c>
      <c r="Q74" s="73">
        <f t="shared" si="65"/>
        <v>0</v>
      </c>
      <c r="S74" s="20" cm="1">
        <f t="array" ref="S74">S73*(1+reele_index_opb)</f>
        <v>17.500000000000004</v>
      </c>
      <c r="T74" s="20" cm="1">
        <f t="array" ref="T74">T73*(1+reele_index_opb)</f>
        <v>17.499999999999982</v>
      </c>
      <c r="U74" s="39" cm="1">
        <f t="array" ref="U74">U73*(1+reele_index_opb)</f>
        <v>17.500000000000004</v>
      </c>
      <c r="V74" s="20" cm="1">
        <f t="array" ref="V74">V73*(1+reele_index_opb)</f>
        <v>17.500000000000004</v>
      </c>
      <c r="W74" s="20" cm="1">
        <f t="array" ref="W74">W73*(1+reele_index_opb)</f>
        <v>17.500000000000004</v>
      </c>
      <c r="X74" s="20"/>
      <c r="Y74" s="20">
        <f t="shared" si="95"/>
        <v>92</v>
      </c>
      <c r="Z74" s="41">
        <f t="shared" si="71"/>
        <v>17.500000000000004</v>
      </c>
      <c r="AA74" s="41">
        <f t="shared" si="72"/>
        <v>17.499999999999982</v>
      </c>
      <c r="AB74" s="20">
        <f t="shared" si="73"/>
        <v>17.500000000000004</v>
      </c>
      <c r="AC74" s="20">
        <f t="shared" si="74"/>
        <v>17.500000000000004</v>
      </c>
      <c r="AD74" s="20">
        <f t="shared" si="66"/>
        <v>17.500000000000004</v>
      </c>
      <c r="AE74" s="20">
        <f t="shared" si="75"/>
        <v>17.500000000000004</v>
      </c>
      <c r="AG74" s="73">
        <f t="shared" si="76"/>
        <v>0</v>
      </c>
      <c r="AH74" s="73">
        <f t="shared" si="77"/>
        <v>17.500000000000004</v>
      </c>
      <c r="AI74" s="73">
        <f t="shared" si="78"/>
        <v>17.499999999999982</v>
      </c>
      <c r="AJ74" s="73">
        <f t="shared" si="79"/>
        <v>17.500000000000004</v>
      </c>
      <c r="AK74" s="73">
        <f t="shared" si="80"/>
        <v>17.500000000000004</v>
      </c>
      <c r="AL74" s="73">
        <f t="shared" si="81"/>
        <v>17.500000000000004</v>
      </c>
      <c r="AM74" s="73">
        <f t="shared" si="82"/>
        <v>17.500000000000004</v>
      </c>
      <c r="AO74" s="20">
        <f t="shared" si="96"/>
        <v>92</v>
      </c>
      <c r="AP74" s="20">
        <f t="shared" si="83"/>
        <v>0</v>
      </c>
      <c r="AQ74" s="18">
        <f t="shared" si="84"/>
        <v>17.500000000000004</v>
      </c>
      <c r="AR74" s="18">
        <f t="shared" si="85"/>
        <v>17.499999999999982</v>
      </c>
      <c r="AS74" s="73">
        <f t="shared" si="86"/>
        <v>17.500000000000004</v>
      </c>
      <c r="AT74" s="73">
        <f t="shared" si="87"/>
        <v>17.500000000000004</v>
      </c>
      <c r="AU74" s="73">
        <f t="shared" si="67"/>
        <v>17.500000000000004</v>
      </c>
      <c r="AV74" s="73">
        <f t="shared" si="68"/>
        <v>17.500000000000004</v>
      </c>
      <c r="AX74" s="5">
        <f>Premie_leeftijd!J73</f>
        <v>4.6330500005117903E-2</v>
      </c>
      <c r="AY74" s="5"/>
      <c r="AZ74" s="54">
        <v>67</v>
      </c>
      <c r="BA74" s="54">
        <f t="shared" si="88"/>
        <v>117</v>
      </c>
      <c r="BB74" s="54">
        <f t="shared" si="89"/>
        <v>117</v>
      </c>
      <c r="BC74" s="54" t="b">
        <f t="shared" si="97"/>
        <v>1</v>
      </c>
      <c r="BD74" s="54">
        <f t="shared" si="90"/>
        <v>17.500000000000004</v>
      </c>
      <c r="BE74" s="54">
        <f t="shared" si="91"/>
        <v>17.499999999999993</v>
      </c>
      <c r="BF74" s="54">
        <f t="shared" si="92"/>
        <v>25</v>
      </c>
      <c r="BG74" s="54">
        <f t="shared" si="93"/>
        <v>25</v>
      </c>
      <c r="BH74" s="54">
        <f t="shared" si="94"/>
        <v>17.500000000000004</v>
      </c>
    </row>
    <row r="75" spans="1:60" x14ac:dyDescent="0.25">
      <c r="A75" s="73">
        <f>Grondslag!A70</f>
        <v>93</v>
      </c>
      <c r="C75" s="73">
        <f t="shared" si="70"/>
        <v>93</v>
      </c>
      <c r="J75" s="73"/>
      <c r="K75" s="18">
        <f t="shared" si="69"/>
        <v>0</v>
      </c>
      <c r="L75" s="18">
        <f t="shared" si="69"/>
        <v>0</v>
      </c>
      <c r="M75" s="18">
        <f>Settings!$I$3*D75</f>
        <v>0</v>
      </c>
      <c r="N75" s="18">
        <f>Settings!$I$7*MAX($D75 - x*voltijdfranchise/1000*(Premie_leeftijd!T74=0),0)</f>
        <v>0</v>
      </c>
      <c r="O75" s="18">
        <f>Settings!$I$7*MAX($D75 - x*voltijdfranchise/1000*(Premie_leeftijd!U74=0),0)</f>
        <v>0</v>
      </c>
      <c r="P75" s="18">
        <f>Settings!$I$3*D75*(1-Premie_leeftijd!R74)</f>
        <v>0</v>
      </c>
      <c r="Q75" s="73">
        <f t="shared" si="65"/>
        <v>0</v>
      </c>
      <c r="S75" s="20" cm="1">
        <f t="array" ref="S75">S74*(1+reele_index_opb)</f>
        <v>17.500000000000004</v>
      </c>
      <c r="T75" s="20" cm="1">
        <f t="array" ref="T75">T74*(1+reele_index_opb)</f>
        <v>17.499999999999982</v>
      </c>
      <c r="U75" s="39" cm="1">
        <f t="array" ref="U75">U74*(1+reele_index_opb)</f>
        <v>17.500000000000004</v>
      </c>
      <c r="V75" s="20" cm="1">
        <f t="array" ref="V75">V74*(1+reele_index_opb)</f>
        <v>17.500000000000004</v>
      </c>
      <c r="W75" s="20" cm="1">
        <f t="array" ref="W75">W74*(1+reele_index_opb)</f>
        <v>17.500000000000004</v>
      </c>
      <c r="X75" s="20"/>
      <c r="Y75" s="20">
        <f t="shared" si="95"/>
        <v>93</v>
      </c>
      <c r="Z75" s="41">
        <f t="shared" si="71"/>
        <v>17.500000000000004</v>
      </c>
      <c r="AA75" s="41">
        <f t="shared" si="72"/>
        <v>17.499999999999982</v>
      </c>
      <c r="AB75" s="20">
        <f t="shared" si="73"/>
        <v>17.500000000000004</v>
      </c>
      <c r="AC75" s="20">
        <f t="shared" si="74"/>
        <v>17.500000000000004</v>
      </c>
      <c r="AD75" s="20">
        <f t="shared" si="66"/>
        <v>17.500000000000004</v>
      </c>
      <c r="AE75" s="20">
        <f t="shared" si="75"/>
        <v>17.500000000000004</v>
      </c>
      <c r="AG75" s="73">
        <f t="shared" si="76"/>
        <v>0</v>
      </c>
      <c r="AH75" s="73">
        <f t="shared" si="77"/>
        <v>17.500000000000004</v>
      </c>
      <c r="AI75" s="73">
        <f t="shared" si="78"/>
        <v>17.499999999999982</v>
      </c>
      <c r="AJ75" s="73">
        <f t="shared" si="79"/>
        <v>17.500000000000004</v>
      </c>
      <c r="AK75" s="73">
        <f t="shared" si="80"/>
        <v>17.500000000000004</v>
      </c>
      <c r="AL75" s="73">
        <f t="shared" si="81"/>
        <v>17.500000000000004</v>
      </c>
      <c r="AM75" s="73">
        <f t="shared" si="82"/>
        <v>17.500000000000004</v>
      </c>
      <c r="AO75" s="20">
        <f t="shared" si="96"/>
        <v>93</v>
      </c>
      <c r="AP75" s="20">
        <f t="shared" si="83"/>
        <v>0</v>
      </c>
      <c r="AQ75" s="18">
        <f t="shared" si="84"/>
        <v>17.500000000000004</v>
      </c>
      <c r="AR75" s="18">
        <f t="shared" si="85"/>
        <v>17.499999999999982</v>
      </c>
      <c r="AS75" s="73">
        <f t="shared" si="86"/>
        <v>17.500000000000004</v>
      </c>
      <c r="AT75" s="73">
        <f t="shared" si="87"/>
        <v>17.500000000000004</v>
      </c>
      <c r="AU75" s="73">
        <f t="shared" si="67"/>
        <v>17.500000000000004</v>
      </c>
      <c r="AV75" s="73">
        <f t="shared" si="68"/>
        <v>17.500000000000004</v>
      </c>
      <c r="AX75" s="5">
        <f>Premie_leeftijd!J74</f>
        <v>4.5783481225988687E-2</v>
      </c>
      <c r="AY75" s="5"/>
      <c r="AZ75" s="54">
        <v>68</v>
      </c>
      <c r="BA75" s="54">
        <f t="shared" si="88"/>
        <v>118</v>
      </c>
      <c r="BB75" s="54">
        <f t="shared" si="89"/>
        <v>118</v>
      </c>
      <c r="BC75" s="54" t="b">
        <f t="shared" si="97"/>
        <v>1</v>
      </c>
      <c r="BD75" s="54">
        <f t="shared" si="90"/>
        <v>17.500000000000004</v>
      </c>
      <c r="BE75" s="54">
        <f t="shared" si="91"/>
        <v>17.499999999999993</v>
      </c>
      <c r="BF75" s="54">
        <f t="shared" si="92"/>
        <v>25</v>
      </c>
      <c r="BG75" s="54">
        <f t="shared" si="93"/>
        <v>25</v>
      </c>
      <c r="BH75" s="54">
        <f t="shared" si="94"/>
        <v>17.500000000000004</v>
      </c>
    </row>
    <row r="76" spans="1:60" x14ac:dyDescent="0.25">
      <c r="A76" s="73">
        <f>Grondslag!A71</f>
        <v>94</v>
      </c>
      <c r="C76" s="73">
        <f t="shared" si="70"/>
        <v>94</v>
      </c>
      <c r="J76" s="73"/>
      <c r="K76" s="18">
        <f t="shared" si="69"/>
        <v>0</v>
      </c>
      <c r="L76" s="18">
        <f t="shared" si="69"/>
        <v>0</v>
      </c>
      <c r="M76" s="18">
        <f>Settings!$I$3*D76</f>
        <v>0</v>
      </c>
      <c r="N76" s="18">
        <f>Settings!$I$7*MAX($D76 - x*voltijdfranchise/1000*(Premie_leeftijd!T75=0),0)</f>
        <v>0</v>
      </c>
      <c r="O76" s="18">
        <f>Settings!$I$7*MAX($D76 - x*voltijdfranchise/1000*(Premie_leeftijd!U75=0),0)</f>
        <v>0</v>
      </c>
      <c r="P76" s="18">
        <f>Settings!$I$3*D76*(1-Premie_leeftijd!R75)</f>
        <v>0</v>
      </c>
      <c r="Q76" s="73">
        <f t="shared" si="65"/>
        <v>0</v>
      </c>
      <c r="S76" s="20" cm="1">
        <f t="array" ref="S76">S75*(1+reele_index_opb)</f>
        <v>17.500000000000004</v>
      </c>
      <c r="T76" s="20" cm="1">
        <f t="array" ref="T76">T75*(1+reele_index_opb)</f>
        <v>17.499999999999982</v>
      </c>
      <c r="U76" s="39" cm="1">
        <f t="array" ref="U76">U75*(1+reele_index_opb)</f>
        <v>17.500000000000004</v>
      </c>
      <c r="V76" s="20" cm="1">
        <f t="array" ref="V76">V75*(1+reele_index_opb)</f>
        <v>17.500000000000004</v>
      </c>
      <c r="W76" s="20" cm="1">
        <f t="array" ref="W76">W75*(1+reele_index_opb)</f>
        <v>17.500000000000004</v>
      </c>
      <c r="X76" s="20"/>
      <c r="Y76" s="20">
        <f t="shared" si="95"/>
        <v>94</v>
      </c>
      <c r="Z76" s="41">
        <f t="shared" si="71"/>
        <v>17.500000000000004</v>
      </c>
      <c r="AA76" s="41">
        <f t="shared" si="72"/>
        <v>17.499999999999982</v>
      </c>
      <c r="AB76" s="20">
        <f t="shared" si="73"/>
        <v>17.500000000000004</v>
      </c>
      <c r="AC76" s="20">
        <f t="shared" si="74"/>
        <v>17.500000000000004</v>
      </c>
      <c r="AD76" s="20">
        <f t="shared" si="66"/>
        <v>17.500000000000004</v>
      </c>
      <c r="AE76" s="20">
        <f t="shared" si="75"/>
        <v>17.500000000000004</v>
      </c>
      <c r="AG76" s="73">
        <f t="shared" si="76"/>
        <v>0</v>
      </c>
      <c r="AH76" s="73">
        <f t="shared" si="77"/>
        <v>17.500000000000004</v>
      </c>
      <c r="AI76" s="73">
        <f t="shared" si="78"/>
        <v>17.499999999999982</v>
      </c>
      <c r="AJ76" s="73">
        <f t="shared" si="79"/>
        <v>17.500000000000004</v>
      </c>
      <c r="AK76" s="73">
        <f t="shared" si="80"/>
        <v>17.500000000000004</v>
      </c>
      <c r="AL76" s="73">
        <f t="shared" si="81"/>
        <v>17.500000000000004</v>
      </c>
      <c r="AM76" s="73">
        <f t="shared" si="82"/>
        <v>17.500000000000004</v>
      </c>
      <c r="AO76" s="20">
        <f t="shared" si="96"/>
        <v>94</v>
      </c>
      <c r="AP76" s="20">
        <f t="shared" si="83"/>
        <v>0</v>
      </c>
      <c r="AQ76" s="18">
        <f t="shared" si="84"/>
        <v>17.500000000000004</v>
      </c>
      <c r="AR76" s="18">
        <f t="shared" si="85"/>
        <v>17.499999999999982</v>
      </c>
      <c r="AS76" s="73">
        <f t="shared" si="86"/>
        <v>17.500000000000004</v>
      </c>
      <c r="AT76" s="73">
        <f t="shared" si="87"/>
        <v>17.500000000000004</v>
      </c>
      <c r="AU76" s="73">
        <f t="shared" si="67"/>
        <v>17.500000000000004</v>
      </c>
      <c r="AV76" s="73">
        <f t="shared" si="68"/>
        <v>17.500000000000004</v>
      </c>
      <c r="AX76" s="5">
        <f>Premie_leeftijd!J75</f>
        <v>4.4175330225620146E-2</v>
      </c>
      <c r="AY76" s="5"/>
      <c r="AZ76" s="54">
        <v>69</v>
      </c>
      <c r="BA76" s="54">
        <f t="shared" si="88"/>
        <v>119</v>
      </c>
      <c r="BB76" s="54">
        <f t="shared" si="89"/>
        <v>119</v>
      </c>
      <c r="BC76" s="54" t="b">
        <f t="shared" si="97"/>
        <v>1</v>
      </c>
      <c r="BD76" s="54">
        <f t="shared" si="90"/>
        <v>17.500000000000004</v>
      </c>
      <c r="BE76" s="54">
        <f t="shared" si="91"/>
        <v>17.499999999999993</v>
      </c>
      <c r="BF76" s="54">
        <f t="shared" si="92"/>
        <v>25</v>
      </c>
      <c r="BG76" s="54">
        <f t="shared" si="93"/>
        <v>25</v>
      </c>
      <c r="BH76" s="54">
        <f t="shared" si="94"/>
        <v>17.500000000000004</v>
      </c>
    </row>
    <row r="77" spans="1:60" x14ac:dyDescent="0.25">
      <c r="A77" s="73">
        <f>Grondslag!A72</f>
        <v>95</v>
      </c>
      <c r="C77" s="73">
        <f t="shared" si="70"/>
        <v>95</v>
      </c>
      <c r="J77" s="73"/>
      <c r="K77" s="18">
        <f t="shared" si="69"/>
        <v>0</v>
      </c>
      <c r="L77" s="18">
        <f t="shared" si="69"/>
        <v>0</v>
      </c>
      <c r="M77" s="18">
        <f>Settings!$I$3*D77</f>
        <v>0</v>
      </c>
      <c r="N77" s="18">
        <f>Settings!$I$7*MAX($D77 - x*voltijdfranchise/1000*(Premie_leeftijd!T76=0),0)</f>
        <v>0</v>
      </c>
      <c r="O77" s="18">
        <f>Settings!$I$7*MAX($D77 - x*voltijdfranchise/1000*(Premie_leeftijd!U76=0),0)</f>
        <v>0</v>
      </c>
      <c r="P77" s="18">
        <f>Settings!$I$3*D77*(1-Premie_leeftijd!R76)</f>
        <v>0</v>
      </c>
      <c r="Q77" s="73">
        <f t="shared" si="65"/>
        <v>0</v>
      </c>
      <c r="S77" s="20" cm="1">
        <f t="array" ref="S77">S76*(1+reele_index_opb)</f>
        <v>17.500000000000004</v>
      </c>
      <c r="T77" s="20" cm="1">
        <f t="array" ref="T77">T76*(1+reele_index_opb)</f>
        <v>17.499999999999982</v>
      </c>
      <c r="U77" s="39" cm="1">
        <f t="array" ref="U77">U76*(1+reele_index_opb)</f>
        <v>17.500000000000004</v>
      </c>
      <c r="V77" s="20" cm="1">
        <f t="array" ref="V77">V76*(1+reele_index_opb)</f>
        <v>17.500000000000004</v>
      </c>
      <c r="W77" s="20" cm="1">
        <f t="array" ref="W77">W76*(1+reele_index_opb)</f>
        <v>17.500000000000004</v>
      </c>
      <c r="X77" s="20"/>
      <c r="Y77" s="20">
        <f t="shared" si="95"/>
        <v>95</v>
      </c>
      <c r="Z77" s="41">
        <f t="shared" si="71"/>
        <v>17.500000000000004</v>
      </c>
      <c r="AA77" s="41">
        <f t="shared" si="72"/>
        <v>17.499999999999982</v>
      </c>
      <c r="AB77" s="20">
        <f t="shared" si="73"/>
        <v>17.500000000000004</v>
      </c>
      <c r="AC77" s="20">
        <f t="shared" si="74"/>
        <v>17.500000000000004</v>
      </c>
      <c r="AD77" s="20">
        <f t="shared" si="66"/>
        <v>17.500000000000004</v>
      </c>
      <c r="AE77" s="20">
        <f t="shared" si="75"/>
        <v>17.500000000000004</v>
      </c>
      <c r="AG77" s="73">
        <f t="shared" si="76"/>
        <v>0</v>
      </c>
      <c r="AH77" s="73">
        <f t="shared" si="77"/>
        <v>17.500000000000004</v>
      </c>
      <c r="AI77" s="73">
        <f t="shared" si="78"/>
        <v>17.499999999999982</v>
      </c>
      <c r="AJ77" s="73">
        <f t="shared" si="79"/>
        <v>17.500000000000004</v>
      </c>
      <c r="AK77" s="73">
        <f t="shared" si="80"/>
        <v>17.500000000000004</v>
      </c>
      <c r="AL77" s="73">
        <f t="shared" si="81"/>
        <v>17.500000000000004</v>
      </c>
      <c r="AM77" s="73">
        <f t="shared" si="82"/>
        <v>17.500000000000004</v>
      </c>
      <c r="AO77" s="20">
        <f t="shared" si="96"/>
        <v>95</v>
      </c>
      <c r="AP77" s="20">
        <f t="shared" si="83"/>
        <v>0</v>
      </c>
      <c r="AQ77" s="18">
        <f t="shared" si="84"/>
        <v>17.500000000000004</v>
      </c>
      <c r="AR77" s="18">
        <f t="shared" si="85"/>
        <v>17.499999999999982</v>
      </c>
      <c r="AS77" s="73">
        <f t="shared" si="86"/>
        <v>17.500000000000004</v>
      </c>
      <c r="AT77" s="73">
        <f t="shared" si="87"/>
        <v>17.500000000000004</v>
      </c>
      <c r="AU77" s="73">
        <f t="shared" si="67"/>
        <v>17.500000000000004</v>
      </c>
      <c r="AV77" s="73">
        <f t="shared" si="68"/>
        <v>17.500000000000004</v>
      </c>
      <c r="AX77" s="5">
        <f>Premie_leeftijd!J76</f>
        <v>4.1481795409287286E-2</v>
      </c>
      <c r="AY77" s="5"/>
      <c r="AZ77" s="54">
        <v>70</v>
      </c>
      <c r="BA77" s="54">
        <f t="shared" si="88"/>
        <v>120</v>
      </c>
      <c r="BB77" s="54">
        <f t="shared" si="89"/>
        <v>120</v>
      </c>
      <c r="BC77" s="54" t="b">
        <f t="shared" si="97"/>
        <v>1</v>
      </c>
      <c r="BD77" s="54">
        <f t="shared" si="90"/>
        <v>17.500000000000004</v>
      </c>
      <c r="BE77" s="54">
        <f t="shared" si="91"/>
        <v>17.499999999999993</v>
      </c>
      <c r="BF77" s="54">
        <f t="shared" si="92"/>
        <v>25</v>
      </c>
      <c r="BG77" s="54">
        <f t="shared" si="93"/>
        <v>25</v>
      </c>
      <c r="BH77" s="54">
        <f t="shared" si="94"/>
        <v>17.500000000000004</v>
      </c>
    </row>
    <row r="78" spans="1:60" x14ac:dyDescent="0.25">
      <c r="A78" s="73">
        <f>Grondslag!A73</f>
        <v>96</v>
      </c>
      <c r="C78" s="73">
        <f t="shared" si="70"/>
        <v>96</v>
      </c>
      <c r="J78" s="73"/>
      <c r="K78" s="18">
        <f t="shared" si="69"/>
        <v>0</v>
      </c>
      <c r="L78" s="18">
        <f t="shared" si="69"/>
        <v>0</v>
      </c>
      <c r="M78" s="18">
        <f>Settings!$I$3*D78</f>
        <v>0</v>
      </c>
      <c r="N78" s="18">
        <f>Settings!$I$7*MAX($D78 - x*voltijdfranchise/1000*(Premie_leeftijd!T77=0),0)</f>
        <v>0</v>
      </c>
      <c r="O78" s="18">
        <f>Settings!$I$7*MAX($D78 - x*voltijdfranchise/1000*(Premie_leeftijd!U77=0),0)</f>
        <v>0</v>
      </c>
      <c r="P78" s="18">
        <f>Settings!$I$3*D78*(1-Premie_leeftijd!R77)</f>
        <v>0</v>
      </c>
      <c r="Q78" s="73">
        <f t="shared" si="65"/>
        <v>0</v>
      </c>
      <c r="S78" s="20" cm="1">
        <f t="array" ref="S78">S77*(1+reele_index_opb)</f>
        <v>17.500000000000004</v>
      </c>
      <c r="T78" s="20" cm="1">
        <f t="array" ref="T78">T77*(1+reele_index_opb)</f>
        <v>17.499999999999982</v>
      </c>
      <c r="U78" s="39" cm="1">
        <f t="array" ref="U78">U77*(1+reele_index_opb)</f>
        <v>17.500000000000004</v>
      </c>
      <c r="V78" s="20" cm="1">
        <f t="array" ref="V78">V77*(1+reele_index_opb)</f>
        <v>17.500000000000004</v>
      </c>
      <c r="W78" s="20" cm="1">
        <f t="array" ref="W78">W77*(1+reele_index_opb)</f>
        <v>17.500000000000004</v>
      </c>
      <c r="X78" s="20"/>
      <c r="Y78" s="20">
        <f t="shared" si="95"/>
        <v>96</v>
      </c>
      <c r="Z78" s="41">
        <f t="shared" si="71"/>
        <v>17.500000000000004</v>
      </c>
      <c r="AA78" s="41">
        <f t="shared" si="72"/>
        <v>17.499999999999982</v>
      </c>
      <c r="AB78" s="20">
        <f t="shared" si="73"/>
        <v>17.500000000000004</v>
      </c>
      <c r="AC78" s="20">
        <f t="shared" si="74"/>
        <v>17.500000000000004</v>
      </c>
      <c r="AD78" s="20">
        <f t="shared" si="66"/>
        <v>17.500000000000004</v>
      </c>
      <c r="AE78" s="20">
        <f t="shared" si="75"/>
        <v>17.500000000000004</v>
      </c>
      <c r="AG78" s="73">
        <f t="shared" si="76"/>
        <v>0</v>
      </c>
      <c r="AH78" s="73">
        <f t="shared" si="77"/>
        <v>17.500000000000004</v>
      </c>
      <c r="AI78" s="73">
        <f t="shared" si="78"/>
        <v>17.499999999999982</v>
      </c>
      <c r="AJ78" s="73">
        <f t="shared" si="79"/>
        <v>17.500000000000004</v>
      </c>
      <c r="AK78" s="73">
        <f t="shared" si="80"/>
        <v>17.500000000000004</v>
      </c>
      <c r="AL78" s="73">
        <f t="shared" si="81"/>
        <v>17.500000000000004</v>
      </c>
      <c r="AM78" s="73">
        <f t="shared" si="82"/>
        <v>17.500000000000004</v>
      </c>
      <c r="AO78" s="20">
        <f t="shared" si="96"/>
        <v>96</v>
      </c>
      <c r="AP78" s="20">
        <f t="shared" si="83"/>
        <v>0</v>
      </c>
      <c r="AQ78" s="18">
        <f t="shared" si="84"/>
        <v>17.500000000000004</v>
      </c>
      <c r="AR78" s="18">
        <f t="shared" si="85"/>
        <v>17.499999999999982</v>
      </c>
      <c r="AS78" s="73">
        <f t="shared" si="86"/>
        <v>17.500000000000004</v>
      </c>
      <c r="AT78" s="73">
        <f t="shared" si="87"/>
        <v>17.500000000000004</v>
      </c>
      <c r="AU78" s="73">
        <f t="shared" si="67"/>
        <v>17.500000000000004</v>
      </c>
      <c r="AV78" s="73">
        <f t="shared" si="68"/>
        <v>17.500000000000004</v>
      </c>
      <c r="AX78" s="5">
        <f>Premie_leeftijd!J77</f>
        <v>3.7776705054921228E-2</v>
      </c>
      <c r="AY78" s="5"/>
      <c r="AZ78" s="54">
        <v>71</v>
      </c>
      <c r="BA78" s="54">
        <f t="shared" si="88"/>
        <v>121</v>
      </c>
      <c r="BB78" s="54">
        <f t="shared" si="89"/>
        <v>121</v>
      </c>
      <c r="BC78" s="54" t="b">
        <f t="shared" si="97"/>
        <v>1</v>
      </c>
      <c r="BD78" s="54">
        <f t="shared" si="90"/>
        <v>17.500000000000004</v>
      </c>
      <c r="BE78" s="54">
        <f t="shared" si="91"/>
        <v>17.499999999999993</v>
      </c>
      <c r="BF78" s="54">
        <f t="shared" si="92"/>
        <v>25</v>
      </c>
      <c r="BG78" s="54">
        <f t="shared" si="93"/>
        <v>25</v>
      </c>
      <c r="BH78" s="54">
        <f t="shared" si="94"/>
        <v>17.500000000000004</v>
      </c>
    </row>
    <row r="79" spans="1:60" x14ac:dyDescent="0.25">
      <c r="A79" s="73">
        <f>Grondslag!A74</f>
        <v>97</v>
      </c>
      <c r="C79" s="73">
        <f t="shared" si="70"/>
        <v>97</v>
      </c>
      <c r="J79" s="73"/>
      <c r="K79" s="18">
        <f t="shared" si="69"/>
        <v>0</v>
      </c>
      <c r="L79" s="18">
        <f t="shared" si="69"/>
        <v>0</v>
      </c>
      <c r="M79" s="18">
        <f>Settings!$I$3*D79</f>
        <v>0</v>
      </c>
      <c r="N79" s="18">
        <f>Settings!$I$7*MAX($D79 - x*voltijdfranchise/1000*(Premie_leeftijd!T78=0),0)</f>
        <v>0</v>
      </c>
      <c r="O79" s="18">
        <f>Settings!$I$7*MAX($D79 - x*voltijdfranchise/1000*(Premie_leeftijd!U78=0),0)</f>
        <v>0</v>
      </c>
      <c r="P79" s="18">
        <f>Settings!$I$3*D79*(1-Premie_leeftijd!R78)</f>
        <v>0</v>
      </c>
      <c r="Q79" s="73">
        <f t="shared" si="65"/>
        <v>0</v>
      </c>
      <c r="S79" s="20" cm="1">
        <f t="array" ref="S79">S78*(1+reele_index_opb)</f>
        <v>17.500000000000004</v>
      </c>
      <c r="T79" s="20" cm="1">
        <f t="array" ref="T79">T78*(1+reele_index_opb)</f>
        <v>17.499999999999982</v>
      </c>
      <c r="U79" s="39" cm="1">
        <f t="array" ref="U79">U78*(1+reele_index_opb)</f>
        <v>17.500000000000004</v>
      </c>
      <c r="V79" s="20" cm="1">
        <f t="array" ref="V79">V78*(1+reele_index_opb)</f>
        <v>17.500000000000004</v>
      </c>
      <c r="W79" s="20" cm="1">
        <f t="array" ref="W79">W78*(1+reele_index_opb)</f>
        <v>17.500000000000004</v>
      </c>
      <c r="X79" s="20"/>
      <c r="Y79" s="20">
        <f t="shared" si="95"/>
        <v>97</v>
      </c>
      <c r="Z79" s="41">
        <f t="shared" si="71"/>
        <v>17.500000000000004</v>
      </c>
      <c r="AA79" s="41">
        <f t="shared" si="72"/>
        <v>17.499999999999982</v>
      </c>
      <c r="AB79" s="20">
        <f t="shared" si="73"/>
        <v>17.500000000000004</v>
      </c>
      <c r="AC79" s="20">
        <f t="shared" si="74"/>
        <v>17.500000000000004</v>
      </c>
      <c r="AD79" s="20">
        <f t="shared" si="66"/>
        <v>17.500000000000004</v>
      </c>
      <c r="AE79" s="20">
        <f t="shared" si="75"/>
        <v>17.500000000000004</v>
      </c>
      <c r="AG79" s="73">
        <f t="shared" si="76"/>
        <v>0</v>
      </c>
      <c r="AH79" s="73">
        <f t="shared" si="77"/>
        <v>17.500000000000004</v>
      </c>
      <c r="AI79" s="73">
        <f t="shared" si="78"/>
        <v>17.499999999999982</v>
      </c>
      <c r="AJ79" s="73">
        <f t="shared" si="79"/>
        <v>17.500000000000004</v>
      </c>
      <c r="AK79" s="73">
        <f t="shared" si="80"/>
        <v>17.500000000000004</v>
      </c>
      <c r="AL79" s="73">
        <f t="shared" si="81"/>
        <v>17.500000000000004</v>
      </c>
      <c r="AM79" s="73">
        <f t="shared" si="82"/>
        <v>17.500000000000004</v>
      </c>
      <c r="AO79" s="20">
        <f t="shared" si="96"/>
        <v>97</v>
      </c>
      <c r="AP79" s="20">
        <f t="shared" si="83"/>
        <v>0</v>
      </c>
      <c r="AQ79" s="18">
        <f t="shared" si="84"/>
        <v>17.500000000000004</v>
      </c>
      <c r="AR79" s="18">
        <f t="shared" si="85"/>
        <v>17.499999999999982</v>
      </c>
      <c r="AS79" s="73">
        <f t="shared" si="86"/>
        <v>17.500000000000004</v>
      </c>
      <c r="AT79" s="73">
        <f t="shared" si="87"/>
        <v>17.500000000000004</v>
      </c>
      <c r="AU79" s="73">
        <f t="shared" si="67"/>
        <v>17.500000000000004</v>
      </c>
      <c r="AV79" s="73">
        <f t="shared" si="68"/>
        <v>17.500000000000004</v>
      </c>
      <c r="AX79" s="5">
        <f>Premie_leeftijd!J78</f>
        <v>3.3242456213949639E-2</v>
      </c>
      <c r="AY79" s="5"/>
      <c r="AZ79" s="54">
        <v>72</v>
      </c>
      <c r="BA79" s="54">
        <f t="shared" si="88"/>
        <v>122</v>
      </c>
      <c r="BB79" s="54">
        <f t="shared" si="89"/>
        <v>122</v>
      </c>
      <c r="BC79" s="54" t="b">
        <f t="shared" si="97"/>
        <v>1</v>
      </c>
      <c r="BD79" s="54">
        <f t="shared" si="90"/>
        <v>17.500000000000004</v>
      </c>
      <c r="BE79" s="54">
        <f t="shared" si="91"/>
        <v>17.499999999999993</v>
      </c>
      <c r="BF79" s="54">
        <f t="shared" si="92"/>
        <v>25</v>
      </c>
      <c r="BG79" s="54">
        <f t="shared" si="93"/>
        <v>25</v>
      </c>
      <c r="BH79" s="54">
        <f t="shared" si="94"/>
        <v>17.500000000000004</v>
      </c>
    </row>
    <row r="80" spans="1:60" x14ac:dyDescent="0.25">
      <c r="A80" s="73">
        <f>Grondslag!A75</f>
        <v>98</v>
      </c>
      <c r="C80" s="73">
        <f t="shared" si="70"/>
        <v>98</v>
      </c>
      <c r="J80" s="73"/>
      <c r="K80" s="18">
        <f t="shared" si="69"/>
        <v>0</v>
      </c>
      <c r="L80" s="18">
        <f t="shared" si="69"/>
        <v>0</v>
      </c>
      <c r="M80" s="18">
        <f>Settings!$I$3*D80</f>
        <v>0</v>
      </c>
      <c r="N80" s="18">
        <f>Settings!$I$7*MAX($D80 - x*voltijdfranchise/1000*(Premie_leeftijd!T79=0),0)</f>
        <v>0</v>
      </c>
      <c r="O80" s="18">
        <f>Settings!$I$7*MAX($D80 - x*voltijdfranchise/1000*(Premie_leeftijd!U79=0),0)</f>
        <v>0</v>
      </c>
      <c r="P80" s="18">
        <f>Settings!$I$3*D80*(1-Premie_leeftijd!R79)</f>
        <v>0</v>
      </c>
      <c r="Q80" s="73">
        <f t="shared" si="65"/>
        <v>0</v>
      </c>
      <c r="S80" s="20" cm="1">
        <f t="array" ref="S80">S79*(1+reele_index_opb)</f>
        <v>17.500000000000004</v>
      </c>
      <c r="T80" s="20" cm="1">
        <f t="array" ref="T80">T79*(1+reele_index_opb)</f>
        <v>17.499999999999982</v>
      </c>
      <c r="U80" s="39" cm="1">
        <f t="array" ref="U80">U79*(1+reele_index_opb)</f>
        <v>17.500000000000004</v>
      </c>
      <c r="V80" s="20" cm="1">
        <f t="array" ref="V80">V79*(1+reele_index_opb)</f>
        <v>17.500000000000004</v>
      </c>
      <c r="W80" s="20" cm="1">
        <f t="array" ref="W80">W79*(1+reele_index_opb)</f>
        <v>17.500000000000004</v>
      </c>
      <c r="X80" s="20"/>
      <c r="Y80" s="20">
        <f t="shared" si="95"/>
        <v>98</v>
      </c>
      <c r="Z80" s="41">
        <f t="shared" si="71"/>
        <v>17.500000000000004</v>
      </c>
      <c r="AA80" s="41">
        <f t="shared" si="72"/>
        <v>17.499999999999982</v>
      </c>
      <c r="AB80" s="20">
        <f t="shared" si="73"/>
        <v>17.500000000000004</v>
      </c>
      <c r="AC80" s="20">
        <f t="shared" si="74"/>
        <v>17.500000000000004</v>
      </c>
      <c r="AD80" s="20">
        <f t="shared" si="66"/>
        <v>17.500000000000004</v>
      </c>
      <c r="AE80" s="20">
        <f t="shared" si="75"/>
        <v>17.500000000000004</v>
      </c>
      <c r="AG80" s="73">
        <f t="shared" si="76"/>
        <v>0</v>
      </c>
      <c r="AH80" s="73">
        <f t="shared" si="77"/>
        <v>17.500000000000004</v>
      </c>
      <c r="AI80" s="73">
        <f t="shared" si="78"/>
        <v>17.499999999999982</v>
      </c>
      <c r="AJ80" s="73">
        <f t="shared" si="79"/>
        <v>17.500000000000004</v>
      </c>
      <c r="AK80" s="73">
        <f t="shared" si="80"/>
        <v>17.500000000000004</v>
      </c>
      <c r="AL80" s="73">
        <f t="shared" si="81"/>
        <v>17.500000000000004</v>
      </c>
      <c r="AM80" s="73">
        <f t="shared" si="82"/>
        <v>17.500000000000004</v>
      </c>
      <c r="AO80" s="20">
        <f t="shared" si="96"/>
        <v>98</v>
      </c>
      <c r="AP80" s="20">
        <f t="shared" si="83"/>
        <v>0</v>
      </c>
      <c r="AQ80" s="18">
        <f t="shared" si="84"/>
        <v>17.500000000000004</v>
      </c>
      <c r="AR80" s="18">
        <f t="shared" si="85"/>
        <v>17.499999999999982</v>
      </c>
      <c r="AS80" s="73">
        <f t="shared" si="86"/>
        <v>17.500000000000004</v>
      </c>
      <c r="AT80" s="73">
        <f t="shared" si="87"/>
        <v>17.500000000000004</v>
      </c>
      <c r="AU80" s="73">
        <f t="shared" si="67"/>
        <v>17.500000000000004</v>
      </c>
      <c r="AV80" s="73">
        <f t="shared" si="68"/>
        <v>17.500000000000004</v>
      </c>
      <c r="AX80" s="5">
        <f>Premie_leeftijd!J79</f>
        <v>2.8161131771948233E-2</v>
      </c>
      <c r="AY80" s="5"/>
      <c r="AZ80" s="54">
        <v>73</v>
      </c>
      <c r="BA80" s="54">
        <f t="shared" si="88"/>
        <v>123</v>
      </c>
      <c r="BB80" s="54">
        <f t="shared" si="89"/>
        <v>123</v>
      </c>
      <c r="BC80" s="54" t="b">
        <f t="shared" si="97"/>
        <v>1</v>
      </c>
      <c r="BD80" s="54">
        <f t="shared" si="90"/>
        <v>17.500000000000004</v>
      </c>
      <c r="BE80" s="54">
        <f t="shared" si="91"/>
        <v>17.499999999999993</v>
      </c>
      <c r="BF80" s="54">
        <f t="shared" si="92"/>
        <v>25</v>
      </c>
      <c r="BG80" s="54">
        <f t="shared" si="93"/>
        <v>25</v>
      </c>
      <c r="BH80" s="54">
        <f t="shared" si="94"/>
        <v>17.500000000000004</v>
      </c>
    </row>
    <row r="81" spans="1:60" x14ac:dyDescent="0.25">
      <c r="A81" s="73">
        <f>Grondslag!A76</f>
        <v>99</v>
      </c>
      <c r="C81" s="73">
        <f t="shared" si="70"/>
        <v>99</v>
      </c>
      <c r="J81" s="73"/>
      <c r="K81" s="18">
        <f t="shared" si="69"/>
        <v>0</v>
      </c>
      <c r="L81" s="18">
        <f t="shared" si="69"/>
        <v>0</v>
      </c>
      <c r="M81" s="18">
        <f>Settings!$I$3*D81</f>
        <v>0</v>
      </c>
      <c r="N81" s="18">
        <f>Settings!$I$7*MAX($D81 - x*voltijdfranchise/1000*(Premie_leeftijd!T80=0),0)</f>
        <v>0</v>
      </c>
      <c r="O81" s="18">
        <f>Settings!$I$7*MAX($D81 - x*voltijdfranchise/1000*(Premie_leeftijd!U80=0),0)</f>
        <v>0</v>
      </c>
      <c r="P81" s="18">
        <f>Settings!$I$3*D81*(1-Premie_leeftijd!R80)</f>
        <v>0</v>
      </c>
      <c r="Q81" s="73">
        <f t="shared" si="65"/>
        <v>0</v>
      </c>
      <c r="S81" s="20" cm="1">
        <f t="array" ref="S81">S80*(1+reele_index_opb)</f>
        <v>17.500000000000004</v>
      </c>
      <c r="T81" s="20" cm="1">
        <f t="array" ref="T81">T80*(1+reele_index_opb)</f>
        <v>17.499999999999982</v>
      </c>
      <c r="U81" s="39" cm="1">
        <f t="array" ref="U81">U80*(1+reele_index_opb)</f>
        <v>17.500000000000004</v>
      </c>
      <c r="V81" s="20" cm="1">
        <f t="array" ref="V81">V80*(1+reele_index_opb)</f>
        <v>17.500000000000004</v>
      </c>
      <c r="W81" s="20" cm="1">
        <f t="array" ref="W81">W80*(1+reele_index_opb)</f>
        <v>17.500000000000004</v>
      </c>
      <c r="X81" s="20"/>
      <c r="Y81" s="20">
        <f t="shared" si="95"/>
        <v>99</v>
      </c>
      <c r="Z81" s="41">
        <f t="shared" si="71"/>
        <v>17.500000000000004</v>
      </c>
      <c r="AA81" s="41">
        <f t="shared" si="72"/>
        <v>17.499999999999982</v>
      </c>
      <c r="AB81" s="20">
        <f t="shared" si="73"/>
        <v>17.500000000000004</v>
      </c>
      <c r="AC81" s="20">
        <f t="shared" si="74"/>
        <v>17.500000000000004</v>
      </c>
      <c r="AD81" s="20">
        <f t="shared" si="66"/>
        <v>17.500000000000004</v>
      </c>
      <c r="AE81" s="20">
        <f t="shared" si="75"/>
        <v>17.500000000000004</v>
      </c>
      <c r="AG81" s="73">
        <f t="shared" si="76"/>
        <v>0</v>
      </c>
      <c r="AH81" s="73">
        <f t="shared" si="77"/>
        <v>17.500000000000004</v>
      </c>
      <c r="AI81" s="73">
        <f t="shared" si="78"/>
        <v>17.499999999999982</v>
      </c>
      <c r="AJ81" s="73">
        <f t="shared" si="79"/>
        <v>17.500000000000004</v>
      </c>
      <c r="AK81" s="73">
        <f t="shared" si="80"/>
        <v>17.500000000000004</v>
      </c>
      <c r="AL81" s="73">
        <f t="shared" si="81"/>
        <v>17.500000000000004</v>
      </c>
      <c r="AM81" s="73">
        <f t="shared" si="82"/>
        <v>17.500000000000004</v>
      </c>
      <c r="AO81" s="20">
        <f t="shared" si="96"/>
        <v>99</v>
      </c>
      <c r="AP81" s="20">
        <f t="shared" si="83"/>
        <v>0</v>
      </c>
      <c r="AQ81" s="18">
        <f t="shared" si="84"/>
        <v>17.500000000000004</v>
      </c>
      <c r="AR81" s="18">
        <f t="shared" si="85"/>
        <v>17.499999999999982</v>
      </c>
      <c r="AS81" s="73">
        <f t="shared" si="86"/>
        <v>17.500000000000004</v>
      </c>
      <c r="AT81" s="73">
        <f t="shared" si="87"/>
        <v>17.500000000000004</v>
      </c>
      <c r="AU81" s="73">
        <f t="shared" si="67"/>
        <v>17.500000000000004</v>
      </c>
      <c r="AV81" s="73">
        <f t="shared" si="68"/>
        <v>17.500000000000004</v>
      </c>
      <c r="AX81" s="5">
        <f>Premie_leeftijd!J80</f>
        <v>2.2882634286400812E-2</v>
      </c>
      <c r="AY81" s="5"/>
      <c r="AZ81" s="54">
        <v>74</v>
      </c>
      <c r="BA81" s="54">
        <f t="shared" si="88"/>
        <v>124</v>
      </c>
      <c r="BB81" s="54">
        <f t="shared" si="89"/>
        <v>124</v>
      </c>
      <c r="BC81" s="54" t="b">
        <f t="shared" si="97"/>
        <v>1</v>
      </c>
      <c r="BD81" s="54">
        <f t="shared" si="90"/>
        <v>17.500000000000004</v>
      </c>
      <c r="BE81" s="54">
        <f t="shared" si="91"/>
        <v>17.499999999999993</v>
      </c>
      <c r="BF81" s="54">
        <f t="shared" si="92"/>
        <v>25</v>
      </c>
      <c r="BG81" s="54">
        <f t="shared" si="93"/>
        <v>25</v>
      </c>
      <c r="BH81" s="54">
        <f t="shared" si="94"/>
        <v>17.500000000000004</v>
      </c>
    </row>
    <row r="82" spans="1:60" x14ac:dyDescent="0.25">
      <c r="A82" s="73">
        <f>Grondslag!A77</f>
        <v>100</v>
      </c>
      <c r="C82" s="73">
        <f t="shared" si="70"/>
        <v>100</v>
      </c>
      <c r="J82" s="73"/>
      <c r="K82" s="18">
        <f t="shared" si="69"/>
        <v>0</v>
      </c>
      <c r="L82" s="18">
        <f t="shared" si="69"/>
        <v>0</v>
      </c>
      <c r="M82" s="18">
        <f>Settings!$I$3*D82</f>
        <v>0</v>
      </c>
      <c r="N82" s="18">
        <f>Settings!$I$7*MAX($D82 - x*voltijdfranchise/1000*(Premie_leeftijd!T81=0),0)</f>
        <v>0</v>
      </c>
      <c r="O82" s="18">
        <f>Settings!$I$7*MAX($D82 - x*voltijdfranchise/1000*(Premie_leeftijd!U81=0),0)</f>
        <v>0</v>
      </c>
      <c r="P82" s="18">
        <f>Settings!$I$3*D82*(1-Premie_leeftijd!R81)</f>
        <v>0</v>
      </c>
      <c r="Q82" s="73">
        <f t="shared" si="65"/>
        <v>0</v>
      </c>
      <c r="S82" s="20" cm="1">
        <f t="array" ref="S82">S81*(1+reele_index_opb)</f>
        <v>17.500000000000004</v>
      </c>
      <c r="T82" s="20" cm="1">
        <f t="array" ref="T82">T81*(1+reele_index_opb)</f>
        <v>17.499999999999982</v>
      </c>
      <c r="U82" s="39" cm="1">
        <f t="array" ref="U82">U81*(1+reele_index_opb)</f>
        <v>17.500000000000004</v>
      </c>
      <c r="V82" s="20" cm="1">
        <f t="array" ref="V82">V81*(1+reele_index_opb)</f>
        <v>17.500000000000004</v>
      </c>
      <c r="W82" s="20" cm="1">
        <f t="array" ref="W82">W81*(1+reele_index_opb)</f>
        <v>17.500000000000004</v>
      </c>
      <c r="X82" s="20"/>
      <c r="Y82" s="20">
        <f t="shared" si="95"/>
        <v>100</v>
      </c>
      <c r="Z82" s="41">
        <f t="shared" si="71"/>
        <v>17.500000000000004</v>
      </c>
      <c r="AA82" s="41">
        <f t="shared" si="72"/>
        <v>17.499999999999982</v>
      </c>
      <c r="AB82" s="20">
        <f t="shared" si="73"/>
        <v>17.500000000000004</v>
      </c>
      <c r="AC82" s="20">
        <f t="shared" si="74"/>
        <v>17.500000000000004</v>
      </c>
      <c r="AD82" s="20">
        <f t="shared" si="66"/>
        <v>17.500000000000004</v>
      </c>
      <c r="AE82" s="20">
        <f t="shared" si="75"/>
        <v>17.500000000000004</v>
      </c>
      <c r="AG82" s="73">
        <f t="shared" si="76"/>
        <v>0</v>
      </c>
      <c r="AH82" s="73">
        <f t="shared" si="77"/>
        <v>17.500000000000004</v>
      </c>
      <c r="AI82" s="73">
        <f t="shared" si="78"/>
        <v>17.499999999999982</v>
      </c>
      <c r="AJ82" s="73">
        <f t="shared" si="79"/>
        <v>17.500000000000004</v>
      </c>
      <c r="AK82" s="73">
        <f t="shared" si="80"/>
        <v>17.500000000000004</v>
      </c>
      <c r="AL82" s="73">
        <f t="shared" si="81"/>
        <v>17.500000000000004</v>
      </c>
      <c r="AM82" s="73">
        <f t="shared" si="82"/>
        <v>17.500000000000004</v>
      </c>
      <c r="AO82" s="20">
        <f t="shared" si="96"/>
        <v>100</v>
      </c>
      <c r="AP82" s="20">
        <f t="shared" si="83"/>
        <v>0</v>
      </c>
      <c r="AQ82" s="18">
        <f t="shared" si="84"/>
        <v>17.500000000000004</v>
      </c>
      <c r="AR82" s="18">
        <f t="shared" si="85"/>
        <v>17.499999999999982</v>
      </c>
      <c r="AS82" s="73">
        <f t="shared" si="86"/>
        <v>17.500000000000004</v>
      </c>
      <c r="AT82" s="73">
        <f t="shared" si="87"/>
        <v>17.500000000000004</v>
      </c>
      <c r="AU82" s="73">
        <f t="shared" si="67"/>
        <v>17.500000000000004</v>
      </c>
      <c r="AV82" s="73">
        <f t="shared" si="68"/>
        <v>17.500000000000004</v>
      </c>
      <c r="AX82" s="5">
        <f>Premie_leeftijd!J81</f>
        <v>1.7773114136451433E-2</v>
      </c>
      <c r="AY82" s="5"/>
      <c r="AZ82" s="54">
        <v>75</v>
      </c>
      <c r="BA82" s="54">
        <f t="shared" si="88"/>
        <v>125</v>
      </c>
      <c r="BB82" s="54">
        <f t="shared" si="89"/>
        <v>125</v>
      </c>
      <c r="BC82" s="54" t="b">
        <f t="shared" si="97"/>
        <v>1</v>
      </c>
      <c r="BD82" s="54">
        <f t="shared" si="90"/>
        <v>17.500000000000004</v>
      </c>
      <c r="BE82" s="54">
        <f t="shared" si="91"/>
        <v>17.499999999999993</v>
      </c>
      <c r="BF82" s="54">
        <f t="shared" si="92"/>
        <v>25</v>
      </c>
      <c r="BG82" s="54">
        <f t="shared" si="93"/>
        <v>25</v>
      </c>
      <c r="BH82" s="54">
        <f t="shared" si="94"/>
        <v>17.500000000000004</v>
      </c>
    </row>
    <row r="83" spans="1:60" x14ac:dyDescent="0.25">
      <c r="J83" s="73"/>
      <c r="K83" s="73"/>
      <c r="L83" s="73"/>
      <c r="M83" s="73"/>
      <c r="N83" s="73"/>
      <c r="O83" s="73"/>
      <c r="AX83" s="5"/>
      <c r="AY83" s="5"/>
      <c r="AZ83" s="54"/>
      <c r="BA83" s="54"/>
      <c r="BB83" s="5"/>
      <c r="BC83" s="5"/>
      <c r="BD83" s="5"/>
      <c r="BE83" s="5"/>
      <c r="BF83" s="5"/>
      <c r="BG83" s="5"/>
      <c r="BH83" s="5"/>
    </row>
  </sheetData>
  <mergeCells count="5">
    <mergeCell ref="S5:W5"/>
    <mergeCell ref="Z5:AE5"/>
    <mergeCell ref="AQ5:AV5"/>
    <mergeCell ref="AH5:AM5"/>
    <mergeCell ref="K5:Q5"/>
  </mergeCells>
  <pageMargins left="0.7" right="0.7" top="0.75" bottom="0.75" header="0.3" footer="0.3"/>
  <pageSetup orientation="portrait" horizontalDpi="4294967293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</sheetPr>
  <dimension ref="A1:AB97"/>
  <sheetViews>
    <sheetView zoomScale="70" zoomScaleNormal="70" workbookViewId="0">
      <pane xSplit="1" ySplit="1" topLeftCell="B2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J10" sqref="J10"/>
    </sheetView>
  </sheetViews>
  <sheetFormatPr defaultRowHeight="15" outlineLevelCol="1" x14ac:dyDescent="0.25"/>
  <cols>
    <col min="2" max="6" width="9.140625" style="2" customWidth="1" outlineLevel="1"/>
    <col min="7" max="7" width="10.7109375" style="2" customWidth="1" outlineLevel="1"/>
    <col min="8" max="9" width="9.140625" style="2" customWidth="1" outlineLevel="1"/>
    <col min="10" max="10" width="12.85546875" customWidth="1"/>
    <col min="11" max="18" width="9.140625" customWidth="1" outlineLevel="1"/>
    <col min="28" max="28" width="9.140625" style="5"/>
  </cols>
  <sheetData>
    <row r="1" spans="1:28" s="3" customFormat="1" x14ac:dyDescent="0.25">
      <c r="A1" s="3" t="s">
        <v>19</v>
      </c>
      <c r="B1" s="4"/>
      <c r="C1" s="4"/>
      <c r="D1" s="4"/>
      <c r="E1" s="4"/>
      <c r="F1" s="4"/>
      <c r="G1" s="4" t="s">
        <v>255</v>
      </c>
      <c r="H1" s="4" t="s">
        <v>256</v>
      </c>
      <c r="I1" s="4" t="s">
        <v>232</v>
      </c>
      <c r="J1" s="3" t="s">
        <v>215</v>
      </c>
      <c r="P1" s="3" t="s">
        <v>233</v>
      </c>
      <c r="Q1" s="3" t="s">
        <v>20</v>
      </c>
      <c r="R1" s="3" t="s">
        <v>171</v>
      </c>
      <c r="S1" s="3" t="s">
        <v>216</v>
      </c>
    </row>
    <row r="2" spans="1:28" x14ac:dyDescent="0.25">
      <c r="A2">
        <v>25</v>
      </c>
      <c r="B2" s="2">
        <f>MATCH($A2,DataArbeid!$B$8:$B$19,1)</f>
        <v>2</v>
      </c>
      <c r="C2" s="2">
        <f>INDEX(DataArbeid!$B$8:$D$19, B2, 1)</f>
        <v>22.5</v>
      </c>
      <c r="D2" s="2">
        <f>INDEX(DataArbeid!$B$8:$D$19, B2, 3)/1000</f>
        <v>50</v>
      </c>
      <c r="E2" s="2">
        <f>INDEX(DataArbeid!$B$8:$D$19, B2+1, 1)</f>
        <v>27.5</v>
      </c>
      <c r="F2" s="2">
        <f>INDEX(DataArbeid!$B$8:$D$19, B2+1, 3)/1000</f>
        <v>50</v>
      </c>
      <c r="G2" s="2">
        <f>((E2-$A2)*D2+($A2-C2)*F2)/(E2-C2)</f>
        <v>50</v>
      </c>
      <c r="H2" s="2">
        <f t="shared" ref="H2:H10" si="0">H3/1.03</f>
        <v>68.023900433320193</v>
      </c>
      <c r="I2" s="2">
        <f>IF(Settings!$U$2="Belastingdienst", H2, G2)</f>
        <v>50</v>
      </c>
      <c r="J2" s="73">
        <f>IF(Settings!$U$5="handmatige deeltijdfactor", Settings!U14/(P2/voltijduren),1)*I2*R2</f>
        <v>50</v>
      </c>
      <c r="K2" s="2">
        <f>MATCH($A2,DataArbeid!$H$7:$H$19,1)</f>
        <v>3</v>
      </c>
      <c r="L2" s="2">
        <f>INDEX(DataArbeid!$H$7:$H$19, K2, 1)</f>
        <v>22.5</v>
      </c>
      <c r="M2" s="2">
        <f>INDEX(DataArbeid!$H$7:$J$19, K2, 3)</f>
        <v>38</v>
      </c>
      <c r="N2" s="2">
        <f>INDEX(DataArbeid!$H$7:$H$19, K2+1, 1)</f>
        <v>27.5</v>
      </c>
      <c r="O2" s="2">
        <f>INDEX(DataArbeid!$H$7:$J$19, K2+1, 3)</f>
        <v>38</v>
      </c>
      <c r="P2" s="2">
        <f t="shared" ref="P2:P44" si="1">((N2-$A2)*M2+($A2-L2)*O2)/(N2-L2)</f>
        <v>38</v>
      </c>
      <c r="Q2">
        <f>IF(Settings!$U$5="vanaf bepaald leeftijdsjaar", (Settings!$U$11&lt;=$A2)*voltijduren, IF( Settings!$U$5="handmatige deeltijdfactor", Settings!U14*voltijduren, P2 ) )</f>
        <v>38</v>
      </c>
      <c r="R2" s="14">
        <f t="shared" ref="R2:R44" si="2">Q2/voltijduren</f>
        <v>1</v>
      </c>
      <c r="S2">
        <f t="shared" ref="S2:S44" si="3">MAX(J2-R2*voltijdfranchise/1000, 0)</f>
        <v>35</v>
      </c>
      <c r="AB2"/>
    </row>
    <row r="3" spans="1:28" x14ac:dyDescent="0.25">
      <c r="A3">
        <v>26</v>
      </c>
      <c r="B3" s="2">
        <f>MATCH($A3,DataArbeid!$B$8:$B$19,1)</f>
        <v>2</v>
      </c>
      <c r="C3" s="2">
        <f>INDEX(DataArbeid!$B$8:$D$19, B3, 1)</f>
        <v>22.5</v>
      </c>
      <c r="D3" s="2">
        <f>INDEX(DataArbeid!$B$8:$D$19, B3, 3)/1000</f>
        <v>50</v>
      </c>
      <c r="E3" s="2">
        <f>INDEX(DataArbeid!$B$8:$D$19, B3+1, 1)</f>
        <v>27.5</v>
      </c>
      <c r="F3" s="2">
        <f>INDEX(DataArbeid!$B$8:$D$19, B3+1, 3)/1000</f>
        <v>50</v>
      </c>
      <c r="G3" s="2">
        <f t="shared" ref="G3:G44" si="4">((E3-$A3)*D3+($A3-C3)*F3)/(E3-C3)</f>
        <v>50</v>
      </c>
      <c r="H3" s="2">
        <f t="shared" si="0"/>
        <v>70.064617446319801</v>
      </c>
      <c r="I3" s="2">
        <f>IF(Settings!$U$2="Belastingdienst", H3, G3)</f>
        <v>50</v>
      </c>
      <c r="J3" s="73">
        <f>IF(Settings!$U$5="handmatige deeltijdfactor", Settings!U15/(P3/voltijduren),1)*I3*R3</f>
        <v>50</v>
      </c>
      <c r="K3" s="2">
        <f>MATCH($A3,DataArbeid!$H$7:$H$19,1)</f>
        <v>3</v>
      </c>
      <c r="L3" s="2">
        <f>INDEX(DataArbeid!$H$7:$H$19, K3, 1)</f>
        <v>22.5</v>
      </c>
      <c r="M3" s="2">
        <f>INDEX(DataArbeid!$H$7:$J$19, K3, 3)</f>
        <v>38</v>
      </c>
      <c r="N3" s="2">
        <f>INDEX(DataArbeid!$H$7:$H$19, K3+1, 1)</f>
        <v>27.5</v>
      </c>
      <c r="O3" s="2">
        <f>INDEX(DataArbeid!$H$7:$J$19, K3+1, 3)</f>
        <v>38</v>
      </c>
      <c r="P3" s="2">
        <f t="shared" si="1"/>
        <v>38</v>
      </c>
      <c r="Q3" s="73">
        <f>IF(Settings!$U$5="vanaf bepaald leeftijdsjaar", (Settings!$U$11&lt;=$A3)*voltijduren, IF( Settings!$U$5="handmatige deeltijdfactor", Settings!U15*voltijduren, P3 ) )</f>
        <v>38</v>
      </c>
      <c r="R3" s="14">
        <f t="shared" si="2"/>
        <v>1</v>
      </c>
      <c r="S3">
        <f t="shared" si="3"/>
        <v>35</v>
      </c>
      <c r="AB3"/>
    </row>
    <row r="4" spans="1:28" x14ac:dyDescent="0.25">
      <c r="A4">
        <v>27</v>
      </c>
      <c r="B4" s="2">
        <f>MATCH($A4,DataArbeid!$B$8:$B$19,1)</f>
        <v>2</v>
      </c>
      <c r="C4" s="2">
        <f>INDEX(DataArbeid!$B$8:$D$19, B4, 1)</f>
        <v>22.5</v>
      </c>
      <c r="D4" s="2">
        <f>INDEX(DataArbeid!$B$8:$D$19, B4, 3)/1000</f>
        <v>50</v>
      </c>
      <c r="E4" s="2">
        <f>INDEX(DataArbeid!$B$8:$D$19, B4+1, 1)</f>
        <v>27.5</v>
      </c>
      <c r="F4" s="2">
        <f>INDEX(DataArbeid!$B$8:$D$19, B4+1, 3)/1000</f>
        <v>50</v>
      </c>
      <c r="G4" s="2">
        <f t="shared" si="4"/>
        <v>50</v>
      </c>
      <c r="H4" s="2">
        <f t="shared" si="0"/>
        <v>72.166555969709393</v>
      </c>
      <c r="I4" s="2">
        <f>IF(Settings!$U$2="Belastingdienst", H4, G4)</f>
        <v>50</v>
      </c>
      <c r="J4" s="73">
        <f>IF(Settings!$U$5="handmatige deeltijdfactor", Settings!U16/(P4/voltijduren),1)*I4*R4</f>
        <v>50</v>
      </c>
      <c r="K4" s="2">
        <f>MATCH($A4,DataArbeid!$H$7:$H$19,1)</f>
        <v>3</v>
      </c>
      <c r="L4" s="2">
        <f>INDEX(DataArbeid!$H$7:$H$19, K4, 1)</f>
        <v>22.5</v>
      </c>
      <c r="M4" s="2">
        <f>INDEX(DataArbeid!$H$7:$J$19, K4, 3)</f>
        <v>38</v>
      </c>
      <c r="N4" s="2">
        <f>INDEX(DataArbeid!$H$7:$H$19, K4+1, 1)</f>
        <v>27.5</v>
      </c>
      <c r="O4" s="2">
        <f>INDEX(DataArbeid!$H$7:$J$19, K4+1, 3)</f>
        <v>38</v>
      </c>
      <c r="P4" s="2">
        <f t="shared" si="1"/>
        <v>38</v>
      </c>
      <c r="Q4" s="73">
        <f>IF(Settings!$U$5="vanaf bepaald leeftijdsjaar", (Settings!$U$11&lt;=$A4)*voltijduren, IF( Settings!$U$5="handmatige deeltijdfactor", Settings!U16*voltijduren, P4 ) )</f>
        <v>38</v>
      </c>
      <c r="R4" s="14">
        <f t="shared" si="2"/>
        <v>1</v>
      </c>
      <c r="S4">
        <f t="shared" si="3"/>
        <v>35</v>
      </c>
      <c r="AB4"/>
    </row>
    <row r="5" spans="1:28" x14ac:dyDescent="0.25">
      <c r="A5">
        <v>28</v>
      </c>
      <c r="B5" s="2">
        <f>MATCH($A5,DataArbeid!$B$8:$B$19,1)</f>
        <v>3</v>
      </c>
      <c r="C5" s="2">
        <f>INDEX(DataArbeid!$B$8:$D$19, B5, 1)</f>
        <v>27.5</v>
      </c>
      <c r="D5" s="2">
        <f>INDEX(DataArbeid!$B$8:$D$19, B5, 3)/1000</f>
        <v>50</v>
      </c>
      <c r="E5" s="2">
        <f>INDEX(DataArbeid!$B$8:$D$19, B5+1, 1)</f>
        <v>32.5</v>
      </c>
      <c r="F5" s="2">
        <f>INDEX(DataArbeid!$B$8:$D$19, B5+1, 3)/1000</f>
        <v>50</v>
      </c>
      <c r="G5" s="2">
        <f t="shared" si="4"/>
        <v>50</v>
      </c>
      <c r="H5" s="2">
        <f t="shared" si="0"/>
        <v>74.331552648800681</v>
      </c>
      <c r="I5" s="2">
        <f>IF(Settings!$U$2="Belastingdienst", H5, G5)</f>
        <v>50</v>
      </c>
      <c r="J5" s="73">
        <f>IF(Settings!$U$5="handmatige deeltijdfactor", Settings!U17/(P5/voltijduren),1)*I5*R5</f>
        <v>50</v>
      </c>
      <c r="K5" s="2">
        <f>MATCH($A5,DataArbeid!$H$7:$H$19,1)</f>
        <v>4</v>
      </c>
      <c r="L5" s="2">
        <f>INDEX(DataArbeid!$H$7:$H$19, K5, 1)</f>
        <v>27.5</v>
      </c>
      <c r="M5" s="2">
        <f>INDEX(DataArbeid!$H$7:$J$19, K5, 3)</f>
        <v>38</v>
      </c>
      <c r="N5" s="2">
        <f>INDEX(DataArbeid!$H$7:$H$19, K5+1, 1)</f>
        <v>32.5</v>
      </c>
      <c r="O5" s="2">
        <f>INDEX(DataArbeid!$H$7:$J$19, K5+1, 3)</f>
        <v>38</v>
      </c>
      <c r="P5" s="2">
        <f t="shared" si="1"/>
        <v>38</v>
      </c>
      <c r="Q5" s="73">
        <f>IF(Settings!$U$5="vanaf bepaald leeftijdsjaar", (Settings!$U$11&lt;=$A5)*voltijduren, IF( Settings!$U$5="handmatige deeltijdfactor", Settings!U17*voltijduren, P5 ) )</f>
        <v>38</v>
      </c>
      <c r="R5" s="14">
        <f t="shared" si="2"/>
        <v>1</v>
      </c>
      <c r="S5">
        <f t="shared" si="3"/>
        <v>35</v>
      </c>
      <c r="AB5"/>
    </row>
    <row r="6" spans="1:28" x14ac:dyDescent="0.25">
      <c r="A6">
        <v>29</v>
      </c>
      <c r="B6" s="2">
        <f>MATCH($A6,DataArbeid!$B$8:$B$19,1)</f>
        <v>3</v>
      </c>
      <c r="C6" s="2">
        <f>INDEX(DataArbeid!$B$8:$D$19, B6, 1)</f>
        <v>27.5</v>
      </c>
      <c r="D6" s="2">
        <f>INDEX(DataArbeid!$B$8:$D$19, B6, 3)/1000</f>
        <v>50</v>
      </c>
      <c r="E6" s="2">
        <f>INDEX(DataArbeid!$B$8:$D$19, B6+1, 1)</f>
        <v>32.5</v>
      </c>
      <c r="F6" s="2">
        <f>INDEX(DataArbeid!$B$8:$D$19, B6+1, 3)/1000</f>
        <v>50</v>
      </c>
      <c r="G6" s="2">
        <f t="shared" si="4"/>
        <v>50</v>
      </c>
      <c r="H6" s="2">
        <f t="shared" si="0"/>
        <v>76.561499228264708</v>
      </c>
      <c r="I6" s="2">
        <f>IF(Settings!$U$2="Belastingdienst", H6, G6)</f>
        <v>50</v>
      </c>
      <c r="J6" s="73">
        <f>IF(Settings!$U$5="handmatige deeltijdfactor", Settings!U18/(P6/voltijduren),1)*I6*R6</f>
        <v>50</v>
      </c>
      <c r="K6" s="2">
        <f>MATCH($A6,DataArbeid!$H$7:$H$19,1)</f>
        <v>4</v>
      </c>
      <c r="L6" s="2">
        <f>INDEX(DataArbeid!$H$7:$H$19, K6, 1)</f>
        <v>27.5</v>
      </c>
      <c r="M6" s="2">
        <f>INDEX(DataArbeid!$H$7:$J$19, K6, 3)</f>
        <v>38</v>
      </c>
      <c r="N6" s="2">
        <f>INDEX(DataArbeid!$H$7:$H$19, K6+1, 1)</f>
        <v>32.5</v>
      </c>
      <c r="O6" s="2">
        <f>INDEX(DataArbeid!$H$7:$J$19, K6+1, 3)</f>
        <v>38</v>
      </c>
      <c r="P6" s="2">
        <f t="shared" si="1"/>
        <v>38</v>
      </c>
      <c r="Q6" s="73">
        <f>IF(Settings!$U$5="vanaf bepaald leeftijdsjaar", (Settings!$U$11&lt;=$A6)*voltijduren, IF( Settings!$U$5="handmatige deeltijdfactor", Settings!U18*voltijduren, P6 ) )</f>
        <v>38</v>
      </c>
      <c r="R6" s="14">
        <f t="shared" si="2"/>
        <v>1</v>
      </c>
      <c r="S6">
        <f t="shared" si="3"/>
        <v>35</v>
      </c>
      <c r="AB6"/>
    </row>
    <row r="7" spans="1:28" x14ac:dyDescent="0.25">
      <c r="A7">
        <v>30</v>
      </c>
      <c r="B7" s="2">
        <f>MATCH($A7,DataArbeid!$B$8:$B$19,1)</f>
        <v>3</v>
      </c>
      <c r="C7" s="2">
        <f>INDEX(DataArbeid!$B$8:$D$19, B7, 1)</f>
        <v>27.5</v>
      </c>
      <c r="D7" s="2">
        <f>INDEX(DataArbeid!$B$8:$D$19, B7, 3)/1000</f>
        <v>50</v>
      </c>
      <c r="E7" s="2">
        <f>INDEX(DataArbeid!$B$8:$D$19, B7+1, 1)</f>
        <v>32.5</v>
      </c>
      <c r="F7" s="2">
        <f>INDEX(DataArbeid!$B$8:$D$19, B7+1, 3)/1000</f>
        <v>50</v>
      </c>
      <c r="G7" s="2">
        <f t="shared" si="4"/>
        <v>50</v>
      </c>
      <c r="H7" s="2">
        <f t="shared" si="0"/>
        <v>78.858344205112658</v>
      </c>
      <c r="I7" s="2">
        <f>IF(Settings!$U$2="Belastingdienst", H7, G7)</f>
        <v>50</v>
      </c>
      <c r="J7" s="73">
        <f>IF(Settings!$U$5="handmatige deeltijdfactor", Settings!U19/(P7/voltijduren),1)*I7*R7</f>
        <v>50</v>
      </c>
      <c r="K7" s="2">
        <f>MATCH($A7,DataArbeid!$H$7:$H$19,1)</f>
        <v>4</v>
      </c>
      <c r="L7" s="2">
        <f>INDEX(DataArbeid!$H$7:$H$19, K7, 1)</f>
        <v>27.5</v>
      </c>
      <c r="M7" s="2">
        <f>INDEX(DataArbeid!$H$7:$J$19, K7, 3)</f>
        <v>38</v>
      </c>
      <c r="N7" s="2">
        <f>INDEX(DataArbeid!$H$7:$H$19, K7+1, 1)</f>
        <v>32.5</v>
      </c>
      <c r="O7" s="2">
        <f>INDEX(DataArbeid!$H$7:$J$19, K7+1, 3)</f>
        <v>38</v>
      </c>
      <c r="P7" s="2">
        <f t="shared" si="1"/>
        <v>38</v>
      </c>
      <c r="Q7" s="73">
        <f>IF(Settings!$U$5="vanaf bepaald leeftijdsjaar", (Settings!$U$11&lt;=$A7)*voltijduren, IF( Settings!$U$5="handmatige deeltijdfactor", Settings!U19*voltijduren, P7 ) )</f>
        <v>38</v>
      </c>
      <c r="R7" s="14">
        <f t="shared" si="2"/>
        <v>1</v>
      </c>
      <c r="S7">
        <f t="shared" si="3"/>
        <v>35</v>
      </c>
      <c r="AB7"/>
    </row>
    <row r="8" spans="1:28" x14ac:dyDescent="0.25">
      <c r="A8">
        <v>31</v>
      </c>
      <c r="B8" s="2">
        <f>MATCH($A8,DataArbeid!$B$8:$B$19,1)</f>
        <v>3</v>
      </c>
      <c r="C8" s="2">
        <f>INDEX(DataArbeid!$B$8:$D$19, B8, 1)</f>
        <v>27.5</v>
      </c>
      <c r="D8" s="2">
        <f>INDEX(DataArbeid!$B$8:$D$19, B8, 3)/1000</f>
        <v>50</v>
      </c>
      <c r="E8" s="2">
        <f>INDEX(DataArbeid!$B$8:$D$19, B8+1, 1)</f>
        <v>32.5</v>
      </c>
      <c r="F8" s="2">
        <f>INDEX(DataArbeid!$B$8:$D$19, B8+1, 3)/1000</f>
        <v>50</v>
      </c>
      <c r="G8" s="2">
        <f t="shared" si="4"/>
        <v>50</v>
      </c>
      <c r="H8" s="2">
        <f t="shared" si="0"/>
        <v>81.224094531266047</v>
      </c>
      <c r="I8" s="2">
        <f>IF(Settings!$U$2="Belastingdienst", H8, G8)</f>
        <v>50</v>
      </c>
      <c r="J8" s="73">
        <f>IF(Settings!$U$5="handmatige deeltijdfactor", Settings!U20/(P8/voltijduren),1)*I8*R8</f>
        <v>50</v>
      </c>
      <c r="K8" s="2">
        <f>MATCH($A8,DataArbeid!$H$7:$H$19,1)</f>
        <v>4</v>
      </c>
      <c r="L8" s="2">
        <f>INDEX(DataArbeid!$H$7:$H$19, K8, 1)</f>
        <v>27.5</v>
      </c>
      <c r="M8" s="2">
        <f>INDEX(DataArbeid!$H$7:$J$19, K8, 3)</f>
        <v>38</v>
      </c>
      <c r="N8" s="2">
        <f>INDEX(DataArbeid!$H$7:$H$19, K8+1, 1)</f>
        <v>32.5</v>
      </c>
      <c r="O8" s="2">
        <f>INDEX(DataArbeid!$H$7:$J$19, K8+1, 3)</f>
        <v>38</v>
      </c>
      <c r="P8" s="2">
        <f t="shared" si="1"/>
        <v>38</v>
      </c>
      <c r="Q8" s="73">
        <f>IF(Settings!$U$5="vanaf bepaald leeftijdsjaar", (Settings!$U$11&lt;=$A8)*voltijduren, IF( Settings!$U$5="handmatige deeltijdfactor", Settings!U20*voltijduren, P8 ) )</f>
        <v>38</v>
      </c>
      <c r="R8" s="14">
        <f t="shared" si="2"/>
        <v>1</v>
      </c>
      <c r="S8">
        <f t="shared" si="3"/>
        <v>35</v>
      </c>
      <c r="AB8"/>
    </row>
    <row r="9" spans="1:28" x14ac:dyDescent="0.25">
      <c r="A9">
        <v>32</v>
      </c>
      <c r="B9" s="2">
        <f>MATCH($A9,DataArbeid!$B$8:$B$19,1)</f>
        <v>3</v>
      </c>
      <c r="C9" s="2">
        <f>INDEX(DataArbeid!$B$8:$D$19, B9, 1)</f>
        <v>27.5</v>
      </c>
      <c r="D9" s="2">
        <f>INDEX(DataArbeid!$B$8:$D$19, B9, 3)/1000</f>
        <v>50</v>
      </c>
      <c r="E9" s="2">
        <f>INDEX(DataArbeid!$B$8:$D$19, B9+1, 1)</f>
        <v>32.5</v>
      </c>
      <c r="F9" s="2">
        <f>INDEX(DataArbeid!$B$8:$D$19, B9+1, 3)/1000</f>
        <v>50</v>
      </c>
      <c r="G9" s="2">
        <f t="shared" si="4"/>
        <v>50</v>
      </c>
      <c r="H9" s="2">
        <f t="shared" si="0"/>
        <v>83.660817367204032</v>
      </c>
      <c r="I9" s="2">
        <f>IF(Settings!$U$2="Belastingdienst", H9, G9)</f>
        <v>50</v>
      </c>
      <c r="J9" s="73">
        <f>IF(Settings!$U$5="handmatige deeltijdfactor", Settings!U21/(P9/voltijduren),1)*I9*R9</f>
        <v>50</v>
      </c>
      <c r="K9" s="2">
        <f>MATCH($A9,DataArbeid!$H$7:$H$19,1)</f>
        <v>4</v>
      </c>
      <c r="L9" s="2">
        <f>INDEX(DataArbeid!$H$7:$H$19, K9, 1)</f>
        <v>27.5</v>
      </c>
      <c r="M9" s="2">
        <f>INDEX(DataArbeid!$H$7:$J$19, K9, 3)</f>
        <v>38</v>
      </c>
      <c r="N9" s="2">
        <f>INDEX(DataArbeid!$H$7:$H$19, K9+1, 1)</f>
        <v>32.5</v>
      </c>
      <c r="O9" s="2">
        <f>INDEX(DataArbeid!$H$7:$J$19, K9+1, 3)</f>
        <v>38</v>
      </c>
      <c r="P9" s="2">
        <f t="shared" si="1"/>
        <v>38</v>
      </c>
      <c r="Q9" s="73">
        <f>IF(Settings!$U$5="vanaf bepaald leeftijdsjaar", (Settings!$U$11&lt;=$A9)*voltijduren, IF( Settings!$U$5="handmatige deeltijdfactor", Settings!U21*voltijduren, P9 ) )</f>
        <v>38</v>
      </c>
      <c r="R9" s="14">
        <f t="shared" si="2"/>
        <v>1</v>
      </c>
      <c r="S9">
        <f t="shared" si="3"/>
        <v>35</v>
      </c>
      <c r="AB9"/>
    </row>
    <row r="10" spans="1:28" x14ac:dyDescent="0.25">
      <c r="A10">
        <v>33</v>
      </c>
      <c r="B10" s="2">
        <f>MATCH($A10,DataArbeid!$B$8:$B$19,1)</f>
        <v>4</v>
      </c>
      <c r="C10" s="2">
        <f>INDEX(DataArbeid!$B$8:$D$19, B10, 1)</f>
        <v>32.5</v>
      </c>
      <c r="D10" s="2">
        <f>INDEX(DataArbeid!$B$8:$D$19, B10, 3)/1000</f>
        <v>50</v>
      </c>
      <c r="E10" s="2">
        <f>INDEX(DataArbeid!$B$8:$D$19, B10+1, 1)</f>
        <v>37.5</v>
      </c>
      <c r="F10" s="2">
        <f>INDEX(DataArbeid!$B$8:$D$19, B10+1, 3)/1000</f>
        <v>50</v>
      </c>
      <c r="G10" s="2">
        <f t="shared" si="4"/>
        <v>50</v>
      </c>
      <c r="H10" s="2">
        <f t="shared" si="0"/>
        <v>86.17064188822016</v>
      </c>
      <c r="I10" s="2">
        <f>IF(Settings!$U$2="Belastingdienst", H10, G10)</f>
        <v>50</v>
      </c>
      <c r="J10" s="73">
        <f>IF(Settings!$U$5="handmatige deeltijdfactor", Settings!U22/(P10/voltijduren),1)*I10*R10</f>
        <v>50</v>
      </c>
      <c r="K10" s="2">
        <f>MATCH($A10,DataArbeid!$H$7:$H$19,1)</f>
        <v>5</v>
      </c>
      <c r="L10" s="2">
        <f>INDEX(DataArbeid!$H$7:$H$19, K10, 1)</f>
        <v>32.5</v>
      </c>
      <c r="M10" s="2">
        <f>INDEX(DataArbeid!$H$7:$J$19, K10, 3)</f>
        <v>38</v>
      </c>
      <c r="N10" s="2">
        <f>INDEX(DataArbeid!$H$7:$H$19, K10+1, 1)</f>
        <v>37.5</v>
      </c>
      <c r="O10" s="2">
        <f>INDEX(DataArbeid!$H$7:$J$19, K10+1, 3)</f>
        <v>38</v>
      </c>
      <c r="P10" s="2">
        <f t="shared" si="1"/>
        <v>38</v>
      </c>
      <c r="Q10" s="73">
        <f>IF(Settings!$U$5="vanaf bepaald leeftijdsjaar", (Settings!$U$11&lt;=$A10)*voltijduren, IF( Settings!$U$5="handmatige deeltijdfactor", Settings!U22*voltijduren, P10 ) )</f>
        <v>38</v>
      </c>
      <c r="R10" s="14">
        <f t="shared" si="2"/>
        <v>1</v>
      </c>
      <c r="S10">
        <f t="shared" si="3"/>
        <v>35</v>
      </c>
      <c r="AB10"/>
    </row>
    <row r="11" spans="1:28" x14ac:dyDescent="0.25">
      <c r="A11">
        <v>34</v>
      </c>
      <c r="B11" s="2">
        <f>MATCH($A11,DataArbeid!$B$8:$B$19,1)</f>
        <v>4</v>
      </c>
      <c r="C11" s="2">
        <f>INDEX(DataArbeid!$B$8:$D$19, B11, 1)</f>
        <v>32.5</v>
      </c>
      <c r="D11" s="2">
        <f>INDEX(DataArbeid!$B$8:$D$19, B11, 3)/1000</f>
        <v>50</v>
      </c>
      <c r="E11" s="2">
        <f>INDEX(DataArbeid!$B$8:$D$19, B11+1, 1)</f>
        <v>37.5</v>
      </c>
      <c r="F11" s="2">
        <f>INDEX(DataArbeid!$B$8:$D$19, B11+1, 3)/1000</f>
        <v>50</v>
      </c>
      <c r="G11" s="2">
        <f t="shared" si="4"/>
        <v>50</v>
      </c>
      <c r="H11" s="2">
        <f>H12/1.03</f>
        <v>88.755761144866767</v>
      </c>
      <c r="I11" s="2">
        <f>IF(Settings!$U$2="Belastingdienst", H11, G11)</f>
        <v>50</v>
      </c>
      <c r="J11" s="73">
        <f>IF(Settings!$U$5="handmatige deeltijdfactor", Settings!U23/(P11/voltijduren),1)*I11*R11</f>
        <v>50</v>
      </c>
      <c r="K11" s="2">
        <f>MATCH($A11,DataArbeid!$H$7:$H$19,1)</f>
        <v>5</v>
      </c>
      <c r="L11" s="2">
        <f>INDEX(DataArbeid!$H$7:$H$19, K11, 1)</f>
        <v>32.5</v>
      </c>
      <c r="M11" s="2">
        <f>INDEX(DataArbeid!$H$7:$J$19, K11, 3)</f>
        <v>38</v>
      </c>
      <c r="N11" s="2">
        <f>INDEX(DataArbeid!$H$7:$H$19, K11+1, 1)</f>
        <v>37.5</v>
      </c>
      <c r="O11" s="2">
        <f>INDEX(DataArbeid!$H$7:$J$19, K11+1, 3)</f>
        <v>38</v>
      </c>
      <c r="P11" s="2">
        <f t="shared" si="1"/>
        <v>38</v>
      </c>
      <c r="Q11" s="73">
        <f>IF(Settings!$U$5="vanaf bepaald leeftijdsjaar", (Settings!$U$11&lt;=$A11)*voltijduren, IF( Settings!$U$5="handmatige deeltijdfactor", Settings!U23*voltijduren, P11 ) )</f>
        <v>38</v>
      </c>
      <c r="R11" s="14">
        <f t="shared" si="2"/>
        <v>1</v>
      </c>
      <c r="S11">
        <f t="shared" si="3"/>
        <v>35</v>
      </c>
      <c r="AB11"/>
    </row>
    <row r="12" spans="1:28" x14ac:dyDescent="0.25">
      <c r="A12">
        <v>35</v>
      </c>
      <c r="B12" s="2">
        <f>MATCH($A12,DataArbeid!$B$8:$B$19,1)</f>
        <v>4</v>
      </c>
      <c r="C12" s="2">
        <f>INDEX(DataArbeid!$B$8:$D$19, B12, 1)</f>
        <v>32.5</v>
      </c>
      <c r="D12" s="2">
        <f>INDEX(DataArbeid!$B$8:$D$19, B12, 3)/1000</f>
        <v>50</v>
      </c>
      <c r="E12" s="2">
        <f>INDEX(DataArbeid!$B$8:$D$19, B12+1, 1)</f>
        <v>37.5</v>
      </c>
      <c r="F12" s="2">
        <f>INDEX(DataArbeid!$B$8:$D$19, B12+1, 3)/1000</f>
        <v>50</v>
      </c>
      <c r="G12" s="2">
        <f t="shared" si="4"/>
        <v>50</v>
      </c>
      <c r="H12" s="2">
        <f t="shared" ref="H12:H20" si="5">H13/1.02</f>
        <v>91.418433979212779</v>
      </c>
      <c r="I12" s="2">
        <f>IF(Settings!$U$2="Belastingdienst", H12, G12)</f>
        <v>50</v>
      </c>
      <c r="J12" s="73">
        <f>IF(Settings!$U$5="handmatige deeltijdfactor", Settings!U24/(P12/voltijduren),1)*I12*R12</f>
        <v>50</v>
      </c>
      <c r="K12" s="2">
        <f>MATCH($A12,DataArbeid!$H$7:$H$19,1)</f>
        <v>5</v>
      </c>
      <c r="L12" s="2">
        <f>INDEX(DataArbeid!$H$7:$H$19, K12, 1)</f>
        <v>32.5</v>
      </c>
      <c r="M12" s="2">
        <f>INDEX(DataArbeid!$H$7:$J$19, K12, 3)</f>
        <v>38</v>
      </c>
      <c r="N12" s="2">
        <f>INDEX(DataArbeid!$H$7:$H$19, K12+1, 1)</f>
        <v>37.5</v>
      </c>
      <c r="O12" s="2">
        <f>INDEX(DataArbeid!$H$7:$J$19, K12+1, 3)</f>
        <v>38</v>
      </c>
      <c r="P12" s="2">
        <f t="shared" si="1"/>
        <v>38</v>
      </c>
      <c r="Q12" s="73">
        <f>IF(Settings!$U$5="vanaf bepaald leeftijdsjaar", (Settings!$U$11&lt;=$A12)*voltijduren, IF( Settings!$U$5="handmatige deeltijdfactor", Settings!U24*voltijduren, P12 ) )</f>
        <v>38</v>
      </c>
      <c r="R12" s="14">
        <f t="shared" si="2"/>
        <v>1</v>
      </c>
      <c r="S12">
        <f t="shared" si="3"/>
        <v>35</v>
      </c>
      <c r="AB12"/>
    </row>
    <row r="13" spans="1:28" x14ac:dyDescent="0.25">
      <c r="A13">
        <v>36</v>
      </c>
      <c r="B13" s="2">
        <f>MATCH($A13,DataArbeid!$B$8:$B$19,1)</f>
        <v>4</v>
      </c>
      <c r="C13" s="2">
        <f>INDEX(DataArbeid!$B$8:$D$19, B13, 1)</f>
        <v>32.5</v>
      </c>
      <c r="D13" s="2">
        <f>INDEX(DataArbeid!$B$8:$D$19, B13, 3)/1000</f>
        <v>50</v>
      </c>
      <c r="E13" s="2">
        <f>INDEX(DataArbeid!$B$8:$D$19, B13+1, 1)</f>
        <v>37.5</v>
      </c>
      <c r="F13" s="2">
        <f>INDEX(DataArbeid!$B$8:$D$19, B13+1, 3)/1000</f>
        <v>50</v>
      </c>
      <c r="G13" s="2">
        <f t="shared" si="4"/>
        <v>50</v>
      </c>
      <c r="H13" s="2">
        <f t="shared" si="5"/>
        <v>93.246802658797037</v>
      </c>
      <c r="I13" s="2">
        <f>IF(Settings!$U$2="Belastingdienst", H13, G13)</f>
        <v>50</v>
      </c>
      <c r="J13" s="73">
        <f>IF(Settings!$U$5="handmatige deeltijdfactor", Settings!U25/(P13/voltijduren),1)*I13*R13</f>
        <v>50</v>
      </c>
      <c r="K13" s="2">
        <f>MATCH($A13,DataArbeid!$H$7:$H$19,1)</f>
        <v>5</v>
      </c>
      <c r="L13" s="2">
        <f>INDEX(DataArbeid!$H$7:$H$19, K13, 1)</f>
        <v>32.5</v>
      </c>
      <c r="M13" s="2">
        <f>INDEX(DataArbeid!$H$7:$J$19, K13, 3)</f>
        <v>38</v>
      </c>
      <c r="N13" s="2">
        <f>INDEX(DataArbeid!$H$7:$H$19, K13+1, 1)</f>
        <v>37.5</v>
      </c>
      <c r="O13" s="2">
        <f>INDEX(DataArbeid!$H$7:$J$19, K13+1, 3)</f>
        <v>38</v>
      </c>
      <c r="P13" s="2">
        <f t="shared" si="1"/>
        <v>38</v>
      </c>
      <c r="Q13" s="73">
        <f>IF(Settings!$U$5="vanaf bepaald leeftijdsjaar", (Settings!$U$11&lt;=$A13)*voltijduren, IF( Settings!$U$5="handmatige deeltijdfactor", Settings!U25*voltijduren, P13 ) )</f>
        <v>38</v>
      </c>
      <c r="R13" s="14">
        <f t="shared" si="2"/>
        <v>1</v>
      </c>
      <c r="S13">
        <f t="shared" si="3"/>
        <v>35</v>
      </c>
      <c r="AB13"/>
    </row>
    <row r="14" spans="1:28" x14ac:dyDescent="0.25">
      <c r="A14">
        <v>37</v>
      </c>
      <c r="B14" s="2">
        <f>MATCH($A14,DataArbeid!$B$8:$B$19,1)</f>
        <v>4</v>
      </c>
      <c r="C14" s="2">
        <f>INDEX(DataArbeid!$B$8:$D$19, B14, 1)</f>
        <v>32.5</v>
      </c>
      <c r="D14" s="2">
        <f>INDEX(DataArbeid!$B$8:$D$19, B14, 3)/1000</f>
        <v>50</v>
      </c>
      <c r="E14" s="2">
        <f>INDEX(DataArbeid!$B$8:$D$19, B14+1, 1)</f>
        <v>37.5</v>
      </c>
      <c r="F14" s="2">
        <f>INDEX(DataArbeid!$B$8:$D$19, B14+1, 3)/1000</f>
        <v>50</v>
      </c>
      <c r="G14" s="2">
        <f t="shared" si="4"/>
        <v>50</v>
      </c>
      <c r="H14" s="2">
        <f t="shared" si="5"/>
        <v>95.111738711972976</v>
      </c>
      <c r="I14" s="2">
        <f>IF(Settings!$U$2="Belastingdienst", H14, G14)</f>
        <v>50</v>
      </c>
      <c r="J14" s="73">
        <f>IF(Settings!$U$5="handmatige deeltijdfactor", Settings!U26/(P14/voltijduren),1)*I14*R14</f>
        <v>50</v>
      </c>
      <c r="K14" s="2">
        <f>MATCH($A14,DataArbeid!$H$7:$H$19,1)</f>
        <v>5</v>
      </c>
      <c r="L14" s="2">
        <f>INDEX(DataArbeid!$H$7:$H$19, K14, 1)</f>
        <v>32.5</v>
      </c>
      <c r="M14" s="2">
        <f>INDEX(DataArbeid!$H$7:$J$19, K14, 3)</f>
        <v>38</v>
      </c>
      <c r="N14" s="2">
        <f>INDEX(DataArbeid!$H$7:$H$19, K14+1, 1)</f>
        <v>37.5</v>
      </c>
      <c r="O14" s="2">
        <f>INDEX(DataArbeid!$H$7:$J$19, K14+1, 3)</f>
        <v>38</v>
      </c>
      <c r="P14" s="2">
        <f t="shared" si="1"/>
        <v>38</v>
      </c>
      <c r="Q14" s="73">
        <f>IF(Settings!$U$5="vanaf bepaald leeftijdsjaar", (Settings!$U$11&lt;=$A14)*voltijduren, IF( Settings!$U$5="handmatige deeltijdfactor", Settings!U26*voltijduren, P14 ) )</f>
        <v>38</v>
      </c>
      <c r="R14" s="14">
        <f t="shared" si="2"/>
        <v>1</v>
      </c>
      <c r="S14">
        <f t="shared" si="3"/>
        <v>35</v>
      </c>
      <c r="AB14"/>
    </row>
    <row r="15" spans="1:28" x14ac:dyDescent="0.25">
      <c r="A15">
        <v>38</v>
      </c>
      <c r="B15" s="2">
        <f>MATCH($A15,DataArbeid!$B$8:$B$19,1)</f>
        <v>5</v>
      </c>
      <c r="C15" s="2">
        <f>INDEX(DataArbeid!$B$8:$D$19, B15, 1)</f>
        <v>37.5</v>
      </c>
      <c r="D15" s="2">
        <f>INDEX(DataArbeid!$B$8:$D$19, B15, 3)/1000</f>
        <v>50</v>
      </c>
      <c r="E15" s="2">
        <f>INDEX(DataArbeid!$B$8:$D$19, B15+1, 1)</f>
        <v>42.5</v>
      </c>
      <c r="F15" s="2">
        <f>INDEX(DataArbeid!$B$8:$D$19, B15+1, 3)/1000</f>
        <v>50</v>
      </c>
      <c r="G15" s="2">
        <f t="shared" si="4"/>
        <v>50</v>
      </c>
      <c r="H15" s="2">
        <f t="shared" si="5"/>
        <v>97.013973486212436</v>
      </c>
      <c r="I15" s="2">
        <f>IF(Settings!$U$2="Belastingdienst", H15, G15)</f>
        <v>50</v>
      </c>
      <c r="J15" s="73">
        <f>IF(Settings!$U$5="handmatige deeltijdfactor", Settings!U27/(P15/voltijduren),1)*I15*R15</f>
        <v>50</v>
      </c>
      <c r="K15" s="2">
        <f>MATCH($A15,DataArbeid!$H$7:$H$19,1)</f>
        <v>6</v>
      </c>
      <c r="L15" s="2">
        <f>INDEX(DataArbeid!$H$7:$H$19, K15, 1)</f>
        <v>37.5</v>
      </c>
      <c r="M15" s="2">
        <f>INDEX(DataArbeid!$H$7:$J$19, K15, 3)</f>
        <v>38</v>
      </c>
      <c r="N15" s="2">
        <f>INDEX(DataArbeid!$H$7:$H$19, K15+1, 1)</f>
        <v>42.5</v>
      </c>
      <c r="O15" s="2">
        <f>INDEX(DataArbeid!$H$7:$J$19, K15+1, 3)</f>
        <v>38</v>
      </c>
      <c r="P15" s="2">
        <f t="shared" si="1"/>
        <v>38</v>
      </c>
      <c r="Q15" s="73">
        <f>IF(Settings!$U$5="vanaf bepaald leeftijdsjaar", (Settings!$U$11&lt;=$A15)*voltijduren, IF( Settings!$U$5="handmatige deeltijdfactor", Settings!U27*voltijduren, P15 ) )</f>
        <v>38</v>
      </c>
      <c r="R15" s="14">
        <f t="shared" si="2"/>
        <v>1</v>
      </c>
      <c r="S15">
        <f t="shared" si="3"/>
        <v>35</v>
      </c>
      <c r="AB15"/>
    </row>
    <row r="16" spans="1:28" x14ac:dyDescent="0.25">
      <c r="A16">
        <v>39</v>
      </c>
      <c r="B16" s="2">
        <f>MATCH($A16,DataArbeid!$B$8:$B$19,1)</f>
        <v>5</v>
      </c>
      <c r="C16" s="2">
        <f>INDEX(DataArbeid!$B$8:$D$19, B16, 1)</f>
        <v>37.5</v>
      </c>
      <c r="D16" s="2">
        <f>INDEX(DataArbeid!$B$8:$D$19, B16, 3)/1000</f>
        <v>50</v>
      </c>
      <c r="E16" s="2">
        <f>INDEX(DataArbeid!$B$8:$D$19, B16+1, 1)</f>
        <v>42.5</v>
      </c>
      <c r="F16" s="2">
        <f>INDEX(DataArbeid!$B$8:$D$19, B16+1, 3)/1000</f>
        <v>50</v>
      </c>
      <c r="G16" s="2">
        <f t="shared" si="4"/>
        <v>50</v>
      </c>
      <c r="H16" s="2">
        <f t="shared" si="5"/>
        <v>98.954252955936681</v>
      </c>
      <c r="I16" s="2">
        <f>IF(Settings!$U$2="Belastingdienst", H16, G16)</f>
        <v>50</v>
      </c>
      <c r="J16" s="73">
        <f>IF(Settings!$U$5="handmatige deeltijdfactor", Settings!U28/(P16/voltijduren),1)*I16*R16</f>
        <v>50</v>
      </c>
      <c r="K16" s="2">
        <f>MATCH($A16,DataArbeid!$H$7:$H$19,1)</f>
        <v>6</v>
      </c>
      <c r="L16" s="2">
        <f>INDEX(DataArbeid!$H$7:$H$19, K16, 1)</f>
        <v>37.5</v>
      </c>
      <c r="M16" s="2">
        <f>INDEX(DataArbeid!$H$7:$J$19, K16, 3)</f>
        <v>38</v>
      </c>
      <c r="N16" s="2">
        <f>INDEX(DataArbeid!$H$7:$H$19, K16+1, 1)</f>
        <v>42.5</v>
      </c>
      <c r="O16" s="2">
        <f>INDEX(DataArbeid!$H$7:$J$19, K16+1, 3)</f>
        <v>38</v>
      </c>
      <c r="P16" s="2">
        <f t="shared" si="1"/>
        <v>38</v>
      </c>
      <c r="Q16" s="73">
        <f>IF(Settings!$U$5="vanaf bepaald leeftijdsjaar", (Settings!$U$11&lt;=$A16)*voltijduren, IF( Settings!$U$5="handmatige deeltijdfactor", Settings!U28*voltijduren, P16 ) )</f>
        <v>38</v>
      </c>
      <c r="R16" s="14">
        <f t="shared" si="2"/>
        <v>1</v>
      </c>
      <c r="S16">
        <f t="shared" si="3"/>
        <v>35</v>
      </c>
      <c r="AB16"/>
    </row>
    <row r="17" spans="1:28" x14ac:dyDescent="0.25">
      <c r="A17">
        <v>40</v>
      </c>
      <c r="B17" s="2">
        <f>MATCH($A17,DataArbeid!$B$8:$B$19,1)</f>
        <v>5</v>
      </c>
      <c r="C17" s="2">
        <f>INDEX(DataArbeid!$B$8:$D$19, B17, 1)</f>
        <v>37.5</v>
      </c>
      <c r="D17" s="2">
        <f>INDEX(DataArbeid!$B$8:$D$19, B17, 3)/1000</f>
        <v>50</v>
      </c>
      <c r="E17" s="2">
        <f>INDEX(DataArbeid!$B$8:$D$19, B17+1, 1)</f>
        <v>42.5</v>
      </c>
      <c r="F17" s="2">
        <f>INDEX(DataArbeid!$B$8:$D$19, B17+1, 3)/1000</f>
        <v>50</v>
      </c>
      <c r="G17" s="2">
        <f t="shared" si="4"/>
        <v>50</v>
      </c>
      <c r="H17" s="2">
        <f t="shared" si="5"/>
        <v>100.93333801505541</v>
      </c>
      <c r="I17" s="2">
        <f>IF(Settings!$U$2="Belastingdienst", H17, G17)</f>
        <v>50</v>
      </c>
      <c r="J17" s="73">
        <f>IF(Settings!$U$5="handmatige deeltijdfactor", Settings!U29/(P17/voltijduren),1)*I17*R17</f>
        <v>50</v>
      </c>
      <c r="K17" s="2">
        <f>MATCH($A17,DataArbeid!$H$7:$H$19,1)</f>
        <v>6</v>
      </c>
      <c r="L17" s="2">
        <f>INDEX(DataArbeid!$H$7:$H$19, K17, 1)</f>
        <v>37.5</v>
      </c>
      <c r="M17" s="2">
        <f>INDEX(DataArbeid!$H$7:$J$19, K17, 3)</f>
        <v>38</v>
      </c>
      <c r="N17" s="2">
        <f>INDEX(DataArbeid!$H$7:$H$19, K17+1, 1)</f>
        <v>42.5</v>
      </c>
      <c r="O17" s="2">
        <f>INDEX(DataArbeid!$H$7:$J$19, K17+1, 3)</f>
        <v>38</v>
      </c>
      <c r="P17" s="2">
        <f t="shared" si="1"/>
        <v>38</v>
      </c>
      <c r="Q17" s="73">
        <f>IF(Settings!$U$5="vanaf bepaald leeftijdsjaar", (Settings!$U$11&lt;=$A17)*voltijduren, IF( Settings!$U$5="handmatige deeltijdfactor", Settings!U29*voltijduren, P17 ) )</f>
        <v>38</v>
      </c>
      <c r="R17" s="14">
        <f t="shared" si="2"/>
        <v>1</v>
      </c>
      <c r="S17">
        <f t="shared" si="3"/>
        <v>35</v>
      </c>
      <c r="AB17"/>
    </row>
    <row r="18" spans="1:28" x14ac:dyDescent="0.25">
      <c r="A18">
        <v>41</v>
      </c>
      <c r="B18" s="2">
        <f>MATCH($A18,DataArbeid!$B$8:$B$19,1)</f>
        <v>5</v>
      </c>
      <c r="C18" s="2">
        <f>INDEX(DataArbeid!$B$8:$D$19, B18, 1)</f>
        <v>37.5</v>
      </c>
      <c r="D18" s="2">
        <f>INDEX(DataArbeid!$B$8:$D$19, B18, 3)/1000</f>
        <v>50</v>
      </c>
      <c r="E18" s="2">
        <f>INDEX(DataArbeid!$B$8:$D$19, B18+1, 1)</f>
        <v>42.5</v>
      </c>
      <c r="F18" s="2">
        <f>INDEX(DataArbeid!$B$8:$D$19, B18+1, 3)/1000</f>
        <v>50</v>
      </c>
      <c r="G18" s="2">
        <f t="shared" si="4"/>
        <v>50</v>
      </c>
      <c r="H18" s="2">
        <f t="shared" si="5"/>
        <v>102.95200477535653</v>
      </c>
      <c r="I18" s="2">
        <f>IF(Settings!$U$2="Belastingdienst", H18, G18)</f>
        <v>50</v>
      </c>
      <c r="J18" s="73">
        <f>IF(Settings!$U$5="handmatige deeltijdfactor", Settings!U30/(P18/voltijduren),1)*I18*R18</f>
        <v>50</v>
      </c>
      <c r="K18" s="2">
        <f>MATCH($A18,DataArbeid!$H$7:$H$19,1)</f>
        <v>6</v>
      </c>
      <c r="L18" s="2">
        <f>INDEX(DataArbeid!$H$7:$H$19, K18, 1)</f>
        <v>37.5</v>
      </c>
      <c r="M18" s="2">
        <f>INDEX(DataArbeid!$H$7:$J$19, K18, 3)</f>
        <v>38</v>
      </c>
      <c r="N18" s="2">
        <f>INDEX(DataArbeid!$H$7:$H$19, K18+1, 1)</f>
        <v>42.5</v>
      </c>
      <c r="O18" s="2">
        <f>INDEX(DataArbeid!$H$7:$J$19, K18+1, 3)</f>
        <v>38</v>
      </c>
      <c r="P18" s="2">
        <f t="shared" si="1"/>
        <v>38</v>
      </c>
      <c r="Q18" s="73">
        <f>IF(Settings!$U$5="vanaf bepaald leeftijdsjaar", (Settings!$U$11&lt;=$A18)*voltijduren, IF( Settings!$U$5="handmatige deeltijdfactor", Settings!U30*voltijduren, P18 ) )</f>
        <v>38</v>
      </c>
      <c r="R18" s="14">
        <f t="shared" si="2"/>
        <v>1</v>
      </c>
      <c r="S18">
        <f t="shared" si="3"/>
        <v>35</v>
      </c>
      <c r="AB18"/>
    </row>
    <row r="19" spans="1:28" x14ac:dyDescent="0.25">
      <c r="A19">
        <v>42</v>
      </c>
      <c r="B19" s="2">
        <f>MATCH($A19,DataArbeid!$B$8:$B$19,1)</f>
        <v>5</v>
      </c>
      <c r="C19" s="2">
        <f>INDEX(DataArbeid!$B$8:$D$19, B19, 1)</f>
        <v>37.5</v>
      </c>
      <c r="D19" s="2">
        <f>INDEX(DataArbeid!$B$8:$D$19, B19, 3)/1000</f>
        <v>50</v>
      </c>
      <c r="E19" s="2">
        <f>INDEX(DataArbeid!$B$8:$D$19, B19+1, 1)</f>
        <v>42.5</v>
      </c>
      <c r="F19" s="2">
        <f>INDEX(DataArbeid!$B$8:$D$19, B19+1, 3)/1000</f>
        <v>50</v>
      </c>
      <c r="G19" s="2">
        <f t="shared" si="4"/>
        <v>50</v>
      </c>
      <c r="H19" s="2">
        <f t="shared" si="5"/>
        <v>105.01104487086366</v>
      </c>
      <c r="I19" s="2">
        <f>IF(Settings!$U$2="Belastingdienst", H19, G19)</f>
        <v>50</v>
      </c>
      <c r="J19" s="73">
        <f>IF(Settings!$U$5="handmatige deeltijdfactor", Settings!U31/(P19/voltijduren),1)*I19*R19</f>
        <v>50</v>
      </c>
      <c r="K19" s="2">
        <f>MATCH($A19,DataArbeid!$H$7:$H$19,1)</f>
        <v>6</v>
      </c>
      <c r="L19" s="2">
        <f>INDEX(DataArbeid!$H$7:$H$19, K19, 1)</f>
        <v>37.5</v>
      </c>
      <c r="M19" s="2">
        <f>INDEX(DataArbeid!$H$7:$J$19, K19, 3)</f>
        <v>38</v>
      </c>
      <c r="N19" s="2">
        <f>INDEX(DataArbeid!$H$7:$H$19, K19+1, 1)</f>
        <v>42.5</v>
      </c>
      <c r="O19" s="2">
        <f>INDEX(DataArbeid!$H$7:$J$19, K19+1, 3)</f>
        <v>38</v>
      </c>
      <c r="P19" s="2">
        <f t="shared" si="1"/>
        <v>38</v>
      </c>
      <c r="Q19" s="73">
        <f>IF(Settings!$U$5="vanaf bepaald leeftijdsjaar", (Settings!$U$11&lt;=$A19)*voltijduren, IF( Settings!$U$5="handmatige deeltijdfactor", Settings!U31*voltijduren, P19 ) )</f>
        <v>38</v>
      </c>
      <c r="R19" s="14">
        <f t="shared" si="2"/>
        <v>1</v>
      </c>
      <c r="S19">
        <f t="shared" si="3"/>
        <v>35</v>
      </c>
      <c r="AB19"/>
    </row>
    <row r="20" spans="1:28" x14ac:dyDescent="0.25">
      <c r="A20">
        <v>43</v>
      </c>
      <c r="B20" s="2">
        <f>MATCH($A20,DataArbeid!$B$8:$B$19,1)</f>
        <v>6</v>
      </c>
      <c r="C20" s="2">
        <f>INDEX(DataArbeid!$B$8:$D$19, B20, 1)</f>
        <v>42.5</v>
      </c>
      <c r="D20" s="2">
        <f>INDEX(DataArbeid!$B$8:$D$19, B20, 3)/1000</f>
        <v>50</v>
      </c>
      <c r="E20" s="2">
        <f>INDEX(DataArbeid!$B$8:$D$19, B20+1, 1)</f>
        <v>47.5</v>
      </c>
      <c r="F20" s="2">
        <f>INDEX(DataArbeid!$B$8:$D$19, B20+1, 3)/1000</f>
        <v>50</v>
      </c>
      <c r="G20" s="2">
        <f t="shared" si="4"/>
        <v>50</v>
      </c>
      <c r="H20" s="2">
        <f t="shared" si="5"/>
        <v>107.11126576828093</v>
      </c>
      <c r="I20" s="2">
        <f>IF(Settings!$U$2="Belastingdienst", H20, G20)</f>
        <v>50</v>
      </c>
      <c r="J20" s="73">
        <f>IF(Settings!$U$5="handmatige deeltijdfactor", Settings!U32/(P20/voltijduren),1)*I20*R20</f>
        <v>50</v>
      </c>
      <c r="K20" s="2">
        <f>MATCH($A20,DataArbeid!$H$7:$H$19,1)</f>
        <v>7</v>
      </c>
      <c r="L20" s="2">
        <f>INDEX(DataArbeid!$H$7:$H$19, K20, 1)</f>
        <v>42.5</v>
      </c>
      <c r="M20" s="2">
        <f>INDEX(DataArbeid!$H$7:$J$19, K20, 3)</f>
        <v>38</v>
      </c>
      <c r="N20" s="2">
        <f>INDEX(DataArbeid!$H$7:$H$19, K20+1, 1)</f>
        <v>47.5</v>
      </c>
      <c r="O20" s="2">
        <f>INDEX(DataArbeid!$H$7:$J$19, K20+1, 3)</f>
        <v>38</v>
      </c>
      <c r="P20" s="2">
        <f t="shared" si="1"/>
        <v>38</v>
      </c>
      <c r="Q20" s="73">
        <f>IF(Settings!$U$5="vanaf bepaald leeftijdsjaar", (Settings!$U$11&lt;=$A20)*voltijduren, IF( Settings!$U$5="handmatige deeltijdfactor", Settings!U32*voltijduren, P20 ) )</f>
        <v>38</v>
      </c>
      <c r="R20" s="14">
        <f t="shared" si="2"/>
        <v>1</v>
      </c>
      <c r="S20">
        <f t="shared" si="3"/>
        <v>35</v>
      </c>
      <c r="AB20"/>
    </row>
    <row r="21" spans="1:28" x14ac:dyDescent="0.25">
      <c r="A21">
        <v>44</v>
      </c>
      <c r="B21" s="2">
        <f>MATCH($A21,DataArbeid!$B$8:$B$19,1)</f>
        <v>6</v>
      </c>
      <c r="C21" s="2">
        <f>INDEX(DataArbeid!$B$8:$D$19, B21, 1)</f>
        <v>42.5</v>
      </c>
      <c r="D21" s="2">
        <f>INDEX(DataArbeid!$B$8:$D$19, B21, 3)/1000</f>
        <v>50</v>
      </c>
      <c r="E21" s="2">
        <f>INDEX(DataArbeid!$B$8:$D$19, B21+1, 1)</f>
        <v>47.5</v>
      </c>
      <c r="F21" s="2">
        <f>INDEX(DataArbeid!$B$8:$D$19, B21+1, 3)/1000</f>
        <v>50</v>
      </c>
      <c r="G21" s="2">
        <f t="shared" si="4"/>
        <v>50</v>
      </c>
      <c r="H21" s="2">
        <f>H22/1.02</f>
        <v>109.25349108364655</v>
      </c>
      <c r="I21" s="2">
        <f>IF(Settings!$U$2="Belastingdienst", H21, G21)</f>
        <v>50</v>
      </c>
      <c r="J21" s="73">
        <f>IF(Settings!$U$5="handmatige deeltijdfactor", Settings!U33/(P21/voltijduren),1)*I21*R21</f>
        <v>50</v>
      </c>
      <c r="K21" s="2">
        <f>MATCH($A21,DataArbeid!$H$7:$H$19,1)</f>
        <v>7</v>
      </c>
      <c r="L21" s="2">
        <f>INDEX(DataArbeid!$H$7:$H$19, K21, 1)</f>
        <v>42.5</v>
      </c>
      <c r="M21" s="2">
        <f>INDEX(DataArbeid!$H$7:$J$19, K21, 3)</f>
        <v>38</v>
      </c>
      <c r="N21" s="2">
        <f>INDEX(DataArbeid!$H$7:$H$19, K21+1, 1)</f>
        <v>47.5</v>
      </c>
      <c r="O21" s="2">
        <f>INDEX(DataArbeid!$H$7:$J$19, K21+1, 3)</f>
        <v>38</v>
      </c>
      <c r="P21" s="2">
        <f t="shared" si="1"/>
        <v>38</v>
      </c>
      <c r="Q21" s="73">
        <f>IF(Settings!$U$5="vanaf bepaald leeftijdsjaar", (Settings!$U$11&lt;=$A21)*voltijduren, IF( Settings!$U$5="handmatige deeltijdfactor", Settings!U33*voltijduren, P21 ) )</f>
        <v>38</v>
      </c>
      <c r="R21" s="14">
        <f t="shared" si="2"/>
        <v>1</v>
      </c>
      <c r="S21">
        <f t="shared" si="3"/>
        <v>35</v>
      </c>
      <c r="AB21"/>
    </row>
    <row r="22" spans="1:28" x14ac:dyDescent="0.25">
      <c r="A22">
        <v>45</v>
      </c>
      <c r="B22" s="2">
        <f>MATCH($A22,DataArbeid!$B$8:$B$19,1)</f>
        <v>6</v>
      </c>
      <c r="C22" s="2">
        <f>INDEX(DataArbeid!$B$8:$D$19, B22, 1)</f>
        <v>42.5</v>
      </c>
      <c r="D22" s="2">
        <f>INDEX(DataArbeid!$B$8:$D$19, B22, 3)/1000</f>
        <v>50</v>
      </c>
      <c r="E22" s="2">
        <f>INDEX(DataArbeid!$B$8:$D$19, B22+1, 1)</f>
        <v>47.5</v>
      </c>
      <c r="F22" s="2">
        <f>INDEX(DataArbeid!$B$8:$D$19, B22+1, 3)/1000</f>
        <v>50</v>
      </c>
      <c r="G22" s="2">
        <f t="shared" si="4"/>
        <v>50</v>
      </c>
      <c r="H22" s="2">
        <f t="shared" ref="H22:H30" si="6">H23/1.01</f>
        <v>111.43856090531949</v>
      </c>
      <c r="I22" s="2">
        <f>IF(Settings!$U$2="Belastingdienst", H22, G22)</f>
        <v>50</v>
      </c>
      <c r="J22" s="73">
        <f>IF(Settings!$U$5="handmatige deeltijdfactor", Settings!U34/(P22/voltijduren),1)*I22*R22</f>
        <v>50</v>
      </c>
      <c r="K22" s="2">
        <f>MATCH($A22,DataArbeid!$H$7:$H$19,1)</f>
        <v>7</v>
      </c>
      <c r="L22" s="2">
        <f>INDEX(DataArbeid!$H$7:$H$19, K22, 1)</f>
        <v>42.5</v>
      </c>
      <c r="M22" s="2">
        <f>INDEX(DataArbeid!$H$7:$J$19, K22, 3)</f>
        <v>38</v>
      </c>
      <c r="N22" s="2">
        <f>INDEX(DataArbeid!$H$7:$H$19, K22+1, 1)</f>
        <v>47.5</v>
      </c>
      <c r="O22" s="2">
        <f>INDEX(DataArbeid!$H$7:$J$19, K22+1, 3)</f>
        <v>38</v>
      </c>
      <c r="P22" s="2">
        <f t="shared" si="1"/>
        <v>38</v>
      </c>
      <c r="Q22" s="73">
        <f>IF(Settings!$U$5="vanaf bepaald leeftijdsjaar", (Settings!$U$11&lt;=$A22)*voltijduren, IF( Settings!$U$5="handmatige deeltijdfactor", Settings!U34*voltijduren, P22 ) )</f>
        <v>38</v>
      </c>
      <c r="R22" s="14">
        <f t="shared" si="2"/>
        <v>1</v>
      </c>
      <c r="S22">
        <f t="shared" si="3"/>
        <v>35</v>
      </c>
      <c r="AB22"/>
    </row>
    <row r="23" spans="1:28" x14ac:dyDescent="0.25">
      <c r="A23">
        <v>46</v>
      </c>
      <c r="B23" s="2">
        <f>MATCH($A23,DataArbeid!$B$8:$B$19,1)</f>
        <v>6</v>
      </c>
      <c r="C23" s="2">
        <f>INDEX(DataArbeid!$B$8:$D$19, B23, 1)</f>
        <v>42.5</v>
      </c>
      <c r="D23" s="2">
        <f>INDEX(DataArbeid!$B$8:$D$19, B23, 3)/1000</f>
        <v>50</v>
      </c>
      <c r="E23" s="2">
        <f>INDEX(DataArbeid!$B$8:$D$19, B23+1, 1)</f>
        <v>47.5</v>
      </c>
      <c r="F23" s="2">
        <f>INDEX(DataArbeid!$B$8:$D$19, B23+1, 3)/1000</f>
        <v>50</v>
      </c>
      <c r="G23" s="2">
        <f t="shared" si="4"/>
        <v>50</v>
      </c>
      <c r="H23" s="2">
        <f t="shared" si="6"/>
        <v>112.55294651437269</v>
      </c>
      <c r="I23" s="2">
        <f>IF(Settings!$U$2="Belastingdienst", H23, G23)</f>
        <v>50</v>
      </c>
      <c r="J23" s="73">
        <f>IF(Settings!$U$5="handmatige deeltijdfactor", Settings!U35/(P23/voltijduren),1)*I23*R23</f>
        <v>50</v>
      </c>
      <c r="K23" s="2">
        <f>MATCH($A23,DataArbeid!$H$7:$H$19,1)</f>
        <v>7</v>
      </c>
      <c r="L23" s="2">
        <f>INDEX(DataArbeid!$H$7:$H$19, K23, 1)</f>
        <v>42.5</v>
      </c>
      <c r="M23" s="2">
        <f>INDEX(DataArbeid!$H$7:$J$19, K23, 3)</f>
        <v>38</v>
      </c>
      <c r="N23" s="2">
        <f>INDEX(DataArbeid!$H$7:$H$19, K23+1, 1)</f>
        <v>47.5</v>
      </c>
      <c r="O23" s="2">
        <f>INDEX(DataArbeid!$H$7:$J$19, K23+1, 3)</f>
        <v>38</v>
      </c>
      <c r="P23" s="2">
        <f t="shared" si="1"/>
        <v>38</v>
      </c>
      <c r="Q23" s="73">
        <f>IF(Settings!$U$5="vanaf bepaald leeftijdsjaar", (Settings!$U$11&lt;=$A23)*voltijduren, IF( Settings!$U$5="handmatige deeltijdfactor", Settings!U35*voltijduren, P23 ) )</f>
        <v>38</v>
      </c>
      <c r="R23" s="14">
        <f t="shared" si="2"/>
        <v>1</v>
      </c>
      <c r="S23">
        <f t="shared" si="3"/>
        <v>35</v>
      </c>
      <c r="AB23"/>
    </row>
    <row r="24" spans="1:28" x14ac:dyDescent="0.25">
      <c r="A24">
        <v>47</v>
      </c>
      <c r="B24" s="2">
        <f>MATCH($A24,DataArbeid!$B$8:$B$19,1)</f>
        <v>6</v>
      </c>
      <c r="C24" s="2">
        <f>INDEX(DataArbeid!$B$8:$D$19, B24, 1)</f>
        <v>42.5</v>
      </c>
      <c r="D24" s="2">
        <f>INDEX(DataArbeid!$B$8:$D$19, B24, 3)/1000</f>
        <v>50</v>
      </c>
      <c r="E24" s="2">
        <f>INDEX(DataArbeid!$B$8:$D$19, B24+1, 1)</f>
        <v>47.5</v>
      </c>
      <c r="F24" s="2">
        <f>INDEX(DataArbeid!$B$8:$D$19, B24+1, 3)/1000</f>
        <v>50</v>
      </c>
      <c r="G24" s="2">
        <f t="shared" si="4"/>
        <v>50</v>
      </c>
      <c r="H24" s="2">
        <f t="shared" si="6"/>
        <v>113.67847597951642</v>
      </c>
      <c r="I24" s="2">
        <f>IF(Settings!$U$2="Belastingdienst", H24, G24)</f>
        <v>50</v>
      </c>
      <c r="J24" s="73">
        <f>IF(Settings!$U$5="handmatige deeltijdfactor", Settings!U36/(P24/voltijduren),1)*I24*R24</f>
        <v>50</v>
      </c>
      <c r="K24" s="2">
        <f>MATCH($A24,DataArbeid!$H$7:$H$19,1)</f>
        <v>7</v>
      </c>
      <c r="L24" s="2">
        <f>INDEX(DataArbeid!$H$7:$H$19, K24, 1)</f>
        <v>42.5</v>
      </c>
      <c r="M24" s="2">
        <f>INDEX(DataArbeid!$H$7:$J$19, K24, 3)</f>
        <v>38</v>
      </c>
      <c r="N24" s="2">
        <f>INDEX(DataArbeid!$H$7:$H$19, K24+1, 1)</f>
        <v>47.5</v>
      </c>
      <c r="O24" s="2">
        <f>INDEX(DataArbeid!$H$7:$J$19, K24+1, 3)</f>
        <v>38</v>
      </c>
      <c r="P24" s="2">
        <f t="shared" si="1"/>
        <v>38</v>
      </c>
      <c r="Q24" s="73">
        <f>IF(Settings!$U$5="vanaf bepaald leeftijdsjaar", (Settings!$U$11&lt;=$A24)*voltijduren, IF( Settings!$U$5="handmatige deeltijdfactor", Settings!U36*voltijduren, P24 ) )</f>
        <v>38</v>
      </c>
      <c r="R24" s="14">
        <f t="shared" si="2"/>
        <v>1</v>
      </c>
      <c r="S24">
        <f t="shared" si="3"/>
        <v>35</v>
      </c>
      <c r="AB24"/>
    </row>
    <row r="25" spans="1:28" x14ac:dyDescent="0.25">
      <c r="A25">
        <v>48</v>
      </c>
      <c r="B25" s="2">
        <f>MATCH($A25,DataArbeid!$B$8:$B$19,1)</f>
        <v>7</v>
      </c>
      <c r="C25" s="2">
        <f>INDEX(DataArbeid!$B$8:$D$19, B25, 1)</f>
        <v>47.5</v>
      </c>
      <c r="D25" s="2">
        <f>INDEX(DataArbeid!$B$8:$D$19, B25, 3)/1000</f>
        <v>50</v>
      </c>
      <c r="E25" s="2">
        <f>INDEX(DataArbeid!$B$8:$D$19, B25+1, 1)</f>
        <v>52.5</v>
      </c>
      <c r="F25" s="2">
        <f>INDEX(DataArbeid!$B$8:$D$19, B25+1, 3)/1000</f>
        <v>50</v>
      </c>
      <c r="G25" s="2">
        <f t="shared" si="4"/>
        <v>50</v>
      </c>
      <c r="H25" s="2">
        <f t="shared" si="6"/>
        <v>114.81526073931158</v>
      </c>
      <c r="I25" s="2">
        <f>IF(Settings!$U$2="Belastingdienst", H25, G25)</f>
        <v>50</v>
      </c>
      <c r="J25" s="73">
        <f>IF(Settings!$U$5="handmatige deeltijdfactor", Settings!U37/(P25/voltijduren),1)*I25*R25</f>
        <v>50</v>
      </c>
      <c r="K25" s="2">
        <f>MATCH($A25,DataArbeid!$H$7:$H$19,1)</f>
        <v>8</v>
      </c>
      <c r="L25" s="2">
        <f>INDEX(DataArbeid!$H$7:$H$19, K25, 1)</f>
        <v>47.5</v>
      </c>
      <c r="M25" s="2">
        <f>INDEX(DataArbeid!$H$7:$J$19, K25, 3)</f>
        <v>38</v>
      </c>
      <c r="N25" s="2">
        <f>INDEX(DataArbeid!$H$7:$H$19, K25+1, 1)</f>
        <v>52.5</v>
      </c>
      <c r="O25" s="2">
        <f>INDEX(DataArbeid!$H$7:$J$19, K25+1, 3)</f>
        <v>38</v>
      </c>
      <c r="P25" s="2">
        <f t="shared" si="1"/>
        <v>38</v>
      </c>
      <c r="Q25" s="73">
        <f>IF(Settings!$U$5="vanaf bepaald leeftijdsjaar", (Settings!$U$11&lt;=$A25)*voltijduren, IF( Settings!$U$5="handmatige deeltijdfactor", Settings!U37*voltijduren, P25 ) )</f>
        <v>38</v>
      </c>
      <c r="R25" s="14">
        <f t="shared" si="2"/>
        <v>1</v>
      </c>
      <c r="S25">
        <f t="shared" si="3"/>
        <v>35</v>
      </c>
      <c r="AB25"/>
    </row>
    <row r="26" spans="1:28" x14ac:dyDescent="0.25">
      <c r="A26">
        <v>49</v>
      </c>
      <c r="B26" s="2">
        <f>MATCH($A26,DataArbeid!$B$8:$B$19,1)</f>
        <v>7</v>
      </c>
      <c r="C26" s="2">
        <f>INDEX(DataArbeid!$B$8:$D$19, B26, 1)</f>
        <v>47.5</v>
      </c>
      <c r="D26" s="2">
        <f>INDEX(DataArbeid!$B$8:$D$19, B26, 3)/1000</f>
        <v>50</v>
      </c>
      <c r="E26" s="2">
        <f>INDEX(DataArbeid!$B$8:$D$19, B26+1, 1)</f>
        <v>52.5</v>
      </c>
      <c r="F26" s="2">
        <f>INDEX(DataArbeid!$B$8:$D$19, B26+1, 3)/1000</f>
        <v>50</v>
      </c>
      <c r="G26" s="2">
        <f t="shared" si="4"/>
        <v>50</v>
      </c>
      <c r="H26" s="2">
        <f t="shared" si="6"/>
        <v>115.9634133467047</v>
      </c>
      <c r="I26" s="2">
        <f>IF(Settings!$U$2="Belastingdienst", H26, G26)</f>
        <v>50</v>
      </c>
      <c r="J26" s="73">
        <f>IF(Settings!$U$5="handmatige deeltijdfactor", Settings!U38/(P26/voltijduren),1)*I26*R26</f>
        <v>50</v>
      </c>
      <c r="K26" s="2">
        <f>MATCH($A26,DataArbeid!$H$7:$H$19,1)</f>
        <v>8</v>
      </c>
      <c r="L26" s="2">
        <f>INDEX(DataArbeid!$H$7:$H$19, K26, 1)</f>
        <v>47.5</v>
      </c>
      <c r="M26" s="2">
        <f>INDEX(DataArbeid!$H$7:$J$19, K26, 3)</f>
        <v>38</v>
      </c>
      <c r="N26" s="2">
        <f>INDEX(DataArbeid!$H$7:$H$19, K26+1, 1)</f>
        <v>52.5</v>
      </c>
      <c r="O26" s="2">
        <f>INDEX(DataArbeid!$H$7:$J$19, K26+1, 3)</f>
        <v>38</v>
      </c>
      <c r="P26" s="2">
        <f t="shared" si="1"/>
        <v>38</v>
      </c>
      <c r="Q26" s="73">
        <f>IF(Settings!$U$5="vanaf bepaald leeftijdsjaar", (Settings!$U$11&lt;=$A26)*voltijduren, IF( Settings!$U$5="handmatige deeltijdfactor", Settings!U38*voltijduren, P26 ) )</f>
        <v>38</v>
      </c>
      <c r="R26" s="14">
        <f t="shared" si="2"/>
        <v>1</v>
      </c>
      <c r="S26">
        <f t="shared" si="3"/>
        <v>35</v>
      </c>
      <c r="AB26"/>
    </row>
    <row r="27" spans="1:28" x14ac:dyDescent="0.25">
      <c r="A27">
        <v>50</v>
      </c>
      <c r="B27" s="2">
        <f>MATCH($A27,DataArbeid!$B$8:$B$19,1)</f>
        <v>7</v>
      </c>
      <c r="C27" s="2">
        <f>INDEX(DataArbeid!$B$8:$D$19, B27, 1)</f>
        <v>47.5</v>
      </c>
      <c r="D27" s="2">
        <f>INDEX(DataArbeid!$B$8:$D$19, B27, 3)/1000</f>
        <v>50</v>
      </c>
      <c r="E27" s="2">
        <f>INDEX(DataArbeid!$B$8:$D$19, B27+1, 1)</f>
        <v>52.5</v>
      </c>
      <c r="F27" s="2">
        <f>INDEX(DataArbeid!$B$8:$D$19, B27+1, 3)/1000</f>
        <v>50</v>
      </c>
      <c r="G27" s="2">
        <f t="shared" si="4"/>
        <v>50</v>
      </c>
      <c r="H27" s="2">
        <f t="shared" si="6"/>
        <v>117.12304748017175</v>
      </c>
      <c r="I27" s="2">
        <f>IF(Settings!$U$2="Belastingdienst", H27, G27)</f>
        <v>50</v>
      </c>
      <c r="J27" s="73">
        <f>IF(Settings!$U$5="handmatige deeltijdfactor", Settings!U39/(P27/voltijduren),1)*I27*R27</f>
        <v>50</v>
      </c>
      <c r="K27" s="2">
        <f>MATCH($A27,DataArbeid!$H$7:$H$19,1)</f>
        <v>8</v>
      </c>
      <c r="L27" s="2">
        <f>INDEX(DataArbeid!$H$7:$H$19, K27, 1)</f>
        <v>47.5</v>
      </c>
      <c r="M27" s="2">
        <f>INDEX(DataArbeid!$H$7:$J$19, K27, 3)</f>
        <v>38</v>
      </c>
      <c r="N27" s="2">
        <f>INDEX(DataArbeid!$H$7:$H$19, K27+1, 1)</f>
        <v>52.5</v>
      </c>
      <c r="O27" s="2">
        <f>INDEX(DataArbeid!$H$7:$J$19, K27+1, 3)</f>
        <v>38</v>
      </c>
      <c r="P27" s="2">
        <f t="shared" si="1"/>
        <v>38</v>
      </c>
      <c r="Q27" s="73">
        <f>IF(Settings!$U$5="vanaf bepaald leeftijdsjaar", (Settings!$U$11&lt;=$A27)*voltijduren, IF( Settings!$U$5="handmatige deeltijdfactor", Settings!U39*voltijduren, P27 ) )</f>
        <v>38</v>
      </c>
      <c r="R27" s="14">
        <f t="shared" si="2"/>
        <v>1</v>
      </c>
      <c r="S27">
        <f t="shared" si="3"/>
        <v>35</v>
      </c>
      <c r="AB27"/>
    </row>
    <row r="28" spans="1:28" x14ac:dyDescent="0.25">
      <c r="A28">
        <v>51</v>
      </c>
      <c r="B28" s="2">
        <f>MATCH($A28,DataArbeid!$B$8:$B$19,1)</f>
        <v>7</v>
      </c>
      <c r="C28" s="2">
        <f>INDEX(DataArbeid!$B$8:$D$19, B28, 1)</f>
        <v>47.5</v>
      </c>
      <c r="D28" s="2">
        <f>INDEX(DataArbeid!$B$8:$D$19, B28, 3)/1000</f>
        <v>50</v>
      </c>
      <c r="E28" s="2">
        <f>INDEX(DataArbeid!$B$8:$D$19, B28+1, 1)</f>
        <v>52.5</v>
      </c>
      <c r="F28" s="2">
        <f>INDEX(DataArbeid!$B$8:$D$19, B28+1, 3)/1000</f>
        <v>50</v>
      </c>
      <c r="G28" s="2">
        <f t="shared" si="4"/>
        <v>50</v>
      </c>
      <c r="H28" s="2">
        <f t="shared" si="6"/>
        <v>118.29427795497347</v>
      </c>
      <c r="I28" s="2">
        <f>IF(Settings!$U$2="Belastingdienst", H28, G28)</f>
        <v>50</v>
      </c>
      <c r="J28" s="73">
        <f>IF(Settings!$U$5="handmatige deeltijdfactor", Settings!U40/(P28/voltijduren),1)*I28*R28</f>
        <v>50</v>
      </c>
      <c r="K28" s="2">
        <f>MATCH($A28,DataArbeid!$H$7:$H$19,1)</f>
        <v>8</v>
      </c>
      <c r="L28" s="2">
        <f>INDEX(DataArbeid!$H$7:$H$19, K28, 1)</f>
        <v>47.5</v>
      </c>
      <c r="M28" s="2">
        <f>INDEX(DataArbeid!$H$7:$J$19, K28, 3)</f>
        <v>38</v>
      </c>
      <c r="N28" s="2">
        <f>INDEX(DataArbeid!$H$7:$H$19, K28+1, 1)</f>
        <v>52.5</v>
      </c>
      <c r="O28" s="2">
        <f>INDEX(DataArbeid!$H$7:$J$19, K28+1, 3)</f>
        <v>38</v>
      </c>
      <c r="P28" s="2">
        <f t="shared" si="1"/>
        <v>38</v>
      </c>
      <c r="Q28" s="73">
        <f>IF(Settings!$U$5="vanaf bepaald leeftijdsjaar", (Settings!$U$11&lt;=$A28)*voltijduren, IF( Settings!$U$5="handmatige deeltijdfactor", Settings!U40*voltijduren, P28 ) )</f>
        <v>38</v>
      </c>
      <c r="R28" s="14">
        <f t="shared" si="2"/>
        <v>1</v>
      </c>
      <c r="S28">
        <f t="shared" si="3"/>
        <v>35</v>
      </c>
      <c r="AB28"/>
    </row>
    <row r="29" spans="1:28" x14ac:dyDescent="0.25">
      <c r="A29">
        <v>52</v>
      </c>
      <c r="B29" s="2">
        <f>MATCH($A29,DataArbeid!$B$8:$B$19,1)</f>
        <v>7</v>
      </c>
      <c r="C29" s="2">
        <f>INDEX(DataArbeid!$B$8:$D$19, B29, 1)</f>
        <v>47.5</v>
      </c>
      <c r="D29" s="2">
        <f>INDEX(DataArbeid!$B$8:$D$19, B29, 3)/1000</f>
        <v>50</v>
      </c>
      <c r="E29" s="2">
        <f>INDEX(DataArbeid!$B$8:$D$19, B29+1, 1)</f>
        <v>52.5</v>
      </c>
      <c r="F29" s="2">
        <f>INDEX(DataArbeid!$B$8:$D$19, B29+1, 3)/1000</f>
        <v>50</v>
      </c>
      <c r="G29" s="2">
        <f t="shared" si="4"/>
        <v>50</v>
      </c>
      <c r="H29" s="2">
        <f t="shared" si="6"/>
        <v>119.4772207345232</v>
      </c>
      <c r="I29" s="2">
        <f>IF(Settings!$U$2="Belastingdienst", H29, G29)</f>
        <v>50</v>
      </c>
      <c r="J29" s="73">
        <f>IF(Settings!$U$5="handmatige deeltijdfactor", Settings!U41/(P29/voltijduren),1)*I29*R29</f>
        <v>50</v>
      </c>
      <c r="K29" s="2">
        <f>MATCH($A29,DataArbeid!$H$7:$H$19,1)</f>
        <v>8</v>
      </c>
      <c r="L29" s="2">
        <f>INDEX(DataArbeid!$H$7:$H$19, K29, 1)</f>
        <v>47.5</v>
      </c>
      <c r="M29" s="2">
        <f>INDEX(DataArbeid!$H$7:$J$19, K29, 3)</f>
        <v>38</v>
      </c>
      <c r="N29" s="2">
        <f>INDEX(DataArbeid!$H$7:$H$19, K29+1, 1)</f>
        <v>52.5</v>
      </c>
      <c r="O29" s="2">
        <f>INDEX(DataArbeid!$H$7:$J$19, K29+1, 3)</f>
        <v>38</v>
      </c>
      <c r="P29" s="2">
        <f t="shared" si="1"/>
        <v>38</v>
      </c>
      <c r="Q29" s="73">
        <f>IF(Settings!$U$5="vanaf bepaald leeftijdsjaar", (Settings!$U$11&lt;=$A29)*voltijduren, IF( Settings!$U$5="handmatige deeltijdfactor", Settings!U41*voltijduren, P29 ) )</f>
        <v>38</v>
      </c>
      <c r="R29" s="14">
        <f t="shared" si="2"/>
        <v>1</v>
      </c>
      <c r="S29">
        <f t="shared" si="3"/>
        <v>35</v>
      </c>
      <c r="AB29"/>
    </row>
    <row r="30" spans="1:28" x14ac:dyDescent="0.25">
      <c r="A30">
        <v>53</v>
      </c>
      <c r="B30" s="2">
        <f>MATCH($A30,DataArbeid!$B$8:$B$19,1)</f>
        <v>8</v>
      </c>
      <c r="C30" s="2">
        <f>INDEX(DataArbeid!$B$8:$D$19, B30, 1)</f>
        <v>52.5</v>
      </c>
      <c r="D30" s="2">
        <f>INDEX(DataArbeid!$B$8:$D$19, B30, 3)/1000</f>
        <v>50</v>
      </c>
      <c r="E30" s="2">
        <f>INDEX(DataArbeid!$B$8:$D$19, B30+1, 1)</f>
        <v>57.5</v>
      </c>
      <c r="F30" s="2">
        <f>INDEX(DataArbeid!$B$8:$D$19, B30+1, 3)/1000</f>
        <v>50</v>
      </c>
      <c r="G30" s="2">
        <f t="shared" si="4"/>
        <v>50</v>
      </c>
      <c r="H30" s="2">
        <f t="shared" si="6"/>
        <v>120.67199294186844</v>
      </c>
      <c r="I30" s="2">
        <f>IF(Settings!$U$2="Belastingdienst", H30, G30)</f>
        <v>50</v>
      </c>
      <c r="J30" s="73">
        <f>IF(Settings!$U$5="handmatige deeltijdfactor", Settings!U42/(P30/voltijduren),1)*I30*R30</f>
        <v>50</v>
      </c>
      <c r="K30" s="2">
        <f>MATCH($A30,DataArbeid!$H$7:$H$19,1)</f>
        <v>9</v>
      </c>
      <c r="L30" s="2">
        <f>INDEX(DataArbeid!$H$7:$H$19, K30, 1)</f>
        <v>52.5</v>
      </c>
      <c r="M30" s="2">
        <f>INDEX(DataArbeid!$H$7:$J$19, K30, 3)</f>
        <v>38</v>
      </c>
      <c r="N30" s="2">
        <f>INDEX(DataArbeid!$H$7:$H$19, K30+1, 1)</f>
        <v>57.5</v>
      </c>
      <c r="O30" s="2">
        <f>INDEX(DataArbeid!$H$7:$J$19, K30+1, 3)</f>
        <v>38</v>
      </c>
      <c r="P30" s="2">
        <f t="shared" si="1"/>
        <v>38</v>
      </c>
      <c r="Q30" s="73">
        <f>IF(Settings!$U$5="vanaf bepaald leeftijdsjaar", (Settings!$U$11&lt;=$A30)*voltijduren, IF( Settings!$U$5="handmatige deeltijdfactor", Settings!U42*voltijduren, P30 ) )</f>
        <v>38</v>
      </c>
      <c r="R30" s="14">
        <f t="shared" si="2"/>
        <v>1</v>
      </c>
      <c r="S30">
        <f t="shared" si="3"/>
        <v>35</v>
      </c>
      <c r="AB30"/>
    </row>
    <row r="31" spans="1:28" x14ac:dyDescent="0.25">
      <c r="A31">
        <v>54</v>
      </c>
      <c r="B31" s="2">
        <f>MATCH($A31,DataArbeid!$B$8:$B$19,1)</f>
        <v>8</v>
      </c>
      <c r="C31" s="2">
        <f>INDEX(DataArbeid!$B$8:$D$19, B31, 1)</f>
        <v>52.5</v>
      </c>
      <c r="D31" s="2">
        <f>INDEX(DataArbeid!$B$8:$D$19, B31, 3)/1000</f>
        <v>50</v>
      </c>
      <c r="E31" s="2">
        <f>INDEX(DataArbeid!$B$8:$D$19, B31+1, 1)</f>
        <v>57.5</v>
      </c>
      <c r="F31" s="2">
        <f>INDEX(DataArbeid!$B$8:$D$19, B31+1, 3)/1000</f>
        <v>50</v>
      </c>
      <c r="G31" s="2">
        <f t="shared" si="4"/>
        <v>50</v>
      </c>
      <c r="H31" s="2">
        <f>H32/1.01</f>
        <v>121.87871287128712</v>
      </c>
      <c r="I31" s="2">
        <f>IF(Settings!$U$2="Belastingdienst", H31, G31)</f>
        <v>50</v>
      </c>
      <c r="J31" s="73">
        <f>IF(Settings!$U$5="handmatige deeltijdfactor", Settings!U43/(P31/voltijduren),1)*I31*R31</f>
        <v>50</v>
      </c>
      <c r="K31" s="2">
        <f>MATCH($A31,DataArbeid!$H$7:$H$19,1)</f>
        <v>9</v>
      </c>
      <c r="L31" s="2">
        <f>INDEX(DataArbeid!$H$7:$H$19, K31, 1)</f>
        <v>52.5</v>
      </c>
      <c r="M31" s="2">
        <f>INDEX(DataArbeid!$H$7:$J$19, K31, 3)</f>
        <v>38</v>
      </c>
      <c r="N31" s="2">
        <f>INDEX(DataArbeid!$H$7:$H$19, K31+1, 1)</f>
        <v>57.5</v>
      </c>
      <c r="O31" s="2">
        <f>INDEX(DataArbeid!$H$7:$J$19, K31+1, 3)</f>
        <v>38</v>
      </c>
      <c r="P31" s="2">
        <f t="shared" si="1"/>
        <v>38</v>
      </c>
      <c r="Q31" s="73">
        <f>IF(Settings!$U$5="vanaf bepaald leeftijdsjaar", (Settings!$U$11&lt;=$A31)*voltijduren, IF( Settings!$U$5="handmatige deeltijdfactor", Settings!U43*voltijduren, P31 ) )</f>
        <v>38</v>
      </c>
      <c r="R31" s="14">
        <f t="shared" si="2"/>
        <v>1</v>
      </c>
      <c r="S31">
        <f t="shared" si="3"/>
        <v>35</v>
      </c>
      <c r="AB31"/>
    </row>
    <row r="32" spans="1:28" x14ac:dyDescent="0.25">
      <c r="A32">
        <v>55</v>
      </c>
      <c r="B32" s="2">
        <f>MATCH($A32,DataArbeid!$B$8:$B$19,1)</f>
        <v>8</v>
      </c>
      <c r="C32" s="2">
        <f>INDEX(DataArbeid!$B$8:$D$19, B32, 1)</f>
        <v>52.5</v>
      </c>
      <c r="D32" s="2">
        <f>INDEX(DataArbeid!$B$8:$D$19, B32, 3)/1000</f>
        <v>50</v>
      </c>
      <c r="E32" s="2">
        <f>INDEX(DataArbeid!$B$8:$D$19, B32+1, 1)</f>
        <v>57.5</v>
      </c>
      <c r="F32" s="2">
        <f>INDEX(DataArbeid!$B$8:$D$19, B32+1, 3)/1000</f>
        <v>50</v>
      </c>
      <c r="G32" s="2">
        <f t="shared" si="4"/>
        <v>50</v>
      </c>
      <c r="H32" s="2">
        <f>Settings!U7*Settings!U8</f>
        <v>123.0975</v>
      </c>
      <c r="I32" s="2">
        <f>IF(Settings!$U$2="Belastingdienst", H32, G32)</f>
        <v>50</v>
      </c>
      <c r="J32" s="73">
        <f>IF(Settings!$U$5="handmatige deeltijdfactor", Settings!U44/(P32/voltijduren),1)*I32*R32</f>
        <v>50</v>
      </c>
      <c r="K32" s="2">
        <f>MATCH($A32,DataArbeid!$H$7:$H$19,1)</f>
        <v>9</v>
      </c>
      <c r="L32" s="2">
        <f>INDEX(DataArbeid!$H$7:$H$19, K32, 1)</f>
        <v>52.5</v>
      </c>
      <c r="M32" s="2">
        <f>INDEX(DataArbeid!$H$7:$J$19, K32, 3)</f>
        <v>38</v>
      </c>
      <c r="N32" s="2">
        <f>INDEX(DataArbeid!$H$7:$H$19, K32+1, 1)</f>
        <v>57.5</v>
      </c>
      <c r="O32" s="2">
        <f>INDEX(DataArbeid!$H$7:$J$19, K32+1, 3)</f>
        <v>38</v>
      </c>
      <c r="P32" s="2">
        <f t="shared" si="1"/>
        <v>38</v>
      </c>
      <c r="Q32" s="73">
        <f>IF(Settings!$U$5="vanaf bepaald leeftijdsjaar", (Settings!$U$11&lt;=$A32)*voltijduren, IF( Settings!$U$5="handmatige deeltijdfactor", Settings!U44*voltijduren, P32 ) )</f>
        <v>38</v>
      </c>
      <c r="R32" s="14">
        <f t="shared" si="2"/>
        <v>1</v>
      </c>
      <c r="S32">
        <f t="shared" si="3"/>
        <v>35</v>
      </c>
      <c r="AB32"/>
    </row>
    <row r="33" spans="1:28" x14ac:dyDescent="0.25">
      <c r="A33">
        <v>56</v>
      </c>
      <c r="B33" s="2">
        <f>MATCH($A33,DataArbeid!$B$8:$B$19,1)</f>
        <v>8</v>
      </c>
      <c r="C33" s="2">
        <f>INDEX(DataArbeid!$B$8:$D$19, B33, 1)</f>
        <v>52.5</v>
      </c>
      <c r="D33" s="2">
        <f>INDEX(DataArbeid!$B$8:$D$19, B33, 3)/1000</f>
        <v>50</v>
      </c>
      <c r="E33" s="2">
        <f>INDEX(DataArbeid!$B$8:$D$19, B33+1, 1)</f>
        <v>57.5</v>
      </c>
      <c r="F33" s="2">
        <f>INDEX(DataArbeid!$B$8:$D$19, B33+1, 3)/1000</f>
        <v>50</v>
      </c>
      <c r="G33" s="2">
        <f t="shared" si="4"/>
        <v>50</v>
      </c>
      <c r="H33" s="2">
        <f>H32</f>
        <v>123.0975</v>
      </c>
      <c r="I33" s="2">
        <f>IF(Settings!$U$2="Belastingdienst", H33, G33)</f>
        <v>50</v>
      </c>
      <c r="J33" s="73">
        <f>IF(Settings!$U$5="handmatige deeltijdfactor", Settings!U45/(P33/voltijduren),1)*I33*R33</f>
        <v>50</v>
      </c>
      <c r="K33" s="2">
        <f>MATCH($A33,DataArbeid!$H$7:$H$19,1)</f>
        <v>9</v>
      </c>
      <c r="L33" s="2">
        <f>INDEX(DataArbeid!$H$7:$H$19, K33, 1)</f>
        <v>52.5</v>
      </c>
      <c r="M33" s="2">
        <f>INDEX(DataArbeid!$H$7:$J$19, K33, 3)</f>
        <v>38</v>
      </c>
      <c r="N33" s="2">
        <f>INDEX(DataArbeid!$H$7:$H$19, K33+1, 1)</f>
        <v>57.5</v>
      </c>
      <c r="O33" s="2">
        <f>INDEX(DataArbeid!$H$7:$J$19, K33+1, 3)</f>
        <v>38</v>
      </c>
      <c r="P33" s="2">
        <f t="shared" si="1"/>
        <v>38</v>
      </c>
      <c r="Q33" s="73">
        <f>IF(Settings!$U$5="vanaf bepaald leeftijdsjaar", (Settings!$U$11&lt;=$A33)*voltijduren, IF( Settings!$U$5="handmatige deeltijdfactor", Settings!U45*voltijduren, P33 ) )</f>
        <v>38</v>
      </c>
      <c r="R33" s="14">
        <f t="shared" si="2"/>
        <v>1</v>
      </c>
      <c r="S33">
        <f t="shared" si="3"/>
        <v>35</v>
      </c>
      <c r="AB33"/>
    </row>
    <row r="34" spans="1:28" x14ac:dyDescent="0.25">
      <c r="A34">
        <v>57</v>
      </c>
      <c r="B34" s="2">
        <f>MATCH($A34,DataArbeid!$B$8:$B$19,1)</f>
        <v>8</v>
      </c>
      <c r="C34" s="2">
        <f>INDEX(DataArbeid!$B$8:$D$19, B34, 1)</f>
        <v>52.5</v>
      </c>
      <c r="D34" s="2">
        <f>INDEX(DataArbeid!$B$8:$D$19, B34, 3)/1000</f>
        <v>50</v>
      </c>
      <c r="E34" s="2">
        <f>INDEX(DataArbeid!$B$8:$D$19, B34+1, 1)</f>
        <v>57.5</v>
      </c>
      <c r="F34" s="2">
        <f>INDEX(DataArbeid!$B$8:$D$19, B34+1, 3)/1000</f>
        <v>50</v>
      </c>
      <c r="G34" s="2">
        <f t="shared" si="4"/>
        <v>50</v>
      </c>
      <c r="H34" s="2">
        <f t="shared" ref="H34:H44" si="7">H33</f>
        <v>123.0975</v>
      </c>
      <c r="I34" s="2">
        <f>IF(Settings!$U$2="Belastingdienst", H34, G34)</f>
        <v>50</v>
      </c>
      <c r="J34" s="73">
        <f>IF(Settings!$U$5="handmatige deeltijdfactor", Settings!U46/(P34/voltijduren),1)*I34*R34</f>
        <v>50</v>
      </c>
      <c r="K34" s="2">
        <f>MATCH($A34,DataArbeid!$H$7:$H$19,1)</f>
        <v>9</v>
      </c>
      <c r="L34" s="2">
        <f>INDEX(DataArbeid!$H$7:$H$19, K34, 1)</f>
        <v>52.5</v>
      </c>
      <c r="M34" s="2">
        <f>INDEX(DataArbeid!$H$7:$J$19, K34, 3)</f>
        <v>38</v>
      </c>
      <c r="N34" s="2">
        <f>INDEX(DataArbeid!$H$7:$H$19, K34+1, 1)</f>
        <v>57.5</v>
      </c>
      <c r="O34" s="2">
        <f>INDEX(DataArbeid!$H$7:$J$19, K34+1, 3)</f>
        <v>38</v>
      </c>
      <c r="P34" s="2">
        <f t="shared" si="1"/>
        <v>38</v>
      </c>
      <c r="Q34" s="73">
        <f>IF(Settings!$U$5="vanaf bepaald leeftijdsjaar", (Settings!$U$11&lt;=$A34)*voltijduren, IF( Settings!$U$5="handmatige deeltijdfactor", Settings!U46*voltijduren, P34 ) )</f>
        <v>38</v>
      </c>
      <c r="R34" s="14">
        <f t="shared" si="2"/>
        <v>1</v>
      </c>
      <c r="S34">
        <f t="shared" si="3"/>
        <v>35</v>
      </c>
      <c r="AB34"/>
    </row>
    <row r="35" spans="1:28" x14ac:dyDescent="0.25">
      <c r="A35">
        <v>58</v>
      </c>
      <c r="B35" s="2">
        <f>MATCH($A35,DataArbeid!$B$8:$B$19,1)</f>
        <v>9</v>
      </c>
      <c r="C35" s="2">
        <f>INDEX(DataArbeid!$B$8:$D$19, B35, 1)</f>
        <v>57.5</v>
      </c>
      <c r="D35" s="2">
        <f>INDEX(DataArbeid!$B$8:$D$19, B35, 3)/1000</f>
        <v>50</v>
      </c>
      <c r="E35" s="2">
        <f>INDEX(DataArbeid!$B$8:$D$19, B35+1, 1)</f>
        <v>62.5</v>
      </c>
      <c r="F35" s="2">
        <f>INDEX(DataArbeid!$B$8:$D$19, B35+1, 3)/1000</f>
        <v>50</v>
      </c>
      <c r="G35" s="2">
        <f t="shared" si="4"/>
        <v>50</v>
      </c>
      <c r="H35" s="2">
        <f t="shared" si="7"/>
        <v>123.0975</v>
      </c>
      <c r="I35" s="2">
        <f>IF(Settings!$U$2="Belastingdienst", H35, G35)</f>
        <v>50</v>
      </c>
      <c r="J35" s="73">
        <f>IF(Settings!$U$5="handmatige deeltijdfactor", Settings!U47/(P35/voltijduren),1)*I35*R35</f>
        <v>50</v>
      </c>
      <c r="K35" s="2">
        <f>MATCH($A35,DataArbeid!$H$7:$H$19,1)</f>
        <v>10</v>
      </c>
      <c r="L35" s="2">
        <f>INDEX(DataArbeid!$H$7:$H$19, K35, 1)</f>
        <v>57.5</v>
      </c>
      <c r="M35" s="2">
        <f>INDEX(DataArbeid!$H$7:$J$19, K35, 3)</f>
        <v>38</v>
      </c>
      <c r="N35" s="2">
        <f>INDEX(DataArbeid!$H$7:$H$19, K35+1, 1)</f>
        <v>62.5</v>
      </c>
      <c r="O35" s="2">
        <f>INDEX(DataArbeid!$H$7:$J$19, K35+1, 3)</f>
        <v>38</v>
      </c>
      <c r="P35" s="2">
        <f t="shared" si="1"/>
        <v>38</v>
      </c>
      <c r="Q35" s="73">
        <f>IF(Settings!$U$5="vanaf bepaald leeftijdsjaar", (Settings!$U$11&lt;=$A35)*voltijduren, IF( Settings!$U$5="handmatige deeltijdfactor", Settings!U47*voltijduren, P35 ) )</f>
        <v>38</v>
      </c>
      <c r="R35" s="14">
        <f t="shared" si="2"/>
        <v>1</v>
      </c>
      <c r="S35">
        <f t="shared" si="3"/>
        <v>35</v>
      </c>
      <c r="AB35"/>
    </row>
    <row r="36" spans="1:28" x14ac:dyDescent="0.25">
      <c r="A36">
        <v>59</v>
      </c>
      <c r="B36" s="2">
        <f>MATCH($A36,DataArbeid!$B$8:$B$19,1)</f>
        <v>9</v>
      </c>
      <c r="C36" s="2">
        <f>INDEX(DataArbeid!$B$8:$D$19, B36, 1)</f>
        <v>57.5</v>
      </c>
      <c r="D36" s="2">
        <f>INDEX(DataArbeid!$B$8:$D$19, B36, 3)/1000</f>
        <v>50</v>
      </c>
      <c r="E36" s="2">
        <f>INDEX(DataArbeid!$B$8:$D$19, B36+1, 1)</f>
        <v>62.5</v>
      </c>
      <c r="F36" s="2">
        <f>INDEX(DataArbeid!$B$8:$D$19, B36+1, 3)/1000</f>
        <v>50</v>
      </c>
      <c r="G36" s="2">
        <f t="shared" si="4"/>
        <v>50</v>
      </c>
      <c r="H36" s="2">
        <f t="shared" si="7"/>
        <v>123.0975</v>
      </c>
      <c r="I36" s="2">
        <f>IF(Settings!$U$2="Belastingdienst", H36, G36)</f>
        <v>50</v>
      </c>
      <c r="J36" s="73">
        <f>IF(Settings!$U$5="handmatige deeltijdfactor", Settings!U48/(P36/voltijduren),1)*I36*R36</f>
        <v>50</v>
      </c>
      <c r="K36" s="2">
        <f>MATCH($A36,DataArbeid!$H$7:$H$19,1)</f>
        <v>10</v>
      </c>
      <c r="L36" s="2">
        <f>INDEX(DataArbeid!$H$7:$H$19, K36, 1)</f>
        <v>57.5</v>
      </c>
      <c r="M36" s="2">
        <f>INDEX(DataArbeid!$H$7:$J$19, K36, 3)</f>
        <v>38</v>
      </c>
      <c r="N36" s="2">
        <f>INDEX(DataArbeid!$H$7:$H$19, K36+1, 1)</f>
        <v>62.5</v>
      </c>
      <c r="O36" s="2">
        <f>INDEX(DataArbeid!$H$7:$J$19, K36+1, 3)</f>
        <v>38</v>
      </c>
      <c r="P36" s="2">
        <f t="shared" si="1"/>
        <v>38</v>
      </c>
      <c r="Q36" s="73">
        <f>IF(Settings!$U$5="vanaf bepaald leeftijdsjaar", (Settings!$U$11&lt;=$A36)*voltijduren, IF( Settings!$U$5="handmatige deeltijdfactor", Settings!U48*voltijduren, P36 ) )</f>
        <v>38</v>
      </c>
      <c r="R36" s="14">
        <f t="shared" si="2"/>
        <v>1</v>
      </c>
      <c r="S36">
        <f t="shared" si="3"/>
        <v>35</v>
      </c>
      <c r="AB36"/>
    </row>
    <row r="37" spans="1:28" x14ac:dyDescent="0.25">
      <c r="A37">
        <v>60</v>
      </c>
      <c r="B37" s="2">
        <f>MATCH($A37,DataArbeid!$B$8:$B$19,1)</f>
        <v>9</v>
      </c>
      <c r="C37" s="2">
        <f>INDEX(DataArbeid!$B$8:$D$19, B37, 1)</f>
        <v>57.5</v>
      </c>
      <c r="D37" s="2">
        <f>INDEX(DataArbeid!$B$8:$D$19, B37, 3)/1000</f>
        <v>50</v>
      </c>
      <c r="E37" s="2">
        <f>INDEX(DataArbeid!$B$8:$D$19, B37+1, 1)</f>
        <v>62.5</v>
      </c>
      <c r="F37" s="2">
        <f>INDEX(DataArbeid!$B$8:$D$19, B37+1, 3)/1000</f>
        <v>50</v>
      </c>
      <c r="G37" s="2">
        <f t="shared" si="4"/>
        <v>50</v>
      </c>
      <c r="H37" s="2">
        <f t="shared" si="7"/>
        <v>123.0975</v>
      </c>
      <c r="I37" s="2">
        <f>IF(Settings!$U$2="Belastingdienst", H37, G37)</f>
        <v>50</v>
      </c>
      <c r="J37" s="73">
        <f>IF(Settings!$U$5="handmatige deeltijdfactor", Settings!U49/(P37/voltijduren),1)*I37*R37</f>
        <v>50</v>
      </c>
      <c r="K37" s="2">
        <f>MATCH($A37,DataArbeid!$H$7:$H$19,1)</f>
        <v>10</v>
      </c>
      <c r="L37" s="2">
        <f>INDEX(DataArbeid!$H$7:$H$19, K37, 1)</f>
        <v>57.5</v>
      </c>
      <c r="M37" s="2">
        <f>INDEX(DataArbeid!$H$7:$J$19, K37, 3)</f>
        <v>38</v>
      </c>
      <c r="N37" s="2">
        <f>INDEX(DataArbeid!$H$7:$H$19, K37+1, 1)</f>
        <v>62.5</v>
      </c>
      <c r="O37" s="2">
        <f>INDEX(DataArbeid!$H$7:$J$19, K37+1, 3)</f>
        <v>38</v>
      </c>
      <c r="P37" s="2">
        <f t="shared" si="1"/>
        <v>38</v>
      </c>
      <c r="Q37" s="73">
        <f>IF(Settings!$U$5="vanaf bepaald leeftijdsjaar", (Settings!$U$11&lt;=$A37)*voltijduren, IF( Settings!$U$5="handmatige deeltijdfactor", Settings!U49*voltijduren, P37 ) )</f>
        <v>38</v>
      </c>
      <c r="R37" s="14">
        <f t="shared" si="2"/>
        <v>1</v>
      </c>
      <c r="S37">
        <f t="shared" si="3"/>
        <v>35</v>
      </c>
      <c r="AB37"/>
    </row>
    <row r="38" spans="1:28" x14ac:dyDescent="0.25">
      <c r="A38">
        <v>61</v>
      </c>
      <c r="B38" s="2">
        <f>MATCH($A38,DataArbeid!$B$8:$B$19,1)</f>
        <v>9</v>
      </c>
      <c r="C38" s="2">
        <f>INDEX(DataArbeid!$B$8:$D$19, B38, 1)</f>
        <v>57.5</v>
      </c>
      <c r="D38" s="2">
        <f>INDEX(DataArbeid!$B$8:$D$19, B38, 3)/1000</f>
        <v>50</v>
      </c>
      <c r="E38" s="2">
        <f>INDEX(DataArbeid!$B$8:$D$19, B38+1, 1)</f>
        <v>62.5</v>
      </c>
      <c r="F38" s="2">
        <f>INDEX(DataArbeid!$B$8:$D$19, B38+1, 3)/1000</f>
        <v>50</v>
      </c>
      <c r="G38" s="2">
        <f t="shared" si="4"/>
        <v>50</v>
      </c>
      <c r="H38" s="2">
        <f t="shared" si="7"/>
        <v>123.0975</v>
      </c>
      <c r="I38" s="2">
        <f>IF(Settings!$U$2="Belastingdienst", H38, G38)</f>
        <v>50</v>
      </c>
      <c r="J38" s="73">
        <f>IF(Settings!$U$5="handmatige deeltijdfactor", Settings!U50/(P38/voltijduren),1)*I38*R38</f>
        <v>50</v>
      </c>
      <c r="K38" s="2">
        <f>MATCH($A38,DataArbeid!$H$7:$H$19,1)</f>
        <v>10</v>
      </c>
      <c r="L38" s="2">
        <f>INDEX(DataArbeid!$H$7:$H$19, K38, 1)</f>
        <v>57.5</v>
      </c>
      <c r="M38" s="2">
        <f>INDEX(DataArbeid!$H$7:$J$19, K38, 3)</f>
        <v>38</v>
      </c>
      <c r="N38" s="2">
        <f>INDEX(DataArbeid!$H$7:$H$19, K38+1, 1)</f>
        <v>62.5</v>
      </c>
      <c r="O38" s="2">
        <f>INDEX(DataArbeid!$H$7:$J$19, K38+1, 3)</f>
        <v>38</v>
      </c>
      <c r="P38" s="2">
        <f t="shared" si="1"/>
        <v>38</v>
      </c>
      <c r="Q38" s="73">
        <f>IF(Settings!$U$5="vanaf bepaald leeftijdsjaar", (Settings!$U$11&lt;=$A38)*voltijduren, IF( Settings!$U$5="handmatige deeltijdfactor", Settings!U50*voltijduren, P38 ) )</f>
        <v>38</v>
      </c>
      <c r="R38" s="14">
        <f t="shared" si="2"/>
        <v>1</v>
      </c>
      <c r="S38">
        <f t="shared" si="3"/>
        <v>35</v>
      </c>
      <c r="AB38"/>
    </row>
    <row r="39" spans="1:28" x14ac:dyDescent="0.25">
      <c r="A39">
        <v>62</v>
      </c>
      <c r="B39" s="2">
        <f>MATCH($A39,DataArbeid!$B$8:$B$19,1)</f>
        <v>9</v>
      </c>
      <c r="C39" s="2">
        <f>INDEX(DataArbeid!$B$8:$D$19, B39, 1)</f>
        <v>57.5</v>
      </c>
      <c r="D39" s="2">
        <f>INDEX(DataArbeid!$B$8:$D$19, B39, 3)/1000</f>
        <v>50</v>
      </c>
      <c r="E39" s="2">
        <f>INDEX(DataArbeid!$B$8:$D$19, B39+1, 1)</f>
        <v>62.5</v>
      </c>
      <c r="F39" s="2">
        <f>INDEX(DataArbeid!$B$8:$D$19, B39+1, 3)/1000</f>
        <v>50</v>
      </c>
      <c r="G39" s="2">
        <f t="shared" si="4"/>
        <v>50</v>
      </c>
      <c r="H39" s="2">
        <f t="shared" si="7"/>
        <v>123.0975</v>
      </c>
      <c r="I39" s="2">
        <f>IF(Settings!$U$2="Belastingdienst", H39, G39)</f>
        <v>50</v>
      </c>
      <c r="J39" s="73">
        <f>IF(Settings!$U$5="handmatige deeltijdfactor", Settings!U51/(P39/voltijduren),1)*I39*R39</f>
        <v>50</v>
      </c>
      <c r="K39" s="2">
        <f>MATCH($A39,DataArbeid!$H$7:$H$19,1)</f>
        <v>10</v>
      </c>
      <c r="L39" s="2">
        <f>INDEX(DataArbeid!$H$7:$H$19, K39, 1)</f>
        <v>57.5</v>
      </c>
      <c r="M39" s="2">
        <f>INDEX(DataArbeid!$H$7:$J$19, K39, 3)</f>
        <v>38</v>
      </c>
      <c r="N39" s="2">
        <f>INDEX(DataArbeid!$H$7:$H$19, K39+1, 1)</f>
        <v>62.5</v>
      </c>
      <c r="O39" s="2">
        <f>INDEX(DataArbeid!$H$7:$J$19, K39+1, 3)</f>
        <v>38</v>
      </c>
      <c r="P39" s="2">
        <f t="shared" si="1"/>
        <v>38</v>
      </c>
      <c r="Q39" s="73">
        <f>IF(Settings!$U$5="vanaf bepaald leeftijdsjaar", (Settings!$U$11&lt;=$A39)*voltijduren, IF( Settings!$U$5="handmatige deeltijdfactor", Settings!U51*voltijduren, P39 ) )</f>
        <v>38</v>
      </c>
      <c r="R39" s="14">
        <f t="shared" si="2"/>
        <v>1</v>
      </c>
      <c r="S39">
        <f t="shared" si="3"/>
        <v>35</v>
      </c>
      <c r="AB39"/>
    </row>
    <row r="40" spans="1:28" x14ac:dyDescent="0.25">
      <c r="A40">
        <v>63</v>
      </c>
      <c r="B40" s="2">
        <f>MATCH($A40,DataArbeid!$B$8:$B$19,1)</f>
        <v>10</v>
      </c>
      <c r="C40" s="2">
        <f>INDEX(DataArbeid!$B$8:$D$19, B40, 1)</f>
        <v>62.5</v>
      </c>
      <c r="D40" s="2">
        <f>INDEX(DataArbeid!$B$8:$D$19, B40, 3)/1000</f>
        <v>50</v>
      </c>
      <c r="E40" s="2">
        <f>INDEX(DataArbeid!$B$8:$D$19, B40+1, 1)</f>
        <v>67</v>
      </c>
      <c r="F40" s="2">
        <f>INDEX(DataArbeid!$B$8:$D$19, B40+1, 3)/1000</f>
        <v>50</v>
      </c>
      <c r="G40" s="2">
        <f t="shared" si="4"/>
        <v>50</v>
      </c>
      <c r="H40" s="2">
        <f t="shared" si="7"/>
        <v>123.0975</v>
      </c>
      <c r="I40" s="2">
        <f>IF(Settings!$U$2="Belastingdienst", H40, G40)</f>
        <v>50</v>
      </c>
      <c r="J40" s="73">
        <f>IF(Settings!$U$5="handmatige deeltijdfactor", Settings!U52/(P40/voltijduren),1)*I40*R40</f>
        <v>50</v>
      </c>
      <c r="K40" s="2">
        <f>MATCH($A40,DataArbeid!$H$7:$H$19,1)</f>
        <v>11</v>
      </c>
      <c r="L40" s="2">
        <f>INDEX(DataArbeid!$H$7:$H$19, K40, 1)</f>
        <v>62.5</v>
      </c>
      <c r="M40" s="2">
        <f>INDEX(DataArbeid!$H$7:$J$19, K40, 3)</f>
        <v>38</v>
      </c>
      <c r="N40" s="2">
        <f>INDEX(DataArbeid!$H$7:$H$19, K40+1, 1)</f>
        <v>67</v>
      </c>
      <c r="O40" s="2">
        <f>INDEX(DataArbeid!$H$7:$J$19, K40+1, 3)</f>
        <v>38</v>
      </c>
      <c r="P40" s="2">
        <f t="shared" si="1"/>
        <v>38</v>
      </c>
      <c r="Q40" s="73">
        <f>IF(Settings!$U$5="vanaf bepaald leeftijdsjaar", (Settings!$U$11&lt;=$A40)*voltijduren, IF( Settings!$U$5="handmatige deeltijdfactor", Settings!U52*voltijduren, P40 ) )</f>
        <v>38</v>
      </c>
      <c r="R40" s="14">
        <f t="shared" si="2"/>
        <v>1</v>
      </c>
      <c r="S40">
        <f t="shared" si="3"/>
        <v>35</v>
      </c>
      <c r="AB40"/>
    </row>
    <row r="41" spans="1:28" x14ac:dyDescent="0.25">
      <c r="A41">
        <v>64</v>
      </c>
      <c r="B41" s="2">
        <f>MATCH($A41,DataArbeid!$B$8:$B$19,1)</f>
        <v>10</v>
      </c>
      <c r="C41" s="2">
        <f>INDEX(DataArbeid!$B$8:$D$19, B41, 1)</f>
        <v>62.5</v>
      </c>
      <c r="D41" s="2">
        <f>INDEX(DataArbeid!$B$8:$D$19, B41, 3)/1000</f>
        <v>50</v>
      </c>
      <c r="E41" s="2">
        <f>INDEX(DataArbeid!$B$8:$D$19, B41+1, 1)</f>
        <v>67</v>
      </c>
      <c r="F41" s="2">
        <f>INDEX(DataArbeid!$B$8:$D$19, B41+1, 3)/1000</f>
        <v>50</v>
      </c>
      <c r="G41" s="2">
        <f t="shared" si="4"/>
        <v>50</v>
      </c>
      <c r="H41" s="2">
        <f t="shared" si="7"/>
        <v>123.0975</v>
      </c>
      <c r="I41" s="2">
        <f>IF(Settings!$U$2="Belastingdienst", H41, G41)</f>
        <v>50</v>
      </c>
      <c r="J41" s="73">
        <f>IF(Settings!$U$5="handmatige deeltijdfactor", Settings!U53/(P41/voltijduren),1)*I41*R41</f>
        <v>50</v>
      </c>
      <c r="K41" s="2">
        <f>MATCH($A41,DataArbeid!$H$7:$H$19,1)</f>
        <v>11</v>
      </c>
      <c r="L41" s="2">
        <f>INDEX(DataArbeid!$H$7:$H$19, K41, 1)</f>
        <v>62.5</v>
      </c>
      <c r="M41" s="2">
        <f>INDEX(DataArbeid!$H$7:$J$19, K41, 3)</f>
        <v>38</v>
      </c>
      <c r="N41" s="2">
        <f>INDEX(DataArbeid!$H$7:$H$19, K41+1, 1)</f>
        <v>67</v>
      </c>
      <c r="O41" s="2">
        <f>INDEX(DataArbeid!$H$7:$J$19, K41+1, 3)</f>
        <v>38</v>
      </c>
      <c r="P41" s="2">
        <f t="shared" si="1"/>
        <v>38</v>
      </c>
      <c r="Q41" s="73">
        <f>IF(Settings!$U$5="vanaf bepaald leeftijdsjaar", (Settings!$U$11&lt;=$A41)*voltijduren, IF( Settings!$U$5="handmatige deeltijdfactor", Settings!U53*voltijduren, P41 ) )</f>
        <v>38</v>
      </c>
      <c r="R41" s="14">
        <f t="shared" si="2"/>
        <v>1</v>
      </c>
      <c r="S41">
        <f t="shared" si="3"/>
        <v>35</v>
      </c>
      <c r="AB41"/>
    </row>
    <row r="42" spans="1:28" x14ac:dyDescent="0.25">
      <c r="A42">
        <v>65</v>
      </c>
      <c r="B42" s="2">
        <f>MATCH($A42,DataArbeid!$B$8:$B$19,1)</f>
        <v>10</v>
      </c>
      <c r="C42" s="2">
        <f>INDEX(DataArbeid!$B$8:$D$19, B42, 1)</f>
        <v>62.5</v>
      </c>
      <c r="D42" s="2">
        <f>INDEX(DataArbeid!$B$8:$D$19, B42, 3)/1000</f>
        <v>50</v>
      </c>
      <c r="E42" s="2">
        <f>INDEX(DataArbeid!$B$8:$D$19, B42+1, 1)</f>
        <v>67</v>
      </c>
      <c r="F42" s="2">
        <f>INDEX(DataArbeid!$B$8:$D$19, B42+1, 3)/1000</f>
        <v>50</v>
      </c>
      <c r="G42" s="2">
        <f t="shared" si="4"/>
        <v>50</v>
      </c>
      <c r="H42" s="2">
        <f t="shared" si="7"/>
        <v>123.0975</v>
      </c>
      <c r="I42" s="2">
        <f>IF(Settings!$U$2="Belastingdienst", H42, G42)</f>
        <v>50</v>
      </c>
      <c r="J42" s="73">
        <f>IF(Settings!$U$5="handmatige deeltijdfactor", Settings!U54/(P42/voltijduren),1)*I42*R42</f>
        <v>50</v>
      </c>
      <c r="K42" s="2">
        <f>MATCH($A42,DataArbeid!$H$7:$H$19,1)</f>
        <v>11</v>
      </c>
      <c r="L42" s="2">
        <f>INDEX(DataArbeid!$H$7:$H$19, K42, 1)</f>
        <v>62.5</v>
      </c>
      <c r="M42" s="2">
        <f>INDEX(DataArbeid!$H$7:$J$19, K42, 3)</f>
        <v>38</v>
      </c>
      <c r="N42" s="2">
        <f>INDEX(DataArbeid!$H$7:$H$19, K42+1, 1)</f>
        <v>67</v>
      </c>
      <c r="O42" s="2">
        <f>INDEX(DataArbeid!$H$7:$J$19, K42+1, 3)</f>
        <v>38</v>
      </c>
      <c r="P42" s="2">
        <f t="shared" si="1"/>
        <v>38</v>
      </c>
      <c r="Q42" s="73">
        <f>IF(Settings!$U$5="vanaf bepaald leeftijdsjaar", (Settings!$U$11&lt;=$A42)*voltijduren, IF( Settings!$U$5="handmatige deeltijdfactor", Settings!U54*voltijduren, P42 ) )</f>
        <v>38</v>
      </c>
      <c r="R42" s="14">
        <f t="shared" si="2"/>
        <v>1</v>
      </c>
      <c r="S42">
        <f t="shared" si="3"/>
        <v>35</v>
      </c>
      <c r="AB42"/>
    </row>
    <row r="43" spans="1:28" x14ac:dyDescent="0.25">
      <c r="A43">
        <v>66</v>
      </c>
      <c r="B43" s="2">
        <f>MATCH($A43,DataArbeid!$B$8:$B$19,1)</f>
        <v>10</v>
      </c>
      <c r="C43" s="2">
        <f>INDEX(DataArbeid!$B$8:$D$19, B43, 1)</f>
        <v>62.5</v>
      </c>
      <c r="D43" s="2">
        <f>INDEX(DataArbeid!$B$8:$D$19, B43, 3)/1000</f>
        <v>50</v>
      </c>
      <c r="E43" s="2">
        <f>INDEX(DataArbeid!$B$8:$D$19, B43+1, 1)</f>
        <v>67</v>
      </c>
      <c r="F43" s="2">
        <f>INDEX(DataArbeid!$B$8:$D$19, B43+1, 3)/1000</f>
        <v>50</v>
      </c>
      <c r="G43" s="2">
        <f t="shared" si="4"/>
        <v>50</v>
      </c>
      <c r="H43" s="2">
        <f t="shared" si="7"/>
        <v>123.0975</v>
      </c>
      <c r="I43" s="2">
        <f>IF(Settings!$U$2="Belastingdienst", H43, G43)</f>
        <v>50</v>
      </c>
      <c r="J43" s="73">
        <f>IF(Settings!$U$5="handmatige deeltijdfactor", Settings!U55/(P43/voltijduren),1)*I43*R43</f>
        <v>50</v>
      </c>
      <c r="K43" s="2">
        <f>MATCH($A43,DataArbeid!$H$7:$H$19,1)</f>
        <v>11</v>
      </c>
      <c r="L43" s="2">
        <f>INDEX(DataArbeid!$H$7:$H$19, K43, 1)</f>
        <v>62.5</v>
      </c>
      <c r="M43" s="2">
        <f>INDEX(DataArbeid!$H$7:$J$19, K43, 3)</f>
        <v>38</v>
      </c>
      <c r="N43" s="2">
        <f>INDEX(DataArbeid!$H$7:$H$19, K43+1, 1)</f>
        <v>67</v>
      </c>
      <c r="O43" s="2">
        <f>INDEX(DataArbeid!$H$7:$J$19, K43+1, 3)</f>
        <v>38</v>
      </c>
      <c r="P43" s="2">
        <f t="shared" si="1"/>
        <v>38</v>
      </c>
      <c r="Q43" s="73">
        <f>IF(Settings!$U$5="vanaf bepaald leeftijdsjaar", (Settings!$U$11&lt;=$A43)*voltijduren, IF( Settings!$U$5="handmatige deeltijdfactor", Settings!U55*voltijduren, P43 ) )</f>
        <v>38</v>
      </c>
      <c r="R43" s="14">
        <f t="shared" si="2"/>
        <v>1</v>
      </c>
      <c r="S43">
        <f t="shared" si="3"/>
        <v>35</v>
      </c>
      <c r="AB43"/>
    </row>
    <row r="44" spans="1:28" x14ac:dyDescent="0.25">
      <c r="A44">
        <v>67</v>
      </c>
      <c r="B44" s="2">
        <f>MATCH($A44,DataArbeid!$B$8:$B$19,1)</f>
        <v>11</v>
      </c>
      <c r="C44" s="2">
        <f>INDEX(DataArbeid!$B$8:$D$19, B44, 1)</f>
        <v>67</v>
      </c>
      <c r="D44" s="2">
        <f>INDEX(DataArbeid!$B$8:$D$19, B44, 3)/1000</f>
        <v>50</v>
      </c>
      <c r="E44" s="2">
        <f>INDEX(DataArbeid!$B$8:$D$19, B44+1, 1)</f>
        <v>70</v>
      </c>
      <c r="F44" s="2">
        <f>INDEX(DataArbeid!$B$8:$D$19, B44+1, 3)/1000</f>
        <v>50</v>
      </c>
      <c r="G44" s="2">
        <f t="shared" si="4"/>
        <v>50</v>
      </c>
      <c r="H44" s="2">
        <f t="shared" si="7"/>
        <v>123.0975</v>
      </c>
      <c r="I44" s="2">
        <f>IF(Settings!$U$2="Belastingdienst", H44, G44)</f>
        <v>50</v>
      </c>
      <c r="J44" s="73">
        <f>IF(Settings!$U$5="handmatige deeltijdfactor", Settings!U56/(P44/voltijduren),1)*I44*R44</f>
        <v>50</v>
      </c>
      <c r="K44" s="2">
        <f>MATCH($A44,DataArbeid!$H$7:$H$19,1)</f>
        <v>12</v>
      </c>
      <c r="L44" s="2">
        <f>INDEX(DataArbeid!$H$7:$H$19, K44, 1)</f>
        <v>67</v>
      </c>
      <c r="M44" s="2">
        <f>INDEX(DataArbeid!$H$7:$J$19, K44, 3)</f>
        <v>38</v>
      </c>
      <c r="N44" s="2">
        <f>INDEX(DataArbeid!$H$7:$H$19, K44+1, 1)</f>
        <v>70</v>
      </c>
      <c r="O44" s="2">
        <f>INDEX(DataArbeid!$H$7:$J$19, K44+1, 3)</f>
        <v>38</v>
      </c>
      <c r="P44" s="2">
        <f t="shared" si="1"/>
        <v>38</v>
      </c>
      <c r="Q44" s="73">
        <f>IF(Settings!$U$5="vanaf bepaald leeftijdsjaar", (Settings!$U$11&lt;=$A44)*voltijduren, IF( Settings!$U$5="handmatige deeltijdfactor", Settings!U56*voltijduren, P44 ) )</f>
        <v>38</v>
      </c>
      <c r="R44" s="14">
        <f t="shared" si="2"/>
        <v>1</v>
      </c>
      <c r="S44">
        <f t="shared" si="3"/>
        <v>35</v>
      </c>
      <c r="AB44"/>
    </row>
    <row r="45" spans="1:28" x14ac:dyDescent="0.25">
      <c r="A45">
        <v>68</v>
      </c>
      <c r="J45" s="73"/>
      <c r="K45" s="2"/>
      <c r="L45" s="2"/>
      <c r="M45" s="2"/>
      <c r="N45" s="2"/>
      <c r="O45" s="2"/>
      <c r="P45" s="2"/>
      <c r="Q45" s="73"/>
      <c r="R45" s="14"/>
      <c r="S45" s="73"/>
      <c r="AB45"/>
    </row>
    <row r="46" spans="1:28" x14ac:dyDescent="0.25">
      <c r="A46">
        <v>69</v>
      </c>
      <c r="AB46"/>
    </row>
    <row r="47" spans="1:28" x14ac:dyDescent="0.25">
      <c r="A47">
        <v>70</v>
      </c>
      <c r="AB47"/>
    </row>
    <row r="48" spans="1:28" x14ac:dyDescent="0.25">
      <c r="A48">
        <v>71</v>
      </c>
      <c r="AB48"/>
    </row>
    <row r="49" spans="1:28" x14ac:dyDescent="0.25">
      <c r="A49">
        <v>72</v>
      </c>
      <c r="AB49"/>
    </row>
    <row r="50" spans="1:28" x14ac:dyDescent="0.25">
      <c r="A50">
        <v>73</v>
      </c>
      <c r="AB50"/>
    </row>
    <row r="51" spans="1:28" x14ac:dyDescent="0.25">
      <c r="A51">
        <v>74</v>
      </c>
      <c r="AB51"/>
    </row>
    <row r="52" spans="1:28" x14ac:dyDescent="0.25">
      <c r="A52">
        <v>75</v>
      </c>
      <c r="AB52"/>
    </row>
    <row r="53" spans="1:28" x14ac:dyDescent="0.25">
      <c r="A53">
        <v>76</v>
      </c>
      <c r="AB53"/>
    </row>
    <row r="54" spans="1:28" x14ac:dyDescent="0.25">
      <c r="A54">
        <v>77</v>
      </c>
      <c r="AB54"/>
    </row>
    <row r="55" spans="1:28" x14ac:dyDescent="0.25">
      <c r="A55">
        <v>78</v>
      </c>
      <c r="AB55"/>
    </row>
    <row r="56" spans="1:28" x14ac:dyDescent="0.25">
      <c r="A56">
        <v>79</v>
      </c>
      <c r="AB56"/>
    </row>
    <row r="57" spans="1:28" x14ac:dyDescent="0.25">
      <c r="A57">
        <v>80</v>
      </c>
      <c r="AB57"/>
    </row>
    <row r="58" spans="1:28" x14ac:dyDescent="0.25">
      <c r="A58">
        <v>81</v>
      </c>
      <c r="AB58"/>
    </row>
    <row r="59" spans="1:28" x14ac:dyDescent="0.25">
      <c r="A59">
        <v>82</v>
      </c>
      <c r="AB59"/>
    </row>
    <row r="60" spans="1:28" x14ac:dyDescent="0.25">
      <c r="A60">
        <v>83</v>
      </c>
      <c r="AB60"/>
    </row>
    <row r="61" spans="1:28" x14ac:dyDescent="0.25">
      <c r="A61">
        <v>84</v>
      </c>
      <c r="AB61"/>
    </row>
    <row r="62" spans="1:28" x14ac:dyDescent="0.25">
      <c r="A62">
        <v>85</v>
      </c>
      <c r="AB62"/>
    </row>
    <row r="63" spans="1:28" x14ac:dyDescent="0.25">
      <c r="A63">
        <v>86</v>
      </c>
      <c r="AB63"/>
    </row>
    <row r="64" spans="1:28" x14ac:dyDescent="0.25">
      <c r="A64">
        <v>87</v>
      </c>
      <c r="AB64"/>
    </row>
    <row r="65" spans="1:28" x14ac:dyDescent="0.25">
      <c r="A65">
        <v>88</v>
      </c>
      <c r="AB65"/>
    </row>
    <row r="66" spans="1:28" x14ac:dyDescent="0.25">
      <c r="A66">
        <v>89</v>
      </c>
      <c r="AB66"/>
    </row>
    <row r="67" spans="1:28" x14ac:dyDescent="0.25">
      <c r="A67">
        <v>90</v>
      </c>
      <c r="AB67"/>
    </row>
    <row r="68" spans="1:28" x14ac:dyDescent="0.25">
      <c r="A68">
        <v>91</v>
      </c>
      <c r="AB68"/>
    </row>
    <row r="69" spans="1:28" x14ac:dyDescent="0.25">
      <c r="A69">
        <v>92</v>
      </c>
      <c r="AB69"/>
    </row>
    <row r="70" spans="1:28" x14ac:dyDescent="0.25">
      <c r="A70">
        <v>93</v>
      </c>
      <c r="AB70"/>
    </row>
    <row r="71" spans="1:28" x14ac:dyDescent="0.25">
      <c r="A71">
        <v>94</v>
      </c>
      <c r="AB71"/>
    </row>
    <row r="72" spans="1:28" x14ac:dyDescent="0.25">
      <c r="A72">
        <v>95</v>
      </c>
      <c r="AB72"/>
    </row>
    <row r="73" spans="1:28" x14ac:dyDescent="0.25">
      <c r="A73">
        <v>96</v>
      </c>
      <c r="AB73"/>
    </row>
    <row r="74" spans="1:28" x14ac:dyDescent="0.25">
      <c r="A74">
        <v>97</v>
      </c>
      <c r="AB74"/>
    </row>
    <row r="75" spans="1:28" x14ac:dyDescent="0.25">
      <c r="A75">
        <v>98</v>
      </c>
      <c r="AB75"/>
    </row>
    <row r="76" spans="1:28" x14ac:dyDescent="0.25">
      <c r="A76">
        <v>99</v>
      </c>
      <c r="AB76"/>
    </row>
    <row r="77" spans="1:28" x14ac:dyDescent="0.25">
      <c r="A77">
        <v>100</v>
      </c>
      <c r="AB77"/>
    </row>
    <row r="78" spans="1:28" x14ac:dyDescent="0.25">
      <c r="A78">
        <v>101</v>
      </c>
      <c r="AB78"/>
    </row>
    <row r="79" spans="1:28" x14ac:dyDescent="0.25">
      <c r="A79">
        <v>102</v>
      </c>
      <c r="AB79"/>
    </row>
    <row r="80" spans="1:28" x14ac:dyDescent="0.25">
      <c r="A80">
        <v>103</v>
      </c>
      <c r="AB80"/>
    </row>
    <row r="81" spans="1:1" x14ac:dyDescent="0.25">
      <c r="A81">
        <v>104</v>
      </c>
    </row>
    <row r="82" spans="1:1" x14ac:dyDescent="0.25">
      <c r="A82">
        <v>105</v>
      </c>
    </row>
    <row r="83" spans="1:1" x14ac:dyDescent="0.25">
      <c r="A83">
        <v>106</v>
      </c>
    </row>
    <row r="84" spans="1:1" x14ac:dyDescent="0.25">
      <c r="A84">
        <v>107</v>
      </c>
    </row>
    <row r="85" spans="1:1" x14ac:dyDescent="0.25">
      <c r="A85">
        <v>108</v>
      </c>
    </row>
    <row r="86" spans="1:1" x14ac:dyDescent="0.25">
      <c r="A86">
        <v>109</v>
      </c>
    </row>
    <row r="87" spans="1:1" x14ac:dyDescent="0.25">
      <c r="A87">
        <v>110</v>
      </c>
    </row>
    <row r="88" spans="1:1" x14ac:dyDescent="0.25">
      <c r="A88">
        <v>111</v>
      </c>
    </row>
    <row r="89" spans="1:1" x14ac:dyDescent="0.25">
      <c r="A89">
        <v>112</v>
      </c>
    </row>
    <row r="90" spans="1:1" x14ac:dyDescent="0.25">
      <c r="A90">
        <v>113</v>
      </c>
    </row>
    <row r="91" spans="1:1" x14ac:dyDescent="0.25">
      <c r="A91">
        <v>114</v>
      </c>
    </row>
    <row r="92" spans="1:1" x14ac:dyDescent="0.25">
      <c r="A92">
        <v>115</v>
      </c>
    </row>
    <row r="93" spans="1:1" x14ac:dyDescent="0.25">
      <c r="A93">
        <v>116</v>
      </c>
    </row>
    <row r="94" spans="1:1" x14ac:dyDescent="0.25">
      <c r="A94">
        <v>117</v>
      </c>
    </row>
    <row r="95" spans="1:1" x14ac:dyDescent="0.25">
      <c r="A95">
        <v>118</v>
      </c>
    </row>
    <row r="96" spans="1:1" x14ac:dyDescent="0.25">
      <c r="A96">
        <v>119</v>
      </c>
    </row>
    <row r="97" spans="1:1" x14ac:dyDescent="0.25">
      <c r="A97">
        <v>120</v>
      </c>
    </row>
  </sheetData>
  <pageMargins left="0.7" right="0.7" top="0.75" bottom="0.75" header="0.3" footer="0.3"/>
  <pageSetup orientation="portrait" horizontalDpi="4294967293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499984740745262"/>
  </sheetPr>
  <dimension ref="A1:O21"/>
  <sheetViews>
    <sheetView workbookViewId="0">
      <selection activeCell="D52" sqref="D51:D52"/>
    </sheetView>
  </sheetViews>
  <sheetFormatPr defaultRowHeight="15" x14ac:dyDescent="0.25"/>
  <cols>
    <col min="1" max="1" width="35.85546875" customWidth="1"/>
    <col min="2" max="2" width="9.140625" customWidth="1"/>
    <col min="7" max="7" width="21.5703125" customWidth="1"/>
    <col min="8" max="8" width="9.140625" customWidth="1"/>
    <col min="13" max="13" width="21.5703125" customWidth="1"/>
    <col min="14" max="14" width="9.140625" customWidth="1"/>
  </cols>
  <sheetData>
    <row r="1" spans="1:15" x14ac:dyDescent="0.25">
      <c r="A1" t="s">
        <v>0</v>
      </c>
      <c r="G1" t="s">
        <v>0</v>
      </c>
      <c r="M1" t="s">
        <v>0</v>
      </c>
    </row>
    <row r="2" spans="1:15" x14ac:dyDescent="0.25">
      <c r="A2" t="s">
        <v>1</v>
      </c>
      <c r="G2" t="s">
        <v>1</v>
      </c>
      <c r="M2" t="s">
        <v>1</v>
      </c>
    </row>
    <row r="3" spans="1:15" x14ac:dyDescent="0.25">
      <c r="A3" t="s">
        <v>196</v>
      </c>
      <c r="B3" s="1"/>
      <c r="G3" t="s">
        <v>196</v>
      </c>
      <c r="M3" t="s">
        <v>196</v>
      </c>
    </row>
    <row r="4" spans="1:15" x14ac:dyDescent="0.25">
      <c r="C4" t="s">
        <v>197</v>
      </c>
      <c r="I4" t="s">
        <v>198</v>
      </c>
    </row>
    <row r="5" spans="1:15" x14ac:dyDescent="0.25">
      <c r="A5" t="s">
        <v>2</v>
      </c>
      <c r="C5" t="s">
        <v>3</v>
      </c>
      <c r="D5" t="s">
        <v>3</v>
      </c>
      <c r="G5" t="s">
        <v>2</v>
      </c>
      <c r="I5" t="s">
        <v>199</v>
      </c>
      <c r="J5" t="s">
        <v>18</v>
      </c>
      <c r="M5" t="s">
        <v>2</v>
      </c>
      <c r="O5" t="s">
        <v>3</v>
      </c>
    </row>
    <row r="6" spans="1:15" x14ac:dyDescent="0.25">
      <c r="A6" t="s">
        <v>4</v>
      </c>
      <c r="C6">
        <v>37280</v>
      </c>
      <c r="D6">
        <f>IF(Settings!U$2="CBS", C6,Settings!U$2)</f>
        <v>50000</v>
      </c>
      <c r="G6" t="s">
        <v>4</v>
      </c>
      <c r="I6">
        <v>29.5</v>
      </c>
      <c r="J6">
        <f>IF(ISNUMBER(Settings!U$5),Settings!U$5, I6)</f>
        <v>38</v>
      </c>
      <c r="M6" t="s">
        <v>4</v>
      </c>
      <c r="O6">
        <v>24.07</v>
      </c>
    </row>
    <row r="7" spans="1:15" x14ac:dyDescent="0.25">
      <c r="A7" t="s">
        <v>172</v>
      </c>
      <c r="C7">
        <v>1520</v>
      </c>
      <c r="D7">
        <f>IF(Settings!U$2="CBS", C7,Settings!U$2)</f>
        <v>50000</v>
      </c>
      <c r="G7" t="s">
        <v>172</v>
      </c>
      <c r="I7">
        <v>7.1</v>
      </c>
      <c r="J7">
        <f>IF(ISNUMBER(Settings!U$5),Settings!U$5, I7)</f>
        <v>38</v>
      </c>
      <c r="M7" t="s">
        <v>172</v>
      </c>
      <c r="O7">
        <v>4.53</v>
      </c>
    </row>
    <row r="8" spans="1:15" x14ac:dyDescent="0.25">
      <c r="A8" t="s">
        <v>5</v>
      </c>
      <c r="B8">
        <v>17.5</v>
      </c>
      <c r="C8">
        <v>4910</v>
      </c>
      <c r="D8">
        <f>IF(Settings!U$2="CBS", C8,Settings!U$2)</f>
        <v>50000</v>
      </c>
      <c r="G8" t="s">
        <v>5</v>
      </c>
      <c r="H8">
        <v>17.5</v>
      </c>
      <c r="I8">
        <v>13.7</v>
      </c>
      <c r="J8">
        <f>IF(ISNUMBER(Settings!U$5),Settings!U$5, I8)</f>
        <v>38</v>
      </c>
      <c r="M8" t="s">
        <v>5</v>
      </c>
      <c r="N8">
        <v>17.5</v>
      </c>
      <c r="O8">
        <v>7.27</v>
      </c>
    </row>
    <row r="9" spans="1:15" x14ac:dyDescent="0.25">
      <c r="A9" t="s">
        <v>6</v>
      </c>
      <c r="B9">
        <v>22.5</v>
      </c>
      <c r="C9">
        <v>17080</v>
      </c>
      <c r="D9">
        <f>IF(Settings!U$2="CBS", C9,Settings!U$2)</f>
        <v>50000</v>
      </c>
      <c r="G9" t="s">
        <v>6</v>
      </c>
      <c r="H9">
        <v>22.5</v>
      </c>
      <c r="I9">
        <v>24.6</v>
      </c>
      <c r="J9">
        <f>IF(ISNUMBER(Settings!U$5),Settings!U$5, I9)</f>
        <v>38</v>
      </c>
      <c r="M9" t="s">
        <v>6</v>
      </c>
      <c r="N9">
        <v>22.5</v>
      </c>
      <c r="O9">
        <v>13.71</v>
      </c>
    </row>
    <row r="10" spans="1:15" x14ac:dyDescent="0.25">
      <c r="A10" t="s">
        <v>7</v>
      </c>
      <c r="B10">
        <v>27.5</v>
      </c>
      <c r="C10">
        <v>31220</v>
      </c>
      <c r="D10">
        <f>IF(Settings!U$2="CBS", C10,Settings!U$2)</f>
        <v>50000</v>
      </c>
      <c r="G10" t="s">
        <v>7</v>
      </c>
      <c r="H10">
        <v>27.5</v>
      </c>
      <c r="I10">
        <v>32.5</v>
      </c>
      <c r="J10">
        <f>IF(ISNUMBER(Settings!U$5),Settings!U$5, I10)</f>
        <v>38</v>
      </c>
      <c r="M10" t="s">
        <v>7</v>
      </c>
      <c r="N10">
        <v>27.5</v>
      </c>
      <c r="O10">
        <v>18.600000000000001</v>
      </c>
    </row>
    <row r="11" spans="1:15" x14ac:dyDescent="0.25">
      <c r="A11" t="s">
        <v>8</v>
      </c>
      <c r="B11">
        <v>32.5</v>
      </c>
      <c r="C11">
        <v>38530</v>
      </c>
      <c r="D11">
        <f>IF(Settings!U$2="CBS", C11,Settings!U$2)</f>
        <v>50000</v>
      </c>
      <c r="G11" t="s">
        <v>8</v>
      </c>
      <c r="H11">
        <v>32.5</v>
      </c>
      <c r="I11">
        <v>32.9</v>
      </c>
      <c r="J11">
        <f>IF(ISNUMBER(Settings!U$5),Settings!U$5, I11)</f>
        <v>38</v>
      </c>
      <c r="M11" t="s">
        <v>8</v>
      </c>
      <c r="N11">
        <v>32.5</v>
      </c>
      <c r="O11">
        <v>22.39</v>
      </c>
    </row>
    <row r="12" spans="1:15" x14ac:dyDescent="0.25">
      <c r="A12" t="s">
        <v>9</v>
      </c>
      <c r="B12">
        <v>37.5</v>
      </c>
      <c r="C12">
        <v>43050</v>
      </c>
      <c r="D12">
        <f>IF(Settings!U$2="CBS", C12,Settings!U$2)</f>
        <v>50000</v>
      </c>
      <c r="G12" t="s">
        <v>9</v>
      </c>
      <c r="H12">
        <v>37.5</v>
      </c>
      <c r="I12">
        <v>32.200000000000003</v>
      </c>
      <c r="J12">
        <f>IF(ISNUMBER(Settings!U$5),Settings!U$5, I12)</f>
        <v>38</v>
      </c>
      <c r="M12" t="s">
        <v>9</v>
      </c>
      <c r="N12">
        <v>37.5</v>
      </c>
      <c r="O12">
        <v>25.45</v>
      </c>
    </row>
    <row r="13" spans="1:15" x14ac:dyDescent="0.25">
      <c r="A13" t="s">
        <v>10</v>
      </c>
      <c r="B13">
        <v>42.5</v>
      </c>
      <c r="C13">
        <v>46190</v>
      </c>
      <c r="D13">
        <f>IF(Settings!U$2="CBS", C13,Settings!U$2)</f>
        <v>50000</v>
      </c>
      <c r="G13" t="s">
        <v>10</v>
      </c>
      <c r="H13">
        <v>42.5</v>
      </c>
      <c r="I13">
        <v>31.9</v>
      </c>
      <c r="J13">
        <f>IF(ISNUMBER(Settings!U$5),Settings!U$5, I13)</f>
        <v>38</v>
      </c>
      <c r="M13" t="s">
        <v>10</v>
      </c>
      <c r="N13">
        <v>42.5</v>
      </c>
      <c r="O13">
        <v>27.43</v>
      </c>
    </row>
    <row r="14" spans="1:15" x14ac:dyDescent="0.25">
      <c r="A14" t="s">
        <v>11</v>
      </c>
      <c r="B14">
        <v>47.5</v>
      </c>
      <c r="C14">
        <v>48110</v>
      </c>
      <c r="D14">
        <f>IF(Settings!U$2="CBS", C14,Settings!U$2)</f>
        <v>50000</v>
      </c>
      <c r="G14" t="s">
        <v>11</v>
      </c>
      <c r="H14">
        <v>47.5</v>
      </c>
      <c r="I14">
        <v>31.9</v>
      </c>
      <c r="J14">
        <f>IF(ISNUMBER(Settings!U$5),Settings!U$5, I14)</f>
        <v>38</v>
      </c>
      <c r="M14" t="s">
        <v>11</v>
      </c>
      <c r="N14">
        <v>47.5</v>
      </c>
      <c r="O14">
        <v>28.38</v>
      </c>
    </row>
    <row r="15" spans="1:15" x14ac:dyDescent="0.25">
      <c r="A15" t="s">
        <v>12</v>
      </c>
      <c r="B15">
        <v>52.5</v>
      </c>
      <c r="C15">
        <v>48080</v>
      </c>
      <c r="D15">
        <f>IF(Settings!U$2="CBS", C15,Settings!U$2)</f>
        <v>50000</v>
      </c>
      <c r="G15" t="s">
        <v>12</v>
      </c>
      <c r="H15">
        <v>52.5</v>
      </c>
      <c r="I15">
        <v>31.7</v>
      </c>
      <c r="J15">
        <f>IF(ISNUMBER(Settings!U$5),Settings!U$5, I15)</f>
        <v>38</v>
      </c>
      <c r="M15" t="s">
        <v>12</v>
      </c>
      <c r="N15">
        <v>52.5</v>
      </c>
      <c r="O15">
        <v>28.65</v>
      </c>
    </row>
    <row r="16" spans="1:15" x14ac:dyDescent="0.25">
      <c r="A16" t="s">
        <v>13</v>
      </c>
      <c r="B16">
        <v>57.5</v>
      </c>
      <c r="C16">
        <v>46850</v>
      </c>
      <c r="D16">
        <f>IF(Settings!U$2="CBS", C16,Settings!U$2)</f>
        <v>50000</v>
      </c>
      <c r="G16" t="s">
        <v>13</v>
      </c>
      <c r="H16">
        <v>57.5</v>
      </c>
      <c r="I16">
        <v>31.1</v>
      </c>
      <c r="J16">
        <f>IF(ISNUMBER(Settings!U$5),Settings!U$5, I16)</f>
        <v>38</v>
      </c>
      <c r="M16" t="s">
        <v>13</v>
      </c>
      <c r="N16">
        <v>57.5</v>
      </c>
      <c r="O16">
        <v>28.54</v>
      </c>
    </row>
    <row r="17" spans="1:15" x14ac:dyDescent="0.25">
      <c r="A17" t="s">
        <v>14</v>
      </c>
      <c r="B17">
        <v>62.5</v>
      </c>
      <c r="C17">
        <v>44390</v>
      </c>
      <c r="D17">
        <f>IF(Settings!U$2="CBS", C17,Settings!U$2)</f>
        <v>50000</v>
      </c>
      <c r="G17" t="s">
        <v>14</v>
      </c>
      <c r="H17">
        <v>62.5</v>
      </c>
      <c r="I17">
        <v>30</v>
      </c>
      <c r="J17">
        <f>IF(ISNUMBER(Settings!U$5),Settings!U$5, I17)</f>
        <v>38</v>
      </c>
      <c r="M17" t="s">
        <v>14</v>
      </c>
      <c r="N17">
        <v>62.5</v>
      </c>
      <c r="O17">
        <v>28.11</v>
      </c>
    </row>
    <row r="18" spans="1:15" x14ac:dyDescent="0.25">
      <c r="A18" s="10" t="s">
        <v>23</v>
      </c>
      <c r="B18">
        <v>67</v>
      </c>
      <c r="C18" s="10">
        <f>C17-(B18-B17)/(B17-B16)*(C16-C17)</f>
        <v>42176</v>
      </c>
      <c r="D18">
        <f>IF(Settings!U$2="CBS", C18,Settings!U$2)</f>
        <v>50000</v>
      </c>
      <c r="G18" s="10" t="s">
        <v>23</v>
      </c>
      <c r="H18">
        <v>67</v>
      </c>
      <c r="I18" s="10">
        <f>I17-(H18-H17)/(H17-H16)*(I16-I17)</f>
        <v>29.009999999999998</v>
      </c>
      <c r="J18">
        <f>IF(ISNUMBER(Settings!U$5),Settings!U$5, I18)</f>
        <v>38</v>
      </c>
      <c r="M18" s="10" t="s">
        <v>23</v>
      </c>
      <c r="N18">
        <v>67</v>
      </c>
      <c r="O18" s="10">
        <f>O17-(N18-N17)/(N17-N16)*(O16-O17)</f>
        <v>27.722999999999999</v>
      </c>
    </row>
    <row r="19" spans="1:15" x14ac:dyDescent="0.25">
      <c r="A19" t="s">
        <v>15</v>
      </c>
      <c r="B19">
        <v>70</v>
      </c>
      <c r="C19">
        <v>32660</v>
      </c>
      <c r="D19">
        <f>IF(Settings!U$2="CBS", C19,Settings!U$2)</f>
        <v>50000</v>
      </c>
      <c r="G19" t="s">
        <v>15</v>
      </c>
      <c r="H19">
        <v>70</v>
      </c>
      <c r="I19">
        <v>23.5</v>
      </c>
      <c r="J19">
        <f>IF(ISNUMBER(Settings!U$5),Settings!U$5, I19)</f>
        <v>38</v>
      </c>
      <c r="M19" t="s">
        <v>15</v>
      </c>
      <c r="N19">
        <v>70</v>
      </c>
      <c r="O19">
        <v>25.8</v>
      </c>
    </row>
    <row r="20" spans="1:15" x14ac:dyDescent="0.25">
      <c r="A20" t="s">
        <v>16</v>
      </c>
      <c r="C20">
        <v>16160</v>
      </c>
      <c r="D20">
        <f>IF(Settings!U$2="CBS", C20,Settings!U$2)</f>
        <v>50000</v>
      </c>
      <c r="G20" t="s">
        <v>16</v>
      </c>
      <c r="I20">
        <v>16.100000000000001</v>
      </c>
      <c r="J20">
        <f>IF(ISNUMBER(Settings!U$5),Settings!U$5, I20)</f>
        <v>38</v>
      </c>
      <c r="M20" t="s">
        <v>16</v>
      </c>
      <c r="O20">
        <v>20.09</v>
      </c>
    </row>
    <row r="21" spans="1:15" x14ac:dyDescent="0.25">
      <c r="A21" t="s">
        <v>17</v>
      </c>
      <c r="G21" t="s">
        <v>17</v>
      </c>
      <c r="M21" t="s">
        <v>17</v>
      </c>
    </row>
  </sheetData>
  <pageMargins left="0.7" right="0.7" top="0.75" bottom="0.75" header="0.3" footer="0.3"/>
  <pageSetup orientation="portrait" horizontalDpi="4294967293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0855-6423-4D92-8834-E3C379189CD7}">
  <sheetPr>
    <tabColor theme="0" tint="-0.499984740745262"/>
  </sheetPr>
  <dimension ref="A1:Q127"/>
  <sheetViews>
    <sheetView zoomScale="80" zoomScaleNormal="80" workbookViewId="0">
      <pane xSplit="1" ySplit="6" topLeftCell="B7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cols>
    <col min="1" max="16384" width="9.140625" style="73"/>
  </cols>
  <sheetData>
    <row r="1" spans="1:17" x14ac:dyDescent="0.25">
      <c r="A1" s="73" t="s">
        <v>132</v>
      </c>
    </row>
    <row r="2" spans="1:17" x14ac:dyDescent="0.25">
      <c r="C2" s="157" t="s">
        <v>207</v>
      </c>
      <c r="D2" s="157"/>
      <c r="E2" s="157"/>
      <c r="F2" s="157"/>
      <c r="G2" s="157"/>
      <c r="H2" s="157"/>
      <c r="I2" s="157"/>
      <c r="K2" s="157" t="s">
        <v>206</v>
      </c>
      <c r="L2" s="157"/>
      <c r="M2" s="157"/>
      <c r="N2" s="157"/>
      <c r="O2" s="157"/>
      <c r="P2" s="157"/>
      <c r="Q2" s="157"/>
    </row>
    <row r="3" spans="1:17" x14ac:dyDescent="0.25">
      <c r="A3" s="73" t="s">
        <v>131</v>
      </c>
      <c r="C3" s="152">
        <f>IF( ISNUMBER(sterfte_deeln), NA(), geb_deeln)</f>
        <v>1965</v>
      </c>
      <c r="D3" s="152"/>
      <c r="E3" s="152"/>
      <c r="F3" s="152"/>
      <c r="G3" s="152"/>
      <c r="H3" s="152"/>
      <c r="I3" s="152"/>
      <c r="K3" s="152">
        <f>IF( ISNUMBER(sterfte_partn), NA(), geb_partner)</f>
        <v>1965</v>
      </c>
      <c r="L3" s="152"/>
      <c r="M3" s="152"/>
      <c r="N3" s="152"/>
      <c r="O3" s="152"/>
      <c r="P3" s="152"/>
      <c r="Q3" s="152"/>
    </row>
    <row r="4" spans="1:17" x14ac:dyDescent="0.25">
      <c r="A4" s="73" t="s">
        <v>130</v>
      </c>
      <c r="C4" s="73" t="s">
        <v>129</v>
      </c>
      <c r="F4" s="73" t="s">
        <v>129</v>
      </c>
      <c r="I4" s="73" t="s">
        <v>134</v>
      </c>
      <c r="K4" s="73" t="s">
        <v>129</v>
      </c>
      <c r="N4" s="73" t="s">
        <v>129</v>
      </c>
      <c r="Q4" s="73" t="s">
        <v>134</v>
      </c>
    </row>
    <row r="5" spans="1:17" x14ac:dyDescent="0.25">
      <c r="A5" s="73" t="s">
        <v>128</v>
      </c>
      <c r="C5" s="78"/>
      <c r="D5" s="78" t="s">
        <v>127</v>
      </c>
      <c r="E5" s="78"/>
      <c r="F5" s="152" t="s">
        <v>126</v>
      </c>
      <c r="G5" s="152"/>
      <c r="H5" s="152"/>
      <c r="I5" s="73" t="s">
        <v>133</v>
      </c>
      <c r="K5" s="152" t="s">
        <v>127</v>
      </c>
      <c r="L5" s="152"/>
      <c r="M5" s="152"/>
      <c r="N5" s="152" t="s">
        <v>126</v>
      </c>
      <c r="O5" s="152"/>
      <c r="P5" s="152"/>
      <c r="Q5" s="73" t="s">
        <v>133</v>
      </c>
    </row>
    <row r="6" spans="1:17" x14ac:dyDescent="0.25">
      <c r="A6" s="73" t="s">
        <v>125</v>
      </c>
      <c r="D6" s="73" t="s">
        <v>124</v>
      </c>
      <c r="E6" s="66"/>
      <c r="G6" s="73" t="s">
        <v>124</v>
      </c>
      <c r="H6" s="66"/>
      <c r="I6" s="73" t="s">
        <v>124</v>
      </c>
      <c r="L6" s="73" t="s">
        <v>124</v>
      </c>
      <c r="M6" s="66"/>
      <c r="O6" s="73" t="s">
        <v>124</v>
      </c>
      <c r="P6" s="66"/>
      <c r="Q6" s="73" t="s">
        <v>124</v>
      </c>
    </row>
    <row r="7" spans="1:17" x14ac:dyDescent="0.25">
      <c r="B7" s="73">
        <v>0</v>
      </c>
      <c r="D7" s="73">
        <f>IF(B7=0, 100000, IF(sterfte_deeln="AG", AGoverlevtafel!D7, IF(sterfte_deeln="CBS", CBSoverlevtafel!D7, IF( sterfte_deeln&gt;=1, 1*(sterfte_deeln&gt;=$B7),  IF( sterfte_deeln&lt;1, sterfte_deeln*D6, NA() )) ) ) )</f>
        <v>100000</v>
      </c>
      <c r="G7" s="73">
        <f>IF(B7=0, 100000, IF(sterfte_deeln="AG",AGoverlevtafel!G7,IF(sterfte_deeln="CBS",CBSoverlevtafel!G7,IF(sterfte_deeln&gt;=1,1*(sterfte_deeln&gt;=$B7),IF(sterfte_deeln&lt;1,sterfte_deeln*G6,NA())))))</f>
        <v>100000</v>
      </c>
      <c r="I7" s="73">
        <f t="shared" ref="I7:I70" si="0">AVERAGE(D7,G7)</f>
        <v>100000</v>
      </c>
      <c r="L7" s="73">
        <f>IF(B7=0, 100000, IF(sterfte_partn="AG",AGoverlevtafel!L7,IF(sterfte_partn="CBS",CBSoverlevtafel!L7,IF(sterfte_partn&gt;=1,1*(sterfte_partn&gt;=$B7),IF(sterfte_partn&lt;1,sterfte_partn*L6,NA())))))</f>
        <v>100000</v>
      </c>
      <c r="O7" s="73">
        <f>IF(B7=0, 100000, IF(sterfte_partn="AG",AGoverlevtafel!O7,IF(sterfte_partn="CBS",CBSoverlevtafel!O7,IF(sterfte_partn&gt;=1,1*(sterfte_partn&gt;=$B7),IF(sterfte_partn&lt;1,sterfte_partn*O6,NA())))))</f>
        <v>100000</v>
      </c>
      <c r="Q7" s="73">
        <f t="shared" ref="Q7:Q70" si="1">AVERAGE(L7,O7)</f>
        <v>100000</v>
      </c>
    </row>
    <row r="8" spans="1:17" x14ac:dyDescent="0.25">
      <c r="B8" s="73">
        <v>1</v>
      </c>
      <c r="D8" s="73">
        <f>IF(B8=0, 100000, IF(sterfte_deeln="AG", AGoverlevtafel!D8, IF(sterfte_deeln="CBS", CBSoverlevtafel!D8, IF( sterfte_deeln&gt;=1, 1*(sterfte_deeln&gt;=$B8),  IF( sterfte_deeln&lt;1, sterfte_deeln*D7, NA() )) ) ) )</f>
        <v>98533</v>
      </c>
      <c r="G8" s="73">
        <f>IF(B8=0, 100000, IF(sterfte_deeln="AG",AGoverlevtafel!G8,IF(sterfte_deeln="CBS",CBSoverlevtafel!G8,IF(sterfte_deeln&gt;=1,1*(sterfte_deeln&gt;=$B8),IF(sterfte_deeln&lt;1,sterfte_deeln*G7,NA())))))</f>
        <v>98850</v>
      </c>
      <c r="H8" s="54"/>
      <c r="I8" s="73">
        <f t="shared" si="0"/>
        <v>98691.5</v>
      </c>
      <c r="L8" s="73">
        <f>IF(B8=0, 100000, IF(sterfte_partn="AG",AGoverlevtafel!L8,IF(sterfte_partn="CBS",CBSoverlevtafel!L8,IF(sterfte_partn&gt;=1,1*(sterfte_partn&gt;=$B8),IF(sterfte_partn&lt;1,sterfte_partn*L7,NA())))))</f>
        <v>98533</v>
      </c>
      <c r="O8" s="73">
        <f>IF(B8=0, 100000, IF(sterfte_partn="AG",AGoverlevtafel!O8,IF(sterfte_partn="CBS",CBSoverlevtafel!O8,IF(sterfte_partn&gt;=1,1*(sterfte_partn&gt;=$B8),IF(sterfte_partn&lt;1,sterfte_partn*O7,NA())))))</f>
        <v>98850</v>
      </c>
      <c r="P8" s="54"/>
      <c r="Q8" s="73">
        <f t="shared" si="1"/>
        <v>98691.5</v>
      </c>
    </row>
    <row r="9" spans="1:17" x14ac:dyDescent="0.25">
      <c r="B9" s="73">
        <v>2</v>
      </c>
      <c r="D9" s="73">
        <f>IF(B9=0, 100000, IF(sterfte_deeln="AG", AGoverlevtafel!D9, IF(sterfte_deeln="CBS", CBSoverlevtafel!D9, IF( sterfte_deeln&gt;=1, 1*(sterfte_deeln&gt;=$B9),  IF( sterfte_deeln&lt;1, sterfte_deeln*D8, NA() )) ) ) )</f>
        <v>98264</v>
      </c>
      <c r="G9" s="73">
        <f>IF(B9=0, 100000, IF(sterfte_deeln="AG",AGoverlevtafel!G9,IF(sterfte_deeln="CBS",CBSoverlevtafel!G9,IF(sterfte_deeln&gt;=1,1*(sterfte_deeln&gt;=$B9),IF(sterfte_deeln&lt;1,sterfte_deeln*G8,NA())))))</f>
        <v>98645</v>
      </c>
      <c r="H9" s="54"/>
      <c r="I9" s="73">
        <f t="shared" si="0"/>
        <v>98454.5</v>
      </c>
      <c r="L9" s="73">
        <f>IF(B9=0, 100000, IF(sterfte_partn="AG",AGoverlevtafel!L9,IF(sterfte_partn="CBS",CBSoverlevtafel!L9,IF(sterfte_partn&gt;=1,1*(sterfte_partn&gt;=$B9),IF(sterfte_partn&lt;1,sterfte_partn*L8,NA())))))</f>
        <v>98264</v>
      </c>
      <c r="O9" s="73">
        <f>IF(B9=0, 100000, IF(sterfte_partn="AG",AGoverlevtafel!O9,IF(sterfte_partn="CBS",CBSoverlevtafel!O9,IF(sterfte_partn&gt;=1,1*(sterfte_partn&gt;=$B9),IF(sterfte_partn&lt;1,sterfte_partn*O8,NA())))))</f>
        <v>98645</v>
      </c>
      <c r="P9" s="54"/>
      <c r="Q9" s="73">
        <f t="shared" si="1"/>
        <v>98454.5</v>
      </c>
    </row>
    <row r="10" spans="1:17" x14ac:dyDescent="0.25">
      <c r="B10" s="73">
        <v>3</v>
      </c>
      <c r="D10" s="73">
        <f>IF(B10=0, 100000, IF(sterfte_deeln="AG", AGoverlevtafel!D10, IF(sterfte_deeln="CBS", CBSoverlevtafel!D10, IF( sterfte_deeln&gt;=1, 1*(sterfte_deeln&gt;=$B10),  IF( sterfte_deeln&lt;1, sterfte_deeln*D9, NA() )) ) ) )</f>
        <v>98142</v>
      </c>
      <c r="G10" s="73">
        <f>IF(B10=0, 100000, IF(sterfte_deeln="AG",AGoverlevtafel!G10,IF(sterfte_deeln="CBS",CBSoverlevtafel!G10,IF(sterfte_deeln&gt;=1,1*(sterfte_deeln&gt;=$B10),IF(sterfte_deeln&lt;1,sterfte_deeln*G9,NA())))))</f>
        <v>98548</v>
      </c>
      <c r="H10" s="54"/>
      <c r="I10" s="73">
        <f t="shared" si="0"/>
        <v>98345</v>
      </c>
      <c r="L10" s="73">
        <f>IF(B10=0, 100000, IF(sterfte_partn="AG",AGoverlevtafel!L10,IF(sterfte_partn="CBS",CBSoverlevtafel!L10,IF(sterfte_partn&gt;=1,1*(sterfte_partn&gt;=$B10),IF(sterfte_partn&lt;1,sterfte_partn*L9,NA())))))</f>
        <v>98142</v>
      </c>
      <c r="O10" s="73">
        <f>IF(B10=0, 100000, IF(sterfte_partn="AG",AGoverlevtafel!O10,IF(sterfte_partn="CBS",CBSoverlevtafel!O10,IF(sterfte_partn&gt;=1,1*(sterfte_partn&gt;=$B10),IF(sterfte_partn&lt;1,sterfte_partn*O9,NA())))))</f>
        <v>98548</v>
      </c>
      <c r="P10" s="54"/>
      <c r="Q10" s="73">
        <f t="shared" si="1"/>
        <v>98345</v>
      </c>
    </row>
    <row r="11" spans="1:17" x14ac:dyDescent="0.25">
      <c r="B11" s="73">
        <v>4</v>
      </c>
      <c r="D11" s="73">
        <f>IF(B11=0, 100000, IF(sterfte_deeln="AG", AGoverlevtafel!D11, IF(sterfte_deeln="CBS", CBSoverlevtafel!D11, IF( sterfte_deeln&gt;=1, 1*(sterfte_deeln&gt;=$B11),  IF( sterfte_deeln&lt;1, sterfte_deeln*D10, NA() )) ) ) )</f>
        <v>98041</v>
      </c>
      <c r="G11" s="73">
        <f>IF(B11=0, 100000, IF(sterfte_deeln="AG",AGoverlevtafel!G11,IF(sterfte_deeln="CBS",CBSoverlevtafel!G11,IF(sterfte_deeln&gt;=1,1*(sterfte_deeln&gt;=$B11),IF(sterfte_deeln&lt;1,sterfte_deeln*G10,NA())))))</f>
        <v>98485</v>
      </c>
      <c r="H11" s="54"/>
      <c r="I11" s="73">
        <f t="shared" si="0"/>
        <v>98263</v>
      </c>
      <c r="L11" s="73">
        <f>IF(B11=0, 100000, IF(sterfte_partn="AG",AGoverlevtafel!L11,IF(sterfte_partn="CBS",CBSoverlevtafel!L11,IF(sterfte_partn&gt;=1,1*(sterfte_partn&gt;=$B11),IF(sterfte_partn&lt;1,sterfte_partn*L10,NA())))))</f>
        <v>98041</v>
      </c>
      <c r="O11" s="73">
        <f>IF(B11=0, 100000, IF(sterfte_partn="AG",AGoverlevtafel!O11,IF(sterfte_partn="CBS",CBSoverlevtafel!O11,IF(sterfte_partn&gt;=1,1*(sterfte_partn&gt;=$B11),IF(sterfte_partn&lt;1,sterfte_partn*O10,NA())))))</f>
        <v>98485</v>
      </c>
      <c r="P11" s="54"/>
      <c r="Q11" s="73">
        <f t="shared" si="1"/>
        <v>98263</v>
      </c>
    </row>
    <row r="12" spans="1:17" x14ac:dyDescent="0.25">
      <c r="B12" s="73">
        <v>5</v>
      </c>
      <c r="D12" s="73">
        <f>IF(B12=0, 100000, IF(sterfte_deeln="AG", AGoverlevtafel!D12, IF(sterfte_deeln="CBS", CBSoverlevtafel!D12, IF( sterfte_deeln&gt;=1, 1*(sterfte_deeln&gt;=$B12),  IF( sterfte_deeln&lt;1, sterfte_deeln*D11, NA() )) ) ) )</f>
        <v>97972</v>
      </c>
      <c r="G12" s="73">
        <f>IF(B12=0, 100000, IF(sterfte_deeln="AG",AGoverlevtafel!G12,IF(sterfte_deeln="CBS",CBSoverlevtafel!G12,IF(sterfte_deeln&gt;=1,1*(sterfte_deeln&gt;=$B12),IF(sterfte_deeln&lt;1,sterfte_deeln*G11,NA())))))</f>
        <v>98438</v>
      </c>
      <c r="H12" s="54"/>
      <c r="I12" s="73">
        <f t="shared" si="0"/>
        <v>98205</v>
      </c>
      <c r="L12" s="73">
        <f>IF(B12=0, 100000, IF(sterfte_partn="AG",AGoverlevtafel!L12,IF(sterfte_partn="CBS",CBSoverlevtafel!L12,IF(sterfte_partn&gt;=1,1*(sterfte_partn&gt;=$B12),IF(sterfte_partn&lt;1,sterfte_partn*L11,NA())))))</f>
        <v>97972</v>
      </c>
      <c r="O12" s="73">
        <f>IF(B12=0, 100000, IF(sterfte_partn="AG",AGoverlevtafel!O12,IF(sterfte_partn="CBS",CBSoverlevtafel!O12,IF(sterfte_partn&gt;=1,1*(sterfte_partn&gt;=$B12),IF(sterfte_partn&lt;1,sterfte_partn*O11,NA())))))</f>
        <v>98438</v>
      </c>
      <c r="P12" s="54"/>
      <c r="Q12" s="73">
        <f t="shared" si="1"/>
        <v>98205</v>
      </c>
    </row>
    <row r="13" spans="1:17" x14ac:dyDescent="0.25">
      <c r="B13" s="73">
        <v>6</v>
      </c>
      <c r="D13" s="73">
        <f>IF(B13=0, 100000, IF(sterfte_deeln="AG", AGoverlevtafel!D13, IF(sterfte_deeln="CBS", CBSoverlevtafel!D13, IF( sterfte_deeln&gt;=1, 1*(sterfte_deeln&gt;=$B13),  IF( sterfte_deeln&lt;1, sterfte_deeln*D12, NA() )) ) ) )</f>
        <v>97902</v>
      </c>
      <c r="G13" s="73">
        <f>IF(B13=0, 100000, IF(sterfte_deeln="AG",AGoverlevtafel!G13,IF(sterfte_deeln="CBS",CBSoverlevtafel!G13,IF(sterfte_deeln&gt;=1,1*(sterfte_deeln&gt;=$B13),IF(sterfte_deeln&lt;1,sterfte_deeln*G12,NA())))))</f>
        <v>98394</v>
      </c>
      <c r="H13" s="54"/>
      <c r="I13" s="73">
        <f t="shared" si="0"/>
        <v>98148</v>
      </c>
      <c r="L13" s="73">
        <f>IF(B13=0, 100000, IF(sterfte_partn="AG",AGoverlevtafel!L13,IF(sterfte_partn="CBS",CBSoverlevtafel!L13,IF(sterfte_partn&gt;=1,1*(sterfte_partn&gt;=$B13),IF(sterfte_partn&lt;1,sterfte_partn*L12,NA())))))</f>
        <v>97902</v>
      </c>
      <c r="O13" s="73">
        <f>IF(B13=0, 100000, IF(sterfte_partn="AG",AGoverlevtafel!O13,IF(sterfte_partn="CBS",CBSoverlevtafel!O13,IF(sterfte_partn&gt;=1,1*(sterfte_partn&gt;=$B13),IF(sterfte_partn&lt;1,sterfte_partn*O12,NA())))))</f>
        <v>98394</v>
      </c>
      <c r="P13" s="54"/>
      <c r="Q13" s="73">
        <f t="shared" si="1"/>
        <v>98148</v>
      </c>
    </row>
    <row r="14" spans="1:17" x14ac:dyDescent="0.25">
      <c r="B14" s="73">
        <v>7</v>
      </c>
      <c r="D14" s="73">
        <f>IF(B14=0, 100000, IF(sterfte_deeln="AG", AGoverlevtafel!D14, IF(sterfte_deeln="CBS", CBSoverlevtafel!D14, IF( sterfte_deeln&gt;=1, 1*(sterfte_deeln&gt;=$B14),  IF( sterfte_deeln&lt;1, sterfte_deeln*D13, NA() )) ) ) )</f>
        <v>97839</v>
      </c>
      <c r="G14" s="73">
        <f>IF(B14=0, 100000, IF(sterfte_deeln="AG",AGoverlevtafel!G14,IF(sterfte_deeln="CBS",CBSoverlevtafel!G14,IF(sterfte_deeln&gt;=1,1*(sterfte_deeln&gt;=$B14),IF(sterfte_deeln&lt;1,sterfte_deeln*G13,NA())))))</f>
        <v>98353</v>
      </c>
      <c r="H14" s="54"/>
      <c r="I14" s="73">
        <f t="shared" si="0"/>
        <v>98096</v>
      </c>
      <c r="L14" s="73">
        <f>IF(B14=0, 100000, IF(sterfte_partn="AG",AGoverlevtafel!L14,IF(sterfte_partn="CBS",CBSoverlevtafel!L14,IF(sterfte_partn&gt;=1,1*(sterfte_partn&gt;=$B14),IF(sterfte_partn&lt;1,sterfte_partn*L13,NA())))))</f>
        <v>97839</v>
      </c>
      <c r="O14" s="73">
        <f>IF(B14=0, 100000, IF(sterfte_partn="AG",AGoverlevtafel!O14,IF(sterfte_partn="CBS",CBSoverlevtafel!O14,IF(sterfte_partn&gt;=1,1*(sterfte_partn&gt;=$B14),IF(sterfte_partn&lt;1,sterfte_partn*O13,NA())))))</f>
        <v>98353</v>
      </c>
      <c r="P14" s="54"/>
      <c r="Q14" s="73">
        <f t="shared" si="1"/>
        <v>98096</v>
      </c>
    </row>
    <row r="15" spans="1:17" x14ac:dyDescent="0.25">
      <c r="B15" s="73">
        <v>8</v>
      </c>
      <c r="D15" s="73">
        <f>IF(B15=0, 100000, IF(sterfte_deeln="AG", AGoverlevtafel!D15, IF(sterfte_deeln="CBS", CBSoverlevtafel!D15, IF( sterfte_deeln&gt;=1, 1*(sterfte_deeln&gt;=$B15),  IF( sterfte_deeln&lt;1, sterfte_deeln*D14, NA() )) ) ) )</f>
        <v>97787</v>
      </c>
      <c r="G15" s="73">
        <f>IF(B15=0, 100000, IF(sterfte_deeln="AG",AGoverlevtafel!G15,IF(sterfte_deeln="CBS",CBSoverlevtafel!G15,IF(sterfte_deeln&gt;=1,1*(sterfte_deeln&gt;=$B15),IF(sterfte_deeln&lt;1,sterfte_deeln*G14,NA())))))</f>
        <v>98317</v>
      </c>
      <c r="H15" s="54"/>
      <c r="I15" s="73">
        <f t="shared" si="0"/>
        <v>98052</v>
      </c>
      <c r="L15" s="73">
        <f>IF(B15=0, 100000, IF(sterfte_partn="AG",AGoverlevtafel!L15,IF(sterfte_partn="CBS",CBSoverlevtafel!L15,IF(sterfte_partn&gt;=1,1*(sterfte_partn&gt;=$B15),IF(sterfte_partn&lt;1,sterfte_partn*L14,NA())))))</f>
        <v>97787</v>
      </c>
      <c r="O15" s="73">
        <f>IF(B15=0, 100000, IF(sterfte_partn="AG",AGoverlevtafel!O15,IF(sterfte_partn="CBS",CBSoverlevtafel!O15,IF(sterfte_partn&gt;=1,1*(sterfte_partn&gt;=$B15),IF(sterfte_partn&lt;1,sterfte_partn*O14,NA())))))</f>
        <v>98317</v>
      </c>
      <c r="P15" s="54"/>
      <c r="Q15" s="73">
        <f t="shared" si="1"/>
        <v>98052</v>
      </c>
    </row>
    <row r="16" spans="1:17" x14ac:dyDescent="0.25">
      <c r="B16" s="73">
        <v>9</v>
      </c>
      <c r="D16" s="73">
        <f>IF(B16=0, 100000, IF(sterfte_deeln="AG", AGoverlevtafel!D16, IF(sterfte_deeln="CBS", CBSoverlevtafel!D16, IF( sterfte_deeln&gt;=1, 1*(sterfte_deeln&gt;=$B16),  IF( sterfte_deeln&lt;1, sterfte_deeln*D15, NA() )) ) ) )</f>
        <v>97735</v>
      </c>
      <c r="G16" s="73">
        <f>IF(B16=0, 100000, IF(sterfte_deeln="AG",AGoverlevtafel!G16,IF(sterfte_deeln="CBS",CBSoverlevtafel!G16,IF(sterfte_deeln&gt;=1,1*(sterfte_deeln&gt;=$B16),IF(sterfte_deeln&lt;1,sterfte_deeln*G15,NA())))))</f>
        <v>98285</v>
      </c>
      <c r="H16" s="54"/>
      <c r="I16" s="73">
        <f t="shared" si="0"/>
        <v>98010</v>
      </c>
      <c r="L16" s="73">
        <f>IF(B16=0, 100000, IF(sterfte_partn="AG",AGoverlevtafel!L16,IF(sterfte_partn="CBS",CBSoverlevtafel!L16,IF(sterfte_partn&gt;=1,1*(sterfte_partn&gt;=$B16),IF(sterfte_partn&lt;1,sterfte_partn*L15,NA())))))</f>
        <v>97735</v>
      </c>
      <c r="O16" s="73">
        <f>IF(B16=0, 100000, IF(sterfte_partn="AG",AGoverlevtafel!O16,IF(sterfte_partn="CBS",CBSoverlevtafel!O16,IF(sterfte_partn&gt;=1,1*(sterfte_partn&gt;=$B16),IF(sterfte_partn&lt;1,sterfte_partn*O15,NA())))))</f>
        <v>98285</v>
      </c>
      <c r="P16" s="54"/>
      <c r="Q16" s="73">
        <f t="shared" si="1"/>
        <v>98010</v>
      </c>
    </row>
    <row r="17" spans="2:17" x14ac:dyDescent="0.25">
      <c r="B17" s="73">
        <v>10</v>
      </c>
      <c r="D17" s="73">
        <f>IF(B17=0, 100000, IF(sterfte_deeln="AG", AGoverlevtafel!D17, IF(sterfte_deeln="CBS", CBSoverlevtafel!D17, IF( sterfte_deeln&gt;=1, 1*(sterfte_deeln&gt;=$B17),  IF( sterfte_deeln&lt;1, sterfte_deeln*D16, NA() )) ) ) )</f>
        <v>97697</v>
      </c>
      <c r="G17" s="73">
        <f>IF(B17=0, 100000, IF(sterfte_deeln="AG",AGoverlevtafel!G17,IF(sterfte_deeln="CBS",CBSoverlevtafel!G17,IF(sterfte_deeln&gt;=1,1*(sterfte_deeln&gt;=$B17),IF(sterfte_deeln&lt;1,sterfte_deeln*G16,NA())))))</f>
        <v>98260</v>
      </c>
      <c r="H17" s="54"/>
      <c r="I17" s="73">
        <f t="shared" si="0"/>
        <v>97978.5</v>
      </c>
      <c r="L17" s="73">
        <f>IF(B17=0, 100000, IF(sterfte_partn="AG",AGoverlevtafel!L17,IF(sterfte_partn="CBS",CBSoverlevtafel!L17,IF(sterfte_partn&gt;=1,1*(sterfte_partn&gt;=$B17),IF(sterfte_partn&lt;1,sterfte_partn*L16,NA())))))</f>
        <v>97697</v>
      </c>
      <c r="O17" s="73">
        <f>IF(B17=0, 100000, IF(sterfte_partn="AG",AGoverlevtafel!O17,IF(sterfte_partn="CBS",CBSoverlevtafel!O17,IF(sterfte_partn&gt;=1,1*(sterfte_partn&gt;=$B17),IF(sterfte_partn&lt;1,sterfte_partn*O16,NA())))))</f>
        <v>98260</v>
      </c>
      <c r="P17" s="54"/>
      <c r="Q17" s="73">
        <f t="shared" si="1"/>
        <v>97978.5</v>
      </c>
    </row>
    <row r="18" spans="2:17" x14ac:dyDescent="0.25">
      <c r="B18" s="73">
        <v>11</v>
      </c>
      <c r="D18" s="73">
        <f>IF(B18=0, 100000, IF(sterfte_deeln="AG", AGoverlevtafel!D18, IF(sterfte_deeln="CBS", CBSoverlevtafel!D18, IF( sterfte_deeln&gt;=1, 1*(sterfte_deeln&gt;=$B18),  IF( sterfte_deeln&lt;1, sterfte_deeln*D17, NA() )) ) ) )</f>
        <v>97665</v>
      </c>
      <c r="G18" s="73">
        <f>IF(B18=0, 100000, IF(sterfte_deeln="AG",AGoverlevtafel!G18,IF(sterfte_deeln="CBS",CBSoverlevtafel!G18,IF(sterfte_deeln&gt;=1,1*(sterfte_deeln&gt;=$B18),IF(sterfte_deeln&lt;1,sterfte_deeln*G17,NA())))))</f>
        <v>98238</v>
      </c>
      <c r="H18" s="54"/>
      <c r="I18" s="73">
        <f t="shared" si="0"/>
        <v>97951.5</v>
      </c>
      <c r="L18" s="73">
        <f>IF(B18=0, 100000, IF(sterfte_partn="AG",AGoverlevtafel!L18,IF(sterfte_partn="CBS",CBSoverlevtafel!L18,IF(sterfte_partn&gt;=1,1*(sterfte_partn&gt;=$B18),IF(sterfte_partn&lt;1,sterfte_partn*L17,NA())))))</f>
        <v>97665</v>
      </c>
      <c r="O18" s="73">
        <f>IF(B18=0, 100000, IF(sterfte_partn="AG",AGoverlevtafel!O18,IF(sterfte_partn="CBS",CBSoverlevtafel!O18,IF(sterfte_partn&gt;=1,1*(sterfte_partn&gt;=$B18),IF(sterfte_partn&lt;1,sterfte_partn*O17,NA())))))</f>
        <v>98238</v>
      </c>
      <c r="P18" s="54"/>
      <c r="Q18" s="73">
        <f t="shared" si="1"/>
        <v>97951.5</v>
      </c>
    </row>
    <row r="19" spans="2:17" x14ac:dyDescent="0.25">
      <c r="B19" s="73">
        <v>12</v>
      </c>
      <c r="D19" s="73">
        <f>IF(B19=0, 100000, IF(sterfte_deeln="AG", AGoverlevtafel!D19, IF(sterfte_deeln="CBS", CBSoverlevtafel!D19, IF( sterfte_deeln&gt;=1, 1*(sterfte_deeln&gt;=$B19),  IF( sterfte_deeln&lt;1, sterfte_deeln*D18, NA() )) ) ) )</f>
        <v>97637</v>
      </c>
      <c r="G19" s="73">
        <f>IF(B19=0, 100000, IF(sterfte_deeln="AG",AGoverlevtafel!G19,IF(sterfte_deeln="CBS",CBSoverlevtafel!G19,IF(sterfte_deeln&gt;=1,1*(sterfte_deeln&gt;=$B19),IF(sterfte_deeln&lt;1,sterfte_deeln*G18,NA())))))</f>
        <v>98221</v>
      </c>
      <c r="H19" s="54"/>
      <c r="I19" s="73">
        <f t="shared" si="0"/>
        <v>97929</v>
      </c>
      <c r="L19" s="73">
        <f>IF(B19=0, 100000, IF(sterfte_partn="AG",AGoverlevtafel!L19,IF(sterfte_partn="CBS",CBSoverlevtafel!L19,IF(sterfte_partn&gt;=1,1*(sterfte_partn&gt;=$B19),IF(sterfte_partn&lt;1,sterfte_partn*L18,NA())))))</f>
        <v>97637</v>
      </c>
      <c r="O19" s="73">
        <f>IF(B19=0, 100000, IF(sterfte_partn="AG",AGoverlevtafel!O19,IF(sterfte_partn="CBS",CBSoverlevtafel!O19,IF(sterfte_partn&gt;=1,1*(sterfte_partn&gt;=$B19),IF(sterfte_partn&lt;1,sterfte_partn*O18,NA())))))</f>
        <v>98221</v>
      </c>
      <c r="P19" s="54"/>
      <c r="Q19" s="73">
        <f t="shared" si="1"/>
        <v>97929</v>
      </c>
    </row>
    <row r="20" spans="2:17" x14ac:dyDescent="0.25">
      <c r="B20" s="73">
        <v>13</v>
      </c>
      <c r="D20" s="73">
        <f>IF(B20=0, 100000, IF(sterfte_deeln="AG", AGoverlevtafel!D20, IF(sterfte_deeln="CBS", CBSoverlevtafel!D20, IF( sterfte_deeln&gt;=1, 1*(sterfte_deeln&gt;=$B20),  IF( sterfte_deeln&lt;1, sterfte_deeln*D19, NA() )) ) ) )</f>
        <v>97610</v>
      </c>
      <c r="G20" s="73">
        <f>IF(B20=0, 100000, IF(sterfte_deeln="AG",AGoverlevtafel!G20,IF(sterfte_deeln="CBS",CBSoverlevtafel!G20,IF(sterfte_deeln&gt;=1,1*(sterfte_deeln&gt;=$B20),IF(sterfte_deeln&lt;1,sterfte_deeln*G19,NA())))))</f>
        <v>98196</v>
      </c>
      <c r="H20" s="54"/>
      <c r="I20" s="73">
        <f t="shared" si="0"/>
        <v>97903</v>
      </c>
      <c r="L20" s="73">
        <f>IF(B20=0, 100000, IF(sterfte_partn="AG",AGoverlevtafel!L20,IF(sterfte_partn="CBS",CBSoverlevtafel!L20,IF(sterfte_partn&gt;=1,1*(sterfte_partn&gt;=$B20),IF(sterfte_partn&lt;1,sterfte_partn*L19,NA())))))</f>
        <v>97610</v>
      </c>
      <c r="O20" s="73">
        <f>IF(B20=0, 100000, IF(sterfte_partn="AG",AGoverlevtafel!O20,IF(sterfte_partn="CBS",CBSoverlevtafel!O20,IF(sterfte_partn&gt;=1,1*(sterfte_partn&gt;=$B20),IF(sterfte_partn&lt;1,sterfte_partn*O19,NA())))))</f>
        <v>98196</v>
      </c>
      <c r="P20" s="54"/>
      <c r="Q20" s="73">
        <f t="shared" si="1"/>
        <v>97903</v>
      </c>
    </row>
    <row r="21" spans="2:17" x14ac:dyDescent="0.25">
      <c r="B21" s="73">
        <v>14</v>
      </c>
      <c r="D21" s="73">
        <f>IF(B21=0, 100000, IF(sterfte_deeln="AG", AGoverlevtafel!D21, IF(sterfte_deeln="CBS", CBSoverlevtafel!D21, IF( sterfte_deeln&gt;=1, 1*(sterfte_deeln&gt;=$B21),  IF( sterfte_deeln&lt;1, sterfte_deeln*D20, NA() )) ) ) )</f>
        <v>97570</v>
      </c>
      <c r="G21" s="73">
        <f>IF(B21=0, 100000, IF(sterfte_deeln="AG",AGoverlevtafel!G21,IF(sterfte_deeln="CBS",CBSoverlevtafel!G21,IF(sterfte_deeln&gt;=1,1*(sterfte_deeln&gt;=$B21),IF(sterfte_deeln&lt;1,sterfte_deeln*G20,NA())))))</f>
        <v>98169</v>
      </c>
      <c r="H21" s="54"/>
      <c r="I21" s="73">
        <f t="shared" si="0"/>
        <v>97869.5</v>
      </c>
      <c r="L21" s="73">
        <f>IF(B21=0, 100000, IF(sterfte_partn="AG",AGoverlevtafel!L21,IF(sterfte_partn="CBS",CBSoverlevtafel!L21,IF(sterfte_partn&gt;=1,1*(sterfte_partn&gt;=$B21),IF(sterfte_partn&lt;1,sterfte_partn*L20,NA())))))</f>
        <v>97570</v>
      </c>
      <c r="O21" s="73">
        <f>IF(B21=0, 100000, IF(sterfte_partn="AG",AGoverlevtafel!O21,IF(sterfte_partn="CBS",CBSoverlevtafel!O21,IF(sterfte_partn&gt;=1,1*(sterfte_partn&gt;=$B21),IF(sterfte_partn&lt;1,sterfte_partn*O20,NA())))))</f>
        <v>98169</v>
      </c>
      <c r="P21" s="54"/>
      <c r="Q21" s="73">
        <f t="shared" si="1"/>
        <v>97869.5</v>
      </c>
    </row>
    <row r="22" spans="2:17" x14ac:dyDescent="0.25">
      <c r="B22" s="73">
        <v>15</v>
      </c>
      <c r="D22" s="73">
        <f>IF(B22=0, 100000, IF(sterfte_deeln="AG", AGoverlevtafel!D22, IF(sterfte_deeln="CBS", CBSoverlevtafel!D22, IF( sterfte_deeln&gt;=1, 1*(sterfte_deeln&gt;=$B22),  IF( sterfte_deeln&lt;1, sterfte_deeln*D21, NA() )) ) ) )</f>
        <v>97544</v>
      </c>
      <c r="G22" s="73">
        <f>IF(B22=0, 100000, IF(sterfte_deeln="AG",AGoverlevtafel!G22,IF(sterfte_deeln="CBS",CBSoverlevtafel!G22,IF(sterfte_deeln&gt;=1,1*(sterfte_deeln&gt;=$B22),IF(sterfte_deeln&lt;1,sterfte_deeln*G21,NA())))))</f>
        <v>98145</v>
      </c>
      <c r="H22" s="54"/>
      <c r="I22" s="73">
        <f t="shared" si="0"/>
        <v>97844.5</v>
      </c>
      <c r="L22" s="73">
        <f>IF(B22=0, 100000, IF(sterfte_partn="AG",AGoverlevtafel!L22,IF(sterfte_partn="CBS",CBSoverlevtafel!L22,IF(sterfte_partn&gt;=1,1*(sterfte_partn&gt;=$B22),IF(sterfte_partn&lt;1,sterfte_partn*L21,NA())))))</f>
        <v>97544</v>
      </c>
      <c r="O22" s="73">
        <f>IF(B22=0, 100000, IF(sterfte_partn="AG",AGoverlevtafel!O22,IF(sterfte_partn="CBS",CBSoverlevtafel!O22,IF(sterfte_partn&gt;=1,1*(sterfte_partn&gt;=$B22),IF(sterfte_partn&lt;1,sterfte_partn*O21,NA())))))</f>
        <v>98145</v>
      </c>
      <c r="P22" s="54"/>
      <c r="Q22" s="73">
        <f t="shared" si="1"/>
        <v>97844.5</v>
      </c>
    </row>
    <row r="23" spans="2:17" x14ac:dyDescent="0.25">
      <c r="B23" s="73">
        <v>16</v>
      </c>
      <c r="D23" s="73">
        <f>IF(B23=0, 100000, IF(sterfte_deeln="AG", AGoverlevtafel!D23, IF(sterfte_deeln="CBS", CBSoverlevtafel!D23, IF( sterfte_deeln&gt;=1, 1*(sterfte_deeln&gt;=$B23),  IF( sterfte_deeln&lt;1, sterfte_deeln*D22, NA() )) ) ) )</f>
        <v>97516</v>
      </c>
      <c r="G23" s="73">
        <f>IF(B23=0, 100000, IF(sterfte_deeln="AG",AGoverlevtafel!G23,IF(sterfte_deeln="CBS",CBSoverlevtafel!G23,IF(sterfte_deeln&gt;=1,1*(sterfte_deeln&gt;=$B23),IF(sterfte_deeln&lt;1,sterfte_deeln*G22,NA())))))</f>
        <v>98120</v>
      </c>
      <c r="H23" s="54"/>
      <c r="I23" s="73">
        <f t="shared" si="0"/>
        <v>97818</v>
      </c>
      <c r="L23" s="73">
        <f>IF(B23=0, 100000, IF(sterfte_partn="AG",AGoverlevtafel!L23,IF(sterfte_partn="CBS",CBSoverlevtafel!L23,IF(sterfte_partn&gt;=1,1*(sterfte_partn&gt;=$B23),IF(sterfte_partn&lt;1,sterfte_partn*L22,NA())))))</f>
        <v>97516</v>
      </c>
      <c r="O23" s="73">
        <f>IF(B23=0, 100000, IF(sterfte_partn="AG",AGoverlevtafel!O23,IF(sterfte_partn="CBS",CBSoverlevtafel!O23,IF(sterfte_partn&gt;=1,1*(sterfte_partn&gt;=$B23),IF(sterfte_partn&lt;1,sterfte_partn*O22,NA())))))</f>
        <v>98120</v>
      </c>
      <c r="P23" s="54"/>
      <c r="Q23" s="73">
        <f t="shared" si="1"/>
        <v>97818</v>
      </c>
    </row>
    <row r="24" spans="2:17" x14ac:dyDescent="0.25">
      <c r="B24" s="73">
        <v>17</v>
      </c>
      <c r="D24" s="73">
        <f>IF(B24=0, 100000, IF(sterfte_deeln="AG", AGoverlevtafel!D24, IF(sterfte_deeln="CBS", CBSoverlevtafel!D24, IF( sterfte_deeln&gt;=1, 1*(sterfte_deeln&gt;=$B24),  IF( sterfte_deeln&lt;1, sterfte_deeln*D23, NA() )) ) ) )</f>
        <v>97468</v>
      </c>
      <c r="G24" s="73">
        <f>IF(B24=0, 100000, IF(sterfte_deeln="AG",AGoverlevtafel!G24,IF(sterfte_deeln="CBS",CBSoverlevtafel!G24,IF(sterfte_deeln&gt;=1,1*(sterfte_deeln&gt;=$B24),IF(sterfte_deeln&lt;1,sterfte_deeln*G23,NA())))))</f>
        <v>98090</v>
      </c>
      <c r="H24" s="54"/>
      <c r="I24" s="73">
        <f t="shared" si="0"/>
        <v>97779</v>
      </c>
      <c r="L24" s="73">
        <f>IF(B24=0, 100000, IF(sterfte_partn="AG",AGoverlevtafel!L24,IF(sterfte_partn="CBS",CBSoverlevtafel!L24,IF(sterfte_partn&gt;=1,1*(sterfte_partn&gt;=$B24),IF(sterfte_partn&lt;1,sterfte_partn*L23,NA())))))</f>
        <v>97468</v>
      </c>
      <c r="O24" s="73">
        <f>IF(B24=0, 100000, IF(sterfte_partn="AG",AGoverlevtafel!O24,IF(sterfte_partn="CBS",CBSoverlevtafel!O24,IF(sterfte_partn&gt;=1,1*(sterfte_partn&gt;=$B24),IF(sterfte_partn&lt;1,sterfte_partn*O23,NA())))))</f>
        <v>98090</v>
      </c>
      <c r="P24" s="54"/>
      <c r="Q24" s="73">
        <f t="shared" si="1"/>
        <v>97779</v>
      </c>
    </row>
    <row r="25" spans="2:17" x14ac:dyDescent="0.25">
      <c r="B25" s="73">
        <v>18</v>
      </c>
      <c r="D25" s="73">
        <f>IF(B25=0, 100000, IF(sterfte_deeln="AG", AGoverlevtafel!D25, IF(sterfte_deeln="CBS", CBSoverlevtafel!D25, IF( sterfte_deeln&gt;=1, 1*(sterfte_deeln&gt;=$B25),  IF( sterfte_deeln&lt;1, sterfte_deeln*D24, NA() )) ) ) )</f>
        <v>97403</v>
      </c>
      <c r="G25" s="73">
        <f>IF(B25=0, 100000, IF(sterfte_deeln="AG",AGoverlevtafel!G25,IF(sterfte_deeln="CBS",CBSoverlevtafel!G25,IF(sterfte_deeln&gt;=1,1*(sterfte_deeln&gt;=$B25),IF(sterfte_deeln&lt;1,sterfte_deeln*G24,NA())))))</f>
        <v>98062</v>
      </c>
      <c r="H25" s="54"/>
      <c r="I25" s="73">
        <f t="shared" si="0"/>
        <v>97732.5</v>
      </c>
      <c r="L25" s="73">
        <f>IF(B25=0, 100000, IF(sterfte_partn="AG",AGoverlevtafel!L25,IF(sterfte_partn="CBS",CBSoverlevtafel!L25,IF(sterfte_partn&gt;=1,1*(sterfte_partn&gt;=$B25),IF(sterfte_partn&lt;1,sterfte_partn*L24,NA())))))</f>
        <v>97403</v>
      </c>
      <c r="O25" s="73">
        <f>IF(B25=0, 100000, IF(sterfte_partn="AG",AGoverlevtafel!O25,IF(sterfte_partn="CBS",CBSoverlevtafel!O25,IF(sterfte_partn&gt;=1,1*(sterfte_partn&gt;=$B25),IF(sterfte_partn&lt;1,sterfte_partn*O24,NA())))))</f>
        <v>98062</v>
      </c>
      <c r="P25" s="54"/>
      <c r="Q25" s="73">
        <f t="shared" si="1"/>
        <v>97732.5</v>
      </c>
    </row>
    <row r="26" spans="2:17" x14ac:dyDescent="0.25">
      <c r="B26" s="73">
        <v>19</v>
      </c>
      <c r="D26" s="73">
        <f>IF(B26=0, 100000, IF(sterfte_deeln="AG", AGoverlevtafel!D26, IF(sterfte_deeln="CBS", CBSoverlevtafel!D26, IF( sterfte_deeln&gt;=1, 1*(sterfte_deeln&gt;=$B26),  IF( sterfte_deeln&lt;1, sterfte_deeln*D25, NA() )) ) ) )</f>
        <v>97329</v>
      </c>
      <c r="G26" s="73">
        <f>IF(B26=0, 100000, IF(sterfte_deeln="AG",AGoverlevtafel!G26,IF(sterfte_deeln="CBS",CBSoverlevtafel!G26,IF(sterfte_deeln&gt;=1,1*(sterfte_deeln&gt;=$B26),IF(sterfte_deeln&lt;1,sterfte_deeln*G25,NA())))))</f>
        <v>98034</v>
      </c>
      <c r="H26" s="54"/>
      <c r="I26" s="73">
        <f t="shared" si="0"/>
        <v>97681.5</v>
      </c>
      <c r="L26" s="73">
        <f>IF(B26=0, 100000, IF(sterfte_partn="AG",AGoverlevtafel!L26,IF(sterfte_partn="CBS",CBSoverlevtafel!L26,IF(sterfte_partn&gt;=1,1*(sterfte_partn&gt;=$B26),IF(sterfte_partn&lt;1,sterfte_partn*L25,NA())))))</f>
        <v>97329</v>
      </c>
      <c r="O26" s="73">
        <f>IF(B26=0, 100000, IF(sterfte_partn="AG",AGoverlevtafel!O26,IF(sterfte_partn="CBS",CBSoverlevtafel!O26,IF(sterfte_partn&gt;=1,1*(sterfte_partn&gt;=$B26),IF(sterfte_partn&lt;1,sterfte_partn*O25,NA())))))</f>
        <v>98034</v>
      </c>
      <c r="P26" s="54"/>
      <c r="Q26" s="73">
        <f t="shared" si="1"/>
        <v>97681.5</v>
      </c>
    </row>
    <row r="27" spans="2:17" x14ac:dyDescent="0.25">
      <c r="B27" s="73">
        <v>20</v>
      </c>
      <c r="D27" s="73">
        <f>IF(B27=0, 100000, IF(sterfte_deeln="AG", AGoverlevtafel!D27, IF(sterfte_deeln="CBS", CBSoverlevtafel!D27, IF( sterfte_deeln&gt;=1, 1*(sterfte_deeln&gt;=$B27),  IF( sterfte_deeln&lt;1, sterfte_deeln*D26, NA() )) ) ) )</f>
        <v>97266</v>
      </c>
      <c r="G27" s="73">
        <f>IF(B27=0, 100000, IF(sterfte_deeln="AG",AGoverlevtafel!G27,IF(sterfte_deeln="CBS",CBSoverlevtafel!G27,IF(sterfte_deeln&gt;=1,1*(sterfte_deeln&gt;=$B27),IF(sterfte_deeln&lt;1,sterfte_deeln*G26,NA())))))</f>
        <v>98005</v>
      </c>
      <c r="H27" s="54"/>
      <c r="I27" s="73">
        <f t="shared" si="0"/>
        <v>97635.5</v>
      </c>
      <c r="L27" s="73">
        <f>IF(B27=0, 100000, IF(sterfte_partn="AG",AGoverlevtafel!L27,IF(sterfte_partn="CBS",CBSoverlevtafel!L27,IF(sterfte_partn&gt;=1,1*(sterfte_partn&gt;=$B27),IF(sterfte_partn&lt;1,sterfte_partn*L26,NA())))))</f>
        <v>97266</v>
      </c>
      <c r="O27" s="73">
        <f>IF(B27=0, 100000, IF(sterfte_partn="AG",AGoverlevtafel!O27,IF(sterfte_partn="CBS",CBSoverlevtafel!O27,IF(sterfte_partn&gt;=1,1*(sterfte_partn&gt;=$B27),IF(sterfte_partn&lt;1,sterfte_partn*O26,NA())))))</f>
        <v>98005</v>
      </c>
      <c r="P27" s="54"/>
      <c r="Q27" s="73">
        <f t="shared" si="1"/>
        <v>97635.5</v>
      </c>
    </row>
    <row r="28" spans="2:17" x14ac:dyDescent="0.25">
      <c r="B28" s="73">
        <v>21</v>
      </c>
      <c r="D28" s="73">
        <f>IF(B28=0, 100000, IF(sterfte_deeln="AG", AGoverlevtafel!D28, IF(sterfte_deeln="CBS", CBSoverlevtafel!D28, IF( sterfte_deeln&gt;=1, 1*(sterfte_deeln&gt;=$B28),  IF( sterfte_deeln&lt;1, sterfte_deeln*D27, NA() )) ) ) )</f>
        <v>97191</v>
      </c>
      <c r="G28" s="73">
        <f>IF(B28=0, 100000, IF(sterfte_deeln="AG",AGoverlevtafel!G28,IF(sterfte_deeln="CBS",CBSoverlevtafel!G28,IF(sterfte_deeln&gt;=1,1*(sterfte_deeln&gt;=$B28),IF(sterfte_deeln&lt;1,sterfte_deeln*G27,NA())))))</f>
        <v>97980</v>
      </c>
      <c r="H28" s="54"/>
      <c r="I28" s="73">
        <f t="shared" si="0"/>
        <v>97585.5</v>
      </c>
      <c r="L28" s="73">
        <f>IF(B28=0, 100000, IF(sterfte_partn="AG",AGoverlevtafel!L28,IF(sterfte_partn="CBS",CBSoverlevtafel!L28,IF(sterfte_partn&gt;=1,1*(sterfte_partn&gt;=$B28),IF(sterfte_partn&lt;1,sterfte_partn*L27,NA())))))</f>
        <v>97191</v>
      </c>
      <c r="O28" s="73">
        <f>IF(B28=0, 100000, IF(sterfte_partn="AG",AGoverlevtafel!O28,IF(sterfte_partn="CBS",CBSoverlevtafel!O28,IF(sterfte_partn&gt;=1,1*(sterfte_partn&gt;=$B28),IF(sterfte_partn&lt;1,sterfte_partn*O27,NA())))))</f>
        <v>97980</v>
      </c>
      <c r="P28" s="54"/>
      <c r="Q28" s="73">
        <f t="shared" si="1"/>
        <v>97585.5</v>
      </c>
    </row>
    <row r="29" spans="2:17" x14ac:dyDescent="0.25">
      <c r="B29" s="73">
        <v>22</v>
      </c>
      <c r="D29" s="73">
        <f>IF(B29=0, 100000, IF(sterfte_deeln="AG", AGoverlevtafel!D29, IF(sterfte_deeln="CBS", CBSoverlevtafel!D29, IF( sterfte_deeln&gt;=1, 1*(sterfte_deeln&gt;=$B29),  IF( sterfte_deeln&lt;1, sterfte_deeln*D28, NA() )) ) ) )</f>
        <v>97119</v>
      </c>
      <c r="G29" s="73">
        <f>IF(B29=0, 100000, IF(sterfte_deeln="AG",AGoverlevtafel!G29,IF(sterfte_deeln="CBS",CBSoverlevtafel!G29,IF(sterfte_deeln&gt;=1,1*(sterfte_deeln&gt;=$B29),IF(sterfte_deeln&lt;1,sterfte_deeln*G28,NA())))))</f>
        <v>97948</v>
      </c>
      <c r="H29" s="54"/>
      <c r="I29" s="73">
        <f t="shared" si="0"/>
        <v>97533.5</v>
      </c>
      <c r="L29" s="73">
        <f>IF(B29=0, 100000, IF(sterfte_partn="AG",AGoverlevtafel!L29,IF(sterfte_partn="CBS",CBSoverlevtafel!L29,IF(sterfte_partn&gt;=1,1*(sterfte_partn&gt;=$B29),IF(sterfte_partn&lt;1,sterfte_partn*L28,NA())))))</f>
        <v>97119</v>
      </c>
      <c r="O29" s="73">
        <f>IF(B29=0, 100000, IF(sterfte_partn="AG",AGoverlevtafel!O29,IF(sterfte_partn="CBS",CBSoverlevtafel!O29,IF(sterfte_partn&gt;=1,1*(sterfte_partn&gt;=$B29),IF(sterfte_partn&lt;1,sterfte_partn*O28,NA())))))</f>
        <v>97948</v>
      </c>
      <c r="P29" s="54"/>
      <c r="Q29" s="73">
        <f t="shared" si="1"/>
        <v>97533.5</v>
      </c>
    </row>
    <row r="30" spans="2:17" x14ac:dyDescent="0.25">
      <c r="B30" s="73">
        <v>23</v>
      </c>
      <c r="D30" s="73">
        <f>IF(B30=0, 100000, IF(sterfte_deeln="AG", AGoverlevtafel!D30, IF(sterfte_deeln="CBS", CBSoverlevtafel!D30, IF( sterfte_deeln&gt;=1, 1*(sterfte_deeln&gt;=$B30),  IF( sterfte_deeln&lt;1, sterfte_deeln*D29, NA() )) ) ) )</f>
        <v>97039</v>
      </c>
      <c r="G30" s="73">
        <f>IF(B30=0, 100000, IF(sterfte_deeln="AG",AGoverlevtafel!G30,IF(sterfte_deeln="CBS",CBSoverlevtafel!G30,IF(sterfte_deeln&gt;=1,1*(sterfte_deeln&gt;=$B30),IF(sterfte_deeln&lt;1,sterfte_deeln*G29,NA())))))</f>
        <v>97917</v>
      </c>
      <c r="H30" s="54"/>
      <c r="I30" s="73">
        <f t="shared" si="0"/>
        <v>97478</v>
      </c>
      <c r="L30" s="73">
        <f>IF(B30=0, 100000, IF(sterfte_partn="AG",AGoverlevtafel!L30,IF(sterfte_partn="CBS",CBSoverlevtafel!L30,IF(sterfte_partn&gt;=1,1*(sterfte_partn&gt;=$B30),IF(sterfte_partn&lt;1,sterfte_partn*L29,NA())))))</f>
        <v>97039</v>
      </c>
      <c r="O30" s="73">
        <f>IF(B30=0, 100000, IF(sterfte_partn="AG",AGoverlevtafel!O30,IF(sterfte_partn="CBS",CBSoverlevtafel!O30,IF(sterfte_partn&gt;=1,1*(sterfte_partn&gt;=$B30),IF(sterfte_partn&lt;1,sterfte_partn*O29,NA())))))</f>
        <v>97917</v>
      </c>
      <c r="P30" s="54"/>
      <c r="Q30" s="73">
        <f t="shared" si="1"/>
        <v>97478</v>
      </c>
    </row>
    <row r="31" spans="2:17" x14ac:dyDescent="0.25">
      <c r="B31" s="73">
        <v>24</v>
      </c>
      <c r="D31" s="73">
        <f>IF(B31=0, 100000, IF(sterfte_deeln="AG", AGoverlevtafel!D31, IF(sterfte_deeln="CBS", CBSoverlevtafel!D31, IF( sterfte_deeln&gt;=1, 1*(sterfte_deeln&gt;=$B31),  IF( sterfte_deeln&lt;1, sterfte_deeln*D30, NA() )) ) ) )</f>
        <v>96958</v>
      </c>
      <c r="G31" s="73">
        <f>IF(B31=0, 100000, IF(sterfte_deeln="AG",AGoverlevtafel!G31,IF(sterfte_deeln="CBS",CBSoverlevtafel!G31,IF(sterfte_deeln&gt;=1,1*(sterfte_deeln&gt;=$B31),IF(sterfte_deeln&lt;1,sterfte_deeln*G30,NA())))))</f>
        <v>97881</v>
      </c>
      <c r="H31" s="54"/>
      <c r="I31" s="73">
        <f t="shared" si="0"/>
        <v>97419.5</v>
      </c>
      <c r="L31" s="73">
        <f>IF(B31=0, 100000, IF(sterfte_partn="AG",AGoverlevtafel!L31,IF(sterfte_partn="CBS",CBSoverlevtafel!L31,IF(sterfte_partn&gt;=1,1*(sterfte_partn&gt;=$B31),IF(sterfte_partn&lt;1,sterfte_partn*L30,NA())))))</f>
        <v>96958</v>
      </c>
      <c r="O31" s="73">
        <f>IF(B31=0, 100000, IF(sterfte_partn="AG",AGoverlevtafel!O31,IF(sterfte_partn="CBS",CBSoverlevtafel!O31,IF(sterfte_partn&gt;=1,1*(sterfte_partn&gt;=$B31),IF(sterfte_partn&lt;1,sterfte_partn*O30,NA())))))</f>
        <v>97881</v>
      </c>
      <c r="P31" s="54"/>
      <c r="Q31" s="73">
        <f t="shared" si="1"/>
        <v>97419.5</v>
      </c>
    </row>
    <row r="32" spans="2:17" x14ac:dyDescent="0.25">
      <c r="B32" s="73">
        <v>25</v>
      </c>
      <c r="D32" s="73">
        <f>IF(B32=0, 100000, IF(sterfte_deeln="AG", AGoverlevtafel!D32, IF(sterfte_deeln="CBS", CBSoverlevtafel!D32, IF( sterfte_deeln&gt;=1, 1*(sterfte_deeln&gt;=$B32),  IF( sterfte_deeln&lt;1, sterfte_deeln*D31, NA() )) ) ) )</f>
        <v>96876</v>
      </c>
      <c r="G32" s="73">
        <f>IF(B32=0, 100000, IF(sterfte_deeln="AG",AGoverlevtafel!G32,IF(sterfte_deeln="CBS",CBSoverlevtafel!G32,IF(sterfte_deeln&gt;=1,1*(sterfte_deeln&gt;=$B32),IF(sterfte_deeln&lt;1,sterfte_deeln*G31,NA())))))</f>
        <v>97845</v>
      </c>
      <c r="H32" s="54"/>
      <c r="I32" s="73">
        <f t="shared" si="0"/>
        <v>97360.5</v>
      </c>
      <c r="L32" s="73">
        <f>IF(B32=0, 100000, IF(sterfte_partn="AG",AGoverlevtafel!L32,IF(sterfte_partn="CBS",CBSoverlevtafel!L32,IF(sterfte_partn&gt;=1,1*(sterfte_partn&gt;=$B32),IF(sterfte_partn&lt;1,sterfte_partn*L31,NA())))))</f>
        <v>96876</v>
      </c>
      <c r="O32" s="73">
        <f>IF(B32=0, 100000, IF(sterfte_partn="AG",AGoverlevtafel!O32,IF(sterfte_partn="CBS",CBSoverlevtafel!O32,IF(sterfte_partn&gt;=1,1*(sterfte_partn&gt;=$B32),IF(sterfte_partn&lt;1,sterfte_partn*O31,NA())))))</f>
        <v>97845</v>
      </c>
      <c r="P32" s="54"/>
      <c r="Q32" s="73">
        <f t="shared" si="1"/>
        <v>97360.5</v>
      </c>
    </row>
    <row r="33" spans="2:17" x14ac:dyDescent="0.25">
      <c r="B33" s="73">
        <v>26</v>
      </c>
      <c r="D33" s="73">
        <f>IF(B33=0, 100000, IF(sterfte_deeln="AG", AGoverlevtafel!D33, IF(sterfte_deeln="CBS", CBSoverlevtafel!D33, IF( sterfte_deeln&gt;=1, 1*(sterfte_deeln&gt;=$B33),  IF( sterfte_deeln&lt;1, sterfte_deeln*D32, NA() )) ) ) )</f>
        <v>96807</v>
      </c>
      <c r="G33" s="73">
        <f>IF(B33=0, 100000, IF(sterfte_deeln="AG",AGoverlevtafel!G33,IF(sterfte_deeln="CBS",CBSoverlevtafel!G33,IF(sterfte_deeln&gt;=1,1*(sterfte_deeln&gt;=$B33),IF(sterfte_deeln&lt;1,sterfte_deeln*G32,NA())))))</f>
        <v>97812</v>
      </c>
      <c r="H33" s="54"/>
      <c r="I33" s="73">
        <f t="shared" si="0"/>
        <v>97309.5</v>
      </c>
      <c r="L33" s="73">
        <f>IF(B33=0, 100000, IF(sterfte_partn="AG",AGoverlevtafel!L33,IF(sterfte_partn="CBS",CBSoverlevtafel!L33,IF(sterfte_partn&gt;=1,1*(sterfte_partn&gt;=$B33),IF(sterfte_partn&lt;1,sterfte_partn*L32,NA())))))</f>
        <v>96807</v>
      </c>
      <c r="O33" s="73">
        <f>IF(B33=0, 100000, IF(sterfte_partn="AG",AGoverlevtafel!O33,IF(sterfte_partn="CBS",CBSoverlevtafel!O33,IF(sterfte_partn&gt;=1,1*(sterfte_partn&gt;=$B33),IF(sterfte_partn&lt;1,sterfte_partn*O32,NA())))))</f>
        <v>97812</v>
      </c>
      <c r="P33" s="54"/>
      <c r="Q33" s="73">
        <f t="shared" si="1"/>
        <v>97309.5</v>
      </c>
    </row>
    <row r="34" spans="2:17" x14ac:dyDescent="0.25">
      <c r="B34" s="73">
        <v>27</v>
      </c>
      <c r="D34" s="73">
        <f>IF(B34=0, 100000, IF(sterfte_deeln="AG", AGoverlevtafel!D34, IF(sterfte_deeln="CBS", CBSoverlevtafel!D34, IF( sterfte_deeln&gt;=1, 1*(sterfte_deeln&gt;=$B34),  IF( sterfte_deeln&lt;1, sterfte_deeln*D33, NA() )) ) ) )</f>
        <v>96734</v>
      </c>
      <c r="G34" s="73">
        <f>IF(B34=0, 100000, IF(sterfte_deeln="AG",AGoverlevtafel!G34,IF(sterfte_deeln="CBS",CBSoverlevtafel!G34,IF(sterfte_deeln&gt;=1,1*(sterfte_deeln&gt;=$B34),IF(sterfte_deeln&lt;1,sterfte_deeln*G33,NA())))))</f>
        <v>97780</v>
      </c>
      <c r="H34" s="54"/>
      <c r="I34" s="73">
        <f t="shared" si="0"/>
        <v>97257</v>
      </c>
      <c r="L34" s="73">
        <f>IF(B34=0, 100000, IF(sterfte_partn="AG",AGoverlevtafel!L34,IF(sterfte_partn="CBS",CBSoverlevtafel!L34,IF(sterfte_partn&gt;=1,1*(sterfte_partn&gt;=$B34),IF(sterfte_partn&lt;1,sterfte_partn*L33,NA())))))</f>
        <v>96734</v>
      </c>
      <c r="O34" s="73">
        <f>IF(B34=0, 100000, IF(sterfte_partn="AG",AGoverlevtafel!O34,IF(sterfte_partn="CBS",CBSoverlevtafel!O34,IF(sterfte_partn&gt;=1,1*(sterfte_partn&gt;=$B34),IF(sterfte_partn&lt;1,sterfte_partn*O33,NA())))))</f>
        <v>97780</v>
      </c>
      <c r="P34" s="54"/>
      <c r="Q34" s="73">
        <f t="shared" si="1"/>
        <v>97257</v>
      </c>
    </row>
    <row r="35" spans="2:17" x14ac:dyDescent="0.25">
      <c r="B35" s="73">
        <v>28</v>
      </c>
      <c r="D35" s="73">
        <f>IF(B35=0, 100000, IF(sterfte_deeln="AG", AGoverlevtafel!D35, IF(sterfte_deeln="CBS", CBSoverlevtafel!D35, IF( sterfte_deeln&gt;=1, 1*(sterfte_deeln&gt;=$B35),  IF( sterfte_deeln&lt;1, sterfte_deeln*D34, NA() )) ) ) )</f>
        <v>96662</v>
      </c>
      <c r="G35" s="73">
        <f>IF(B35=0, 100000, IF(sterfte_deeln="AG",AGoverlevtafel!G35,IF(sterfte_deeln="CBS",CBSoverlevtafel!G35,IF(sterfte_deeln&gt;=1,1*(sterfte_deeln&gt;=$B35),IF(sterfte_deeln&lt;1,sterfte_deeln*G34,NA())))))</f>
        <v>97747</v>
      </c>
      <c r="H35" s="54"/>
      <c r="I35" s="73">
        <f t="shared" si="0"/>
        <v>97204.5</v>
      </c>
      <c r="L35" s="73">
        <f>IF(B35=0, 100000, IF(sterfte_partn="AG",AGoverlevtafel!L35,IF(sterfte_partn="CBS",CBSoverlevtafel!L35,IF(sterfte_partn&gt;=1,1*(sterfte_partn&gt;=$B35),IF(sterfte_partn&lt;1,sterfte_partn*L34,NA())))))</f>
        <v>96662</v>
      </c>
      <c r="O35" s="73">
        <f>IF(B35=0, 100000, IF(sterfte_partn="AG",AGoverlevtafel!O35,IF(sterfte_partn="CBS",CBSoverlevtafel!O35,IF(sterfte_partn&gt;=1,1*(sterfte_partn&gt;=$B35),IF(sterfte_partn&lt;1,sterfte_partn*O34,NA())))))</f>
        <v>97747</v>
      </c>
      <c r="P35" s="54"/>
      <c r="Q35" s="73">
        <f t="shared" si="1"/>
        <v>97204.5</v>
      </c>
    </row>
    <row r="36" spans="2:17" x14ac:dyDescent="0.25">
      <c r="B36" s="73">
        <v>29</v>
      </c>
      <c r="D36" s="73">
        <f>IF(B36=0, 100000, IF(sterfte_deeln="AG", AGoverlevtafel!D36, IF(sterfte_deeln="CBS", CBSoverlevtafel!D36, IF( sterfte_deeln&gt;=1, 1*(sterfte_deeln&gt;=$B36),  IF( sterfte_deeln&lt;1, sterfte_deeln*D35, NA() )) ) ) )</f>
        <v>96596</v>
      </c>
      <c r="G36" s="73">
        <f>IF(B36=0, 100000, IF(sterfte_deeln="AG",AGoverlevtafel!G36,IF(sterfte_deeln="CBS",CBSoverlevtafel!G36,IF(sterfte_deeln&gt;=1,1*(sterfte_deeln&gt;=$B36),IF(sterfte_deeln&lt;1,sterfte_deeln*G35,NA())))))</f>
        <v>97717</v>
      </c>
      <c r="H36" s="54"/>
      <c r="I36" s="73">
        <f t="shared" si="0"/>
        <v>97156.5</v>
      </c>
      <c r="L36" s="73">
        <f>IF(B36=0, 100000, IF(sterfte_partn="AG",AGoverlevtafel!L36,IF(sterfte_partn="CBS",CBSoverlevtafel!L36,IF(sterfte_partn&gt;=1,1*(sterfte_partn&gt;=$B36),IF(sterfte_partn&lt;1,sterfte_partn*L35,NA())))))</f>
        <v>96596</v>
      </c>
      <c r="O36" s="73">
        <f>IF(B36=0, 100000, IF(sterfte_partn="AG",AGoverlevtafel!O36,IF(sterfte_partn="CBS",CBSoverlevtafel!O36,IF(sterfte_partn&gt;=1,1*(sterfte_partn&gt;=$B36),IF(sterfte_partn&lt;1,sterfte_partn*O35,NA())))))</f>
        <v>97717</v>
      </c>
      <c r="P36" s="54"/>
      <c r="Q36" s="73">
        <f t="shared" si="1"/>
        <v>97156.5</v>
      </c>
    </row>
    <row r="37" spans="2:17" x14ac:dyDescent="0.25">
      <c r="B37" s="73">
        <v>30</v>
      </c>
      <c r="D37" s="73">
        <f>IF(B37=0, 100000, IF(sterfte_deeln="AG", AGoverlevtafel!D37, IF(sterfte_deeln="CBS", CBSoverlevtafel!D37, IF( sterfte_deeln&gt;=1, 1*(sterfte_deeln&gt;=$B37),  IF( sterfte_deeln&lt;1, sterfte_deeln*D36, NA() )) ) ) )</f>
        <v>96520</v>
      </c>
      <c r="G37" s="73">
        <f>IF(B37=0, 100000, IF(sterfte_deeln="AG",AGoverlevtafel!G37,IF(sterfte_deeln="CBS",CBSoverlevtafel!G37,IF(sterfte_deeln&gt;=1,1*(sterfte_deeln&gt;=$B37),IF(sterfte_deeln&lt;1,sterfte_deeln*G36,NA())))))</f>
        <v>97671</v>
      </c>
      <c r="H37" s="54"/>
      <c r="I37" s="73">
        <f t="shared" si="0"/>
        <v>97095.5</v>
      </c>
      <c r="L37" s="73">
        <f>IF(B37=0, 100000, IF(sterfte_partn="AG",AGoverlevtafel!L37,IF(sterfte_partn="CBS",CBSoverlevtafel!L37,IF(sterfte_partn&gt;=1,1*(sterfte_partn&gt;=$B37),IF(sterfte_partn&lt;1,sterfte_partn*L36,NA())))))</f>
        <v>96520</v>
      </c>
      <c r="O37" s="73">
        <f>IF(B37=0, 100000, IF(sterfte_partn="AG",AGoverlevtafel!O37,IF(sterfte_partn="CBS",CBSoverlevtafel!O37,IF(sterfte_partn&gt;=1,1*(sterfte_partn&gt;=$B37),IF(sterfte_partn&lt;1,sterfte_partn*O36,NA())))))</f>
        <v>97671</v>
      </c>
      <c r="P37" s="54"/>
      <c r="Q37" s="73">
        <f t="shared" si="1"/>
        <v>97095.5</v>
      </c>
    </row>
    <row r="38" spans="2:17" x14ac:dyDescent="0.25">
      <c r="B38" s="73">
        <v>31</v>
      </c>
      <c r="D38" s="73">
        <f>IF(B38=0, 100000, IF(sterfte_deeln="AG", AGoverlevtafel!D38, IF(sterfte_deeln="CBS", CBSoverlevtafel!D38, IF( sterfte_deeln&gt;=1, 1*(sterfte_deeln&gt;=$B38),  IF( sterfte_deeln&lt;1, sterfte_deeln*D37, NA() )) ) ) )</f>
        <v>96445</v>
      </c>
      <c r="G38" s="73">
        <f>IF(B38=0, 100000, IF(sterfte_deeln="AG",AGoverlevtafel!G38,IF(sterfte_deeln="CBS",CBSoverlevtafel!G38,IF(sterfte_deeln&gt;=1,1*(sterfte_deeln&gt;=$B38),IF(sterfte_deeln&lt;1,sterfte_deeln*G37,NA())))))</f>
        <v>97635</v>
      </c>
      <c r="H38" s="54"/>
      <c r="I38" s="73">
        <f t="shared" si="0"/>
        <v>97040</v>
      </c>
      <c r="L38" s="73">
        <f>IF(B38=0, 100000, IF(sterfte_partn="AG",AGoverlevtafel!L38,IF(sterfte_partn="CBS",CBSoverlevtafel!L38,IF(sterfte_partn&gt;=1,1*(sterfte_partn&gt;=$B38),IF(sterfte_partn&lt;1,sterfte_partn*L37,NA())))))</f>
        <v>96445</v>
      </c>
      <c r="O38" s="73">
        <f>IF(B38=0, 100000, IF(sterfte_partn="AG",AGoverlevtafel!O38,IF(sterfte_partn="CBS",CBSoverlevtafel!O38,IF(sterfte_partn&gt;=1,1*(sterfte_partn&gt;=$B38),IF(sterfte_partn&lt;1,sterfte_partn*O37,NA())))))</f>
        <v>97635</v>
      </c>
      <c r="P38" s="54"/>
      <c r="Q38" s="73">
        <f t="shared" si="1"/>
        <v>97040</v>
      </c>
    </row>
    <row r="39" spans="2:17" x14ac:dyDescent="0.25">
      <c r="B39" s="73">
        <v>32</v>
      </c>
      <c r="D39" s="73">
        <f>IF(B39=0, 100000, IF(sterfte_deeln="AG", AGoverlevtafel!D39, IF(sterfte_deeln="CBS", CBSoverlevtafel!D39, IF( sterfte_deeln&gt;=1, 1*(sterfte_deeln&gt;=$B39),  IF( sterfte_deeln&lt;1, sterfte_deeln*D38, NA() )) ) ) )</f>
        <v>96368</v>
      </c>
      <c r="G39" s="73">
        <f>IF(B39=0, 100000, IF(sterfte_deeln="AG",AGoverlevtafel!G39,IF(sterfte_deeln="CBS",CBSoverlevtafel!G39,IF(sterfte_deeln&gt;=1,1*(sterfte_deeln&gt;=$B39),IF(sterfte_deeln&lt;1,sterfte_deeln*G38,NA())))))</f>
        <v>97597</v>
      </c>
      <c r="H39" s="54"/>
      <c r="I39" s="73">
        <f t="shared" si="0"/>
        <v>96982.5</v>
      </c>
      <c r="L39" s="73">
        <f>IF(B39=0, 100000, IF(sterfte_partn="AG",AGoverlevtafel!L39,IF(sterfte_partn="CBS",CBSoverlevtafel!L39,IF(sterfte_partn&gt;=1,1*(sterfte_partn&gt;=$B39),IF(sterfte_partn&lt;1,sterfte_partn*L38,NA())))))</f>
        <v>96368</v>
      </c>
      <c r="O39" s="73">
        <f>IF(B39=0, 100000, IF(sterfte_partn="AG",AGoverlevtafel!O39,IF(sterfte_partn="CBS",CBSoverlevtafel!O39,IF(sterfte_partn&gt;=1,1*(sterfte_partn&gt;=$B39),IF(sterfte_partn&lt;1,sterfte_partn*O38,NA())))))</f>
        <v>97597</v>
      </c>
      <c r="P39" s="54"/>
      <c r="Q39" s="73">
        <f t="shared" si="1"/>
        <v>96982.5</v>
      </c>
    </row>
    <row r="40" spans="2:17" x14ac:dyDescent="0.25">
      <c r="B40" s="73">
        <v>33</v>
      </c>
      <c r="D40" s="73">
        <f>IF(B40=0, 100000, IF(sterfte_deeln="AG", AGoverlevtafel!D40, IF(sterfte_deeln="CBS", CBSoverlevtafel!D40, IF( sterfte_deeln&gt;=1, 1*(sterfte_deeln&gt;=$B40),  IF( sterfte_deeln&lt;1, sterfte_deeln*D39, NA() )) ) ) )</f>
        <v>96290</v>
      </c>
      <c r="G40" s="73">
        <f>IF(B40=0, 100000, IF(sterfte_deeln="AG",AGoverlevtafel!G40,IF(sterfte_deeln="CBS",CBSoverlevtafel!G40,IF(sterfte_deeln&gt;=1,1*(sterfte_deeln&gt;=$B40),IF(sterfte_deeln&lt;1,sterfte_deeln*G39,NA())))))</f>
        <v>97549</v>
      </c>
      <c r="H40" s="54"/>
      <c r="I40" s="73">
        <f t="shared" si="0"/>
        <v>96919.5</v>
      </c>
      <c r="L40" s="73">
        <f>IF(B40=0, 100000, IF(sterfte_partn="AG",AGoverlevtafel!L40,IF(sterfte_partn="CBS",CBSoverlevtafel!L40,IF(sterfte_partn&gt;=1,1*(sterfte_partn&gt;=$B40),IF(sterfte_partn&lt;1,sterfte_partn*L39,NA())))))</f>
        <v>96290</v>
      </c>
      <c r="O40" s="73">
        <f>IF(B40=0, 100000, IF(sterfte_partn="AG",AGoverlevtafel!O40,IF(sterfte_partn="CBS",CBSoverlevtafel!O40,IF(sterfte_partn&gt;=1,1*(sterfte_partn&gt;=$B40),IF(sterfte_partn&lt;1,sterfte_partn*O39,NA())))))</f>
        <v>97549</v>
      </c>
      <c r="P40" s="54"/>
      <c r="Q40" s="73">
        <f t="shared" si="1"/>
        <v>96919.5</v>
      </c>
    </row>
    <row r="41" spans="2:17" x14ac:dyDescent="0.25">
      <c r="B41" s="73">
        <v>34</v>
      </c>
      <c r="D41" s="73">
        <f>IF(B41=0, 100000, IF(sterfte_deeln="AG", AGoverlevtafel!D41, IF(sterfte_deeln="CBS", CBSoverlevtafel!D41, IF( sterfte_deeln&gt;=1, 1*(sterfte_deeln&gt;=$B41),  IF( sterfte_deeln&lt;1, sterfte_deeln*D40, NA() )) ) ) )</f>
        <v>96211</v>
      </c>
      <c r="G41" s="73">
        <f>IF(B41=0, 100000, IF(sterfte_deeln="AG",AGoverlevtafel!G41,IF(sterfte_deeln="CBS",CBSoverlevtafel!G41,IF(sterfte_deeln&gt;=1,1*(sterfte_deeln&gt;=$B41),IF(sterfte_deeln&lt;1,sterfte_deeln*G40,NA())))))</f>
        <v>97501</v>
      </c>
      <c r="H41" s="54"/>
      <c r="I41" s="73">
        <f t="shared" si="0"/>
        <v>96856</v>
      </c>
      <c r="L41" s="73">
        <f>IF(B41=0, 100000, IF(sterfte_partn="AG",AGoverlevtafel!L41,IF(sterfte_partn="CBS",CBSoverlevtafel!L41,IF(sterfte_partn&gt;=1,1*(sterfte_partn&gt;=$B41),IF(sterfte_partn&lt;1,sterfte_partn*L40,NA())))))</f>
        <v>96211</v>
      </c>
      <c r="O41" s="73">
        <f>IF(B41=0, 100000, IF(sterfte_partn="AG",AGoverlevtafel!O41,IF(sterfte_partn="CBS",CBSoverlevtafel!O41,IF(sterfte_partn&gt;=1,1*(sterfte_partn&gt;=$B41),IF(sterfte_partn&lt;1,sterfte_partn*O40,NA())))))</f>
        <v>97501</v>
      </c>
      <c r="P41" s="54"/>
      <c r="Q41" s="73">
        <f t="shared" si="1"/>
        <v>96856</v>
      </c>
    </row>
    <row r="42" spans="2:17" x14ac:dyDescent="0.25">
      <c r="B42" s="73">
        <v>35</v>
      </c>
      <c r="D42" s="73">
        <f>IF(B42=0, 100000, IF(sterfte_deeln="AG", AGoverlevtafel!D42, IF(sterfte_deeln="CBS", CBSoverlevtafel!D42, IF( sterfte_deeln&gt;=1, 1*(sterfte_deeln&gt;=$B42),  IF( sterfte_deeln&lt;1, sterfte_deeln*D41, NA() )) ) ) )</f>
        <v>96138</v>
      </c>
      <c r="G42" s="73">
        <f>IF(B42=0, 100000, IF(sterfte_deeln="AG",AGoverlevtafel!G42,IF(sterfte_deeln="CBS",CBSoverlevtafel!G42,IF(sterfte_deeln&gt;=1,1*(sterfte_deeln&gt;=$B42),IF(sterfte_deeln&lt;1,sterfte_deeln*G41,NA())))))</f>
        <v>97441</v>
      </c>
      <c r="H42" s="54"/>
      <c r="I42" s="73">
        <f t="shared" si="0"/>
        <v>96789.5</v>
      </c>
      <c r="L42" s="73">
        <f>IF(B42=0, 100000, IF(sterfte_partn="AG",AGoverlevtafel!L42,IF(sterfte_partn="CBS",CBSoverlevtafel!L42,IF(sterfte_partn&gt;=1,1*(sterfte_partn&gt;=$B42),IF(sterfte_partn&lt;1,sterfte_partn*L41,NA())))))</f>
        <v>96138</v>
      </c>
      <c r="O42" s="73">
        <f>IF(B42=0, 100000, IF(sterfte_partn="AG",AGoverlevtafel!O42,IF(sterfte_partn="CBS",CBSoverlevtafel!O42,IF(sterfte_partn&gt;=1,1*(sterfte_partn&gt;=$B42),IF(sterfte_partn&lt;1,sterfte_partn*O41,NA())))))</f>
        <v>97441</v>
      </c>
      <c r="P42" s="54"/>
      <c r="Q42" s="73">
        <f t="shared" si="1"/>
        <v>96789.5</v>
      </c>
    </row>
    <row r="43" spans="2:17" x14ac:dyDescent="0.25">
      <c r="B43" s="73">
        <v>36</v>
      </c>
      <c r="D43" s="73">
        <f>IF(B43=0, 100000, IF(sterfte_deeln="AG", AGoverlevtafel!D43, IF(sterfte_deeln="CBS", CBSoverlevtafel!D43, IF( sterfte_deeln&gt;=1, 1*(sterfte_deeln&gt;=$B43),  IF( sterfte_deeln&lt;1, sterfte_deeln*D42, NA() )) ) ) )</f>
        <v>96063</v>
      </c>
      <c r="G43" s="73">
        <f>IF(B43=0, 100000, IF(sterfte_deeln="AG",AGoverlevtafel!G43,IF(sterfte_deeln="CBS",CBSoverlevtafel!G43,IF(sterfte_deeln&gt;=1,1*(sterfte_deeln&gt;=$B43),IF(sterfte_deeln&lt;1,sterfte_deeln*G42,NA())))))</f>
        <v>97391</v>
      </c>
      <c r="H43" s="54"/>
      <c r="I43" s="73">
        <f t="shared" si="0"/>
        <v>96727</v>
      </c>
      <c r="L43" s="73">
        <f>IF(B43=0, 100000, IF(sterfte_partn="AG",AGoverlevtafel!L43,IF(sterfte_partn="CBS",CBSoverlevtafel!L43,IF(sterfte_partn&gt;=1,1*(sterfte_partn&gt;=$B43),IF(sterfte_partn&lt;1,sterfte_partn*L42,NA())))))</f>
        <v>96063</v>
      </c>
      <c r="O43" s="73">
        <f>IF(B43=0, 100000, IF(sterfte_partn="AG",AGoverlevtafel!O43,IF(sterfte_partn="CBS",CBSoverlevtafel!O43,IF(sterfte_partn&gt;=1,1*(sterfte_partn&gt;=$B43),IF(sterfte_partn&lt;1,sterfte_partn*O42,NA())))))</f>
        <v>97391</v>
      </c>
      <c r="P43" s="54"/>
      <c r="Q43" s="73">
        <f t="shared" si="1"/>
        <v>96727</v>
      </c>
    </row>
    <row r="44" spans="2:17" x14ac:dyDescent="0.25">
      <c r="B44" s="73">
        <v>37</v>
      </c>
      <c r="D44" s="73">
        <f>IF(B44=0, 100000, IF(sterfte_deeln="AG", AGoverlevtafel!D44, IF(sterfte_deeln="CBS", CBSoverlevtafel!D44, IF( sterfte_deeln&gt;=1, 1*(sterfte_deeln&gt;=$B44),  IF( sterfte_deeln&lt;1, sterfte_deeln*D43, NA() )) ) ) )</f>
        <v>95979</v>
      </c>
      <c r="G44" s="73">
        <f>IF(B44=0, 100000, IF(sterfte_deeln="AG",AGoverlevtafel!G44,IF(sterfte_deeln="CBS",CBSoverlevtafel!G44,IF(sterfte_deeln&gt;=1,1*(sterfte_deeln&gt;=$B44),IF(sterfte_deeln&lt;1,sterfte_deeln*G43,NA())))))</f>
        <v>97325</v>
      </c>
      <c r="H44" s="54"/>
      <c r="I44" s="73">
        <f t="shared" si="0"/>
        <v>96652</v>
      </c>
      <c r="L44" s="73">
        <f>IF(B44=0, 100000, IF(sterfte_partn="AG",AGoverlevtafel!L44,IF(sterfte_partn="CBS",CBSoverlevtafel!L44,IF(sterfte_partn&gt;=1,1*(sterfte_partn&gt;=$B44),IF(sterfte_partn&lt;1,sterfte_partn*L43,NA())))))</f>
        <v>95979</v>
      </c>
      <c r="O44" s="73">
        <f>IF(B44=0, 100000, IF(sterfte_partn="AG",AGoverlevtafel!O44,IF(sterfte_partn="CBS",CBSoverlevtafel!O44,IF(sterfte_partn&gt;=1,1*(sterfte_partn&gt;=$B44),IF(sterfte_partn&lt;1,sterfte_partn*O43,NA())))))</f>
        <v>97325</v>
      </c>
      <c r="P44" s="54"/>
      <c r="Q44" s="73">
        <f t="shared" si="1"/>
        <v>96652</v>
      </c>
    </row>
    <row r="45" spans="2:17" x14ac:dyDescent="0.25">
      <c r="B45" s="73">
        <v>38</v>
      </c>
      <c r="D45" s="73">
        <f>IF(B45=0, 100000, IF(sterfte_deeln="AG", AGoverlevtafel!D45, IF(sterfte_deeln="CBS", CBSoverlevtafel!D45, IF( sterfte_deeln&gt;=1, 1*(sterfte_deeln&gt;=$B45),  IF( sterfte_deeln&lt;1, sterfte_deeln*D44, NA() )) ) ) )</f>
        <v>95879</v>
      </c>
      <c r="G45" s="73">
        <f>IF(B45=0, 100000, IF(sterfte_deeln="AG",AGoverlevtafel!G45,IF(sterfte_deeln="CBS",CBSoverlevtafel!G45,IF(sterfte_deeln&gt;=1,1*(sterfte_deeln&gt;=$B45),IF(sterfte_deeln&lt;1,sterfte_deeln*G44,NA())))))</f>
        <v>97262</v>
      </c>
      <c r="H45" s="54"/>
      <c r="I45" s="73">
        <f t="shared" si="0"/>
        <v>96570.5</v>
      </c>
      <c r="L45" s="73">
        <f>IF(B45=0, 100000, IF(sterfte_partn="AG",AGoverlevtafel!L45,IF(sterfte_partn="CBS",CBSoverlevtafel!L45,IF(sterfte_partn&gt;=1,1*(sterfte_partn&gt;=$B45),IF(sterfte_partn&lt;1,sterfte_partn*L44,NA())))))</f>
        <v>95879</v>
      </c>
      <c r="O45" s="73">
        <f>IF(B45=0, 100000, IF(sterfte_partn="AG",AGoverlevtafel!O45,IF(sterfte_partn="CBS",CBSoverlevtafel!O45,IF(sterfte_partn&gt;=1,1*(sterfte_partn&gt;=$B45),IF(sterfte_partn&lt;1,sterfte_partn*O44,NA())))))</f>
        <v>97262</v>
      </c>
      <c r="P45" s="54"/>
      <c r="Q45" s="73">
        <f t="shared" si="1"/>
        <v>96570.5</v>
      </c>
    </row>
    <row r="46" spans="2:17" x14ac:dyDescent="0.25">
      <c r="B46" s="73">
        <v>39</v>
      </c>
      <c r="D46" s="73">
        <f>IF(B46=0, 100000, IF(sterfte_deeln="AG", AGoverlevtafel!D46, IF(sterfte_deeln="CBS", CBSoverlevtafel!D46, IF( sterfte_deeln&gt;=1, 1*(sterfte_deeln&gt;=$B46),  IF( sterfte_deeln&lt;1, sterfte_deeln*D45, NA() )) ) ) )</f>
        <v>95796</v>
      </c>
      <c r="G46" s="73">
        <f>IF(B46=0, 100000, IF(sterfte_deeln="AG",AGoverlevtafel!G46,IF(sterfte_deeln="CBS",CBSoverlevtafel!G46,IF(sterfte_deeln&gt;=1,1*(sterfte_deeln&gt;=$B46),IF(sterfte_deeln&lt;1,sterfte_deeln*G45,NA())))))</f>
        <v>97189</v>
      </c>
      <c r="H46" s="54"/>
      <c r="I46" s="73">
        <f t="shared" si="0"/>
        <v>96492.5</v>
      </c>
      <c r="L46" s="73">
        <f>IF(B46=0, 100000, IF(sterfte_partn="AG",AGoverlevtafel!L46,IF(sterfte_partn="CBS",CBSoverlevtafel!L46,IF(sterfte_partn&gt;=1,1*(sterfte_partn&gt;=$B46),IF(sterfte_partn&lt;1,sterfte_partn*L45,NA())))))</f>
        <v>95796</v>
      </c>
      <c r="O46" s="73">
        <f>IF(B46=0, 100000, IF(sterfte_partn="AG",AGoverlevtafel!O46,IF(sterfte_partn="CBS",CBSoverlevtafel!O46,IF(sterfte_partn&gt;=1,1*(sterfte_partn&gt;=$B46),IF(sterfte_partn&lt;1,sterfte_partn*O45,NA())))))</f>
        <v>97189</v>
      </c>
      <c r="P46" s="54"/>
      <c r="Q46" s="73">
        <f t="shared" si="1"/>
        <v>96492.5</v>
      </c>
    </row>
    <row r="47" spans="2:17" x14ac:dyDescent="0.25">
      <c r="B47" s="73">
        <v>40</v>
      </c>
      <c r="D47" s="73">
        <f>IF(B47=0, 100000, IF(sterfte_deeln="AG", AGoverlevtafel!D47, IF(sterfte_deeln="CBS", CBSoverlevtafel!D47, IF( sterfte_deeln&gt;=1, 1*(sterfte_deeln&gt;=$B47),  IF( sterfte_deeln&lt;1, sterfte_deeln*D46, NA() )) ) ) )</f>
        <v>95697</v>
      </c>
      <c r="G47" s="73">
        <f>IF(B47=0, 100000, IF(sterfte_deeln="AG",AGoverlevtafel!G47,IF(sterfte_deeln="CBS",CBSoverlevtafel!G47,IF(sterfte_deeln&gt;=1,1*(sterfte_deeln&gt;=$B47),IF(sterfte_deeln&lt;1,sterfte_deeln*G46,NA())))))</f>
        <v>97113</v>
      </c>
      <c r="H47" s="54"/>
      <c r="I47" s="73">
        <f t="shared" si="0"/>
        <v>96405</v>
      </c>
      <c r="L47" s="73">
        <f>IF(B47=0, 100000, IF(sterfte_partn="AG",AGoverlevtafel!L47,IF(sterfte_partn="CBS",CBSoverlevtafel!L47,IF(sterfte_partn&gt;=1,1*(sterfte_partn&gt;=$B47),IF(sterfte_partn&lt;1,sterfte_partn*L46,NA())))))</f>
        <v>95697</v>
      </c>
      <c r="O47" s="73">
        <f>IF(B47=0, 100000, IF(sterfte_partn="AG",AGoverlevtafel!O47,IF(sterfte_partn="CBS",CBSoverlevtafel!O47,IF(sterfte_partn&gt;=1,1*(sterfte_partn&gt;=$B47),IF(sterfte_partn&lt;1,sterfte_partn*O46,NA())))))</f>
        <v>97113</v>
      </c>
      <c r="P47" s="54"/>
      <c r="Q47" s="73">
        <f t="shared" si="1"/>
        <v>96405</v>
      </c>
    </row>
    <row r="48" spans="2:17" x14ac:dyDescent="0.25">
      <c r="B48" s="73">
        <v>41</v>
      </c>
      <c r="D48" s="73">
        <f>IF(B48=0, 100000, IF(sterfte_deeln="AG", AGoverlevtafel!D48, IF(sterfte_deeln="CBS", CBSoverlevtafel!D48, IF( sterfte_deeln&gt;=1, 1*(sterfte_deeln&gt;=$B48),  IF( sterfte_deeln&lt;1, sterfte_deeln*D47, NA() )) ) ) )</f>
        <v>95591</v>
      </c>
      <c r="G48" s="73">
        <f>IF(B48=0, 100000, IF(sterfte_deeln="AG",AGoverlevtafel!G48,IF(sterfte_deeln="CBS",CBSoverlevtafel!G48,IF(sterfte_deeln&gt;=1,1*(sterfte_deeln&gt;=$B48),IF(sterfte_deeln&lt;1,sterfte_deeln*G47,NA())))))</f>
        <v>97024</v>
      </c>
      <c r="H48" s="54"/>
      <c r="I48" s="73">
        <f t="shared" si="0"/>
        <v>96307.5</v>
      </c>
      <c r="L48" s="73">
        <f>IF(B48=0, 100000, IF(sterfte_partn="AG",AGoverlevtafel!L48,IF(sterfte_partn="CBS",CBSoverlevtafel!L48,IF(sterfte_partn&gt;=1,1*(sterfte_partn&gt;=$B48),IF(sterfte_partn&lt;1,sterfte_partn*L47,NA())))))</f>
        <v>95591</v>
      </c>
      <c r="O48" s="73">
        <f>IF(B48=0, 100000, IF(sterfte_partn="AG",AGoverlevtafel!O48,IF(sterfte_partn="CBS",CBSoverlevtafel!O48,IF(sterfte_partn&gt;=1,1*(sterfte_partn&gt;=$B48),IF(sterfte_partn&lt;1,sterfte_partn*O47,NA())))))</f>
        <v>97024</v>
      </c>
      <c r="P48" s="54"/>
      <c r="Q48" s="73">
        <f t="shared" si="1"/>
        <v>96307.5</v>
      </c>
    </row>
    <row r="49" spans="2:17" x14ac:dyDescent="0.25">
      <c r="B49" s="73">
        <v>42</v>
      </c>
      <c r="D49" s="73">
        <f>IF(B49=0, 100000, IF(sterfte_deeln="AG", AGoverlevtafel!D49, IF(sterfte_deeln="CBS", CBSoverlevtafel!D49, IF( sterfte_deeln&gt;=1, 1*(sterfte_deeln&gt;=$B49),  IF( sterfte_deeln&lt;1, sterfte_deeln*D48, NA() )) ) ) )</f>
        <v>95480</v>
      </c>
      <c r="G49" s="73">
        <f>IF(B49=0, 100000, IF(sterfte_deeln="AG",AGoverlevtafel!G49,IF(sterfte_deeln="CBS",CBSoverlevtafel!G49,IF(sterfte_deeln&gt;=1,1*(sterfte_deeln&gt;=$B49),IF(sterfte_deeln&lt;1,sterfte_deeln*G48,NA())))))</f>
        <v>96919</v>
      </c>
      <c r="H49" s="54"/>
      <c r="I49" s="73">
        <f t="shared" si="0"/>
        <v>96199.5</v>
      </c>
      <c r="L49" s="73">
        <f>IF(B49=0, 100000, IF(sterfte_partn="AG",AGoverlevtafel!L49,IF(sterfte_partn="CBS",CBSoverlevtafel!L49,IF(sterfte_partn&gt;=1,1*(sterfte_partn&gt;=$B49),IF(sterfte_partn&lt;1,sterfte_partn*L48,NA())))))</f>
        <v>95480</v>
      </c>
      <c r="O49" s="73">
        <f>IF(B49=0, 100000, IF(sterfte_partn="AG",AGoverlevtafel!O49,IF(sterfte_partn="CBS",CBSoverlevtafel!O49,IF(sterfte_partn&gt;=1,1*(sterfte_partn&gt;=$B49),IF(sterfte_partn&lt;1,sterfte_partn*O48,NA())))))</f>
        <v>96919</v>
      </c>
      <c r="P49" s="54"/>
      <c r="Q49" s="73">
        <f t="shared" si="1"/>
        <v>96199.5</v>
      </c>
    </row>
    <row r="50" spans="2:17" x14ac:dyDescent="0.25">
      <c r="B50" s="73">
        <v>43</v>
      </c>
      <c r="D50" s="73">
        <f>IF(B50=0, 100000, IF(sterfte_deeln="AG", AGoverlevtafel!D50, IF(sterfte_deeln="CBS", CBSoverlevtafel!D50, IF( sterfte_deeln&gt;=1, 1*(sterfte_deeln&gt;=$B50),  IF( sterfte_deeln&lt;1, sterfte_deeln*D49, NA() )) ) ) )</f>
        <v>95381</v>
      </c>
      <c r="G50" s="73">
        <f>IF(B50=0, 100000, IF(sterfte_deeln="AG",AGoverlevtafel!G50,IF(sterfte_deeln="CBS",CBSoverlevtafel!G50,IF(sterfte_deeln&gt;=1,1*(sterfte_deeln&gt;=$B50),IF(sterfte_deeln&lt;1,sterfte_deeln*G49,NA())))))</f>
        <v>96834</v>
      </c>
      <c r="H50" s="54"/>
      <c r="I50" s="73">
        <f t="shared" si="0"/>
        <v>96107.5</v>
      </c>
      <c r="L50" s="73">
        <f>IF(B50=0, 100000, IF(sterfte_partn="AG",AGoverlevtafel!L50,IF(sterfte_partn="CBS",CBSoverlevtafel!L50,IF(sterfte_partn&gt;=1,1*(sterfte_partn&gt;=$B50),IF(sterfte_partn&lt;1,sterfte_partn*L49,NA())))))</f>
        <v>95381</v>
      </c>
      <c r="O50" s="73">
        <f>IF(B50=0, 100000, IF(sterfte_partn="AG",AGoverlevtafel!O50,IF(sterfte_partn="CBS",CBSoverlevtafel!O50,IF(sterfte_partn&gt;=1,1*(sterfte_partn&gt;=$B50),IF(sterfte_partn&lt;1,sterfte_partn*O49,NA())))))</f>
        <v>96834</v>
      </c>
      <c r="P50" s="54"/>
      <c r="Q50" s="73">
        <f t="shared" si="1"/>
        <v>96107.5</v>
      </c>
    </row>
    <row r="51" spans="2:17" x14ac:dyDescent="0.25">
      <c r="B51" s="73">
        <v>44</v>
      </c>
      <c r="D51" s="73">
        <f>IF(B51=0, 100000, IF(sterfte_deeln="AG", AGoverlevtafel!D51, IF(sterfte_deeln="CBS", CBSoverlevtafel!D51, IF( sterfte_deeln&gt;=1, 1*(sterfte_deeln&gt;=$B51),  IF( sterfte_deeln&lt;1, sterfte_deeln*D50, NA() )) ) ) )</f>
        <v>95242</v>
      </c>
      <c r="G51" s="73">
        <f>IF(B51=0, 100000, IF(sterfte_deeln="AG",AGoverlevtafel!G51,IF(sterfte_deeln="CBS",CBSoverlevtafel!G51,IF(sterfte_deeln&gt;=1,1*(sterfte_deeln&gt;=$B51),IF(sterfte_deeln&lt;1,sterfte_deeln*G50,NA())))))</f>
        <v>96737</v>
      </c>
      <c r="H51" s="54"/>
      <c r="I51" s="73">
        <f t="shared" si="0"/>
        <v>95989.5</v>
      </c>
      <c r="L51" s="73">
        <f>IF(B51=0, 100000, IF(sterfte_partn="AG",AGoverlevtafel!L51,IF(sterfte_partn="CBS",CBSoverlevtafel!L51,IF(sterfte_partn&gt;=1,1*(sterfte_partn&gt;=$B51),IF(sterfte_partn&lt;1,sterfte_partn*L50,NA())))))</f>
        <v>95242</v>
      </c>
      <c r="O51" s="73">
        <f>IF(B51=0, 100000, IF(sterfte_partn="AG",AGoverlevtafel!O51,IF(sterfte_partn="CBS",CBSoverlevtafel!O51,IF(sterfte_partn&gt;=1,1*(sterfte_partn&gt;=$B51),IF(sterfte_partn&lt;1,sterfte_partn*O50,NA())))))</f>
        <v>96737</v>
      </c>
      <c r="P51" s="54"/>
      <c r="Q51" s="73">
        <f t="shared" si="1"/>
        <v>95989.5</v>
      </c>
    </row>
    <row r="52" spans="2:17" x14ac:dyDescent="0.25">
      <c r="B52" s="73">
        <v>45</v>
      </c>
      <c r="D52" s="73">
        <f>IF(B52=0, 100000, IF(sterfte_deeln="AG", AGoverlevtafel!D52, IF(sterfte_deeln="CBS", CBSoverlevtafel!D52, IF( sterfte_deeln&gt;=1, 1*(sterfte_deeln&gt;=$B52),  IF( sterfte_deeln&lt;1, sterfte_deeln*D51, NA() )) ) ) )</f>
        <v>95093</v>
      </c>
      <c r="G52" s="73">
        <f>IF(B52=0, 100000, IF(sterfte_deeln="AG",AGoverlevtafel!G52,IF(sterfte_deeln="CBS",CBSoverlevtafel!G52,IF(sterfte_deeln&gt;=1,1*(sterfte_deeln&gt;=$B52),IF(sterfte_deeln&lt;1,sterfte_deeln*G51,NA())))))</f>
        <v>96613</v>
      </c>
      <c r="H52" s="54"/>
      <c r="I52" s="73">
        <f t="shared" si="0"/>
        <v>95853</v>
      </c>
      <c r="L52" s="73">
        <f>IF(B52=0, 100000, IF(sterfte_partn="AG",AGoverlevtafel!L52,IF(sterfte_partn="CBS",CBSoverlevtafel!L52,IF(sterfte_partn&gt;=1,1*(sterfte_partn&gt;=$B52),IF(sterfte_partn&lt;1,sterfte_partn*L51,NA())))))</f>
        <v>95093</v>
      </c>
      <c r="O52" s="73">
        <f>IF(B52=0, 100000, IF(sterfte_partn="AG",AGoverlevtafel!O52,IF(sterfte_partn="CBS",CBSoverlevtafel!O52,IF(sterfte_partn&gt;=1,1*(sterfte_partn&gt;=$B52),IF(sterfte_partn&lt;1,sterfte_partn*O51,NA())))))</f>
        <v>96613</v>
      </c>
      <c r="P52" s="54"/>
      <c r="Q52" s="73">
        <f t="shared" si="1"/>
        <v>95853</v>
      </c>
    </row>
    <row r="53" spans="2:17" x14ac:dyDescent="0.25">
      <c r="B53" s="73">
        <v>46</v>
      </c>
      <c r="D53" s="73">
        <f>IF(B53=0, 100000, IF(sterfte_deeln="AG", AGoverlevtafel!D53, IF(sterfte_deeln="CBS", CBSoverlevtafel!D53, IF( sterfte_deeln&gt;=1, 1*(sterfte_deeln&gt;=$B53),  IF( sterfte_deeln&lt;1, sterfte_deeln*D52, NA() )) ) ) )</f>
        <v>94939</v>
      </c>
      <c r="G53" s="73">
        <f>IF(B53=0, 100000, IF(sterfte_deeln="AG",AGoverlevtafel!G53,IF(sterfte_deeln="CBS",CBSoverlevtafel!G53,IF(sterfte_deeln&gt;=1,1*(sterfte_deeln&gt;=$B53),IF(sterfte_deeln&lt;1,sterfte_deeln*G52,NA())))))</f>
        <v>96495</v>
      </c>
      <c r="H53" s="54"/>
      <c r="I53" s="73">
        <f t="shared" si="0"/>
        <v>95717</v>
      </c>
      <c r="L53" s="73">
        <f>IF(B53=0, 100000, IF(sterfte_partn="AG",AGoverlevtafel!L53,IF(sterfte_partn="CBS",CBSoverlevtafel!L53,IF(sterfte_partn&gt;=1,1*(sterfte_partn&gt;=$B53),IF(sterfte_partn&lt;1,sterfte_partn*L52,NA())))))</f>
        <v>94939</v>
      </c>
      <c r="O53" s="73">
        <f>IF(B53=0, 100000, IF(sterfte_partn="AG",AGoverlevtafel!O53,IF(sterfte_partn="CBS",CBSoverlevtafel!O53,IF(sterfte_partn&gt;=1,1*(sterfte_partn&gt;=$B53),IF(sterfte_partn&lt;1,sterfte_partn*O52,NA())))))</f>
        <v>96495</v>
      </c>
      <c r="P53" s="54"/>
      <c r="Q53" s="73">
        <f t="shared" si="1"/>
        <v>95717</v>
      </c>
    </row>
    <row r="54" spans="2:17" x14ac:dyDescent="0.25">
      <c r="B54" s="73">
        <v>47</v>
      </c>
      <c r="D54" s="73">
        <f>IF(B54=0, 100000, IF(sterfte_deeln="AG", AGoverlevtafel!D54, IF(sterfte_deeln="CBS", CBSoverlevtafel!D54, IF( sterfte_deeln&gt;=1, 1*(sterfte_deeln&gt;=$B54),  IF( sterfte_deeln&lt;1, sterfte_deeln*D53, NA() )) ) ) )</f>
        <v>94775</v>
      </c>
      <c r="G54" s="73">
        <f>IF(B54=0, 100000, IF(sterfte_deeln="AG",AGoverlevtafel!G54,IF(sterfte_deeln="CBS",CBSoverlevtafel!G54,IF(sterfte_deeln&gt;=1,1*(sterfte_deeln&gt;=$B54),IF(sterfte_deeln&lt;1,sterfte_deeln*G53,NA())))))</f>
        <v>96366</v>
      </c>
      <c r="H54" s="54"/>
      <c r="I54" s="73">
        <f t="shared" si="0"/>
        <v>95570.5</v>
      </c>
      <c r="L54" s="73">
        <f>IF(B54=0, 100000, IF(sterfte_partn="AG",AGoverlevtafel!L54,IF(sterfte_partn="CBS",CBSoverlevtafel!L54,IF(sterfte_partn&gt;=1,1*(sterfte_partn&gt;=$B54),IF(sterfte_partn&lt;1,sterfte_partn*L53,NA())))))</f>
        <v>94775</v>
      </c>
      <c r="O54" s="73">
        <f>IF(B54=0, 100000, IF(sterfte_partn="AG",AGoverlevtafel!O54,IF(sterfte_partn="CBS",CBSoverlevtafel!O54,IF(sterfte_partn&gt;=1,1*(sterfte_partn&gt;=$B54),IF(sterfte_partn&lt;1,sterfte_partn*O53,NA())))))</f>
        <v>96366</v>
      </c>
      <c r="P54" s="54"/>
      <c r="Q54" s="73">
        <f t="shared" si="1"/>
        <v>95570.5</v>
      </c>
    </row>
    <row r="55" spans="2:17" x14ac:dyDescent="0.25">
      <c r="B55" s="73">
        <v>48</v>
      </c>
      <c r="D55" s="73">
        <f>IF(B55=0, 100000, IF(sterfte_deeln="AG", AGoverlevtafel!D55, IF(sterfte_deeln="CBS", CBSoverlevtafel!D55, IF( sterfte_deeln&gt;=1, 1*(sterfte_deeln&gt;=$B55),  IF( sterfte_deeln&lt;1, sterfte_deeln*D54, NA() )) ) ) )</f>
        <v>94594</v>
      </c>
      <c r="G55" s="73">
        <f>IF(B55=0, 100000, IF(sterfte_deeln="AG",AGoverlevtafel!G55,IF(sterfte_deeln="CBS",CBSoverlevtafel!G55,IF(sterfte_deeln&gt;=1,1*(sterfte_deeln&gt;=$B55),IF(sterfte_deeln&lt;1,sterfte_deeln*G54,NA())))))</f>
        <v>96193</v>
      </c>
      <c r="H55" s="54"/>
      <c r="I55" s="73">
        <f t="shared" si="0"/>
        <v>95393.5</v>
      </c>
      <c r="L55" s="73">
        <f>IF(B55=0, 100000, IF(sterfte_partn="AG",AGoverlevtafel!L55,IF(sterfte_partn="CBS",CBSoverlevtafel!L55,IF(sterfte_partn&gt;=1,1*(sterfte_partn&gt;=$B55),IF(sterfte_partn&lt;1,sterfte_partn*L54,NA())))))</f>
        <v>94594</v>
      </c>
      <c r="O55" s="73">
        <f>IF(B55=0, 100000, IF(sterfte_partn="AG",AGoverlevtafel!O55,IF(sterfte_partn="CBS",CBSoverlevtafel!O55,IF(sterfte_partn&gt;=1,1*(sterfte_partn&gt;=$B55),IF(sterfte_partn&lt;1,sterfte_partn*O54,NA())))))</f>
        <v>96193</v>
      </c>
      <c r="P55" s="54"/>
      <c r="Q55" s="73">
        <f t="shared" si="1"/>
        <v>95393.5</v>
      </c>
    </row>
    <row r="56" spans="2:17" x14ac:dyDescent="0.25">
      <c r="B56" s="73">
        <v>49</v>
      </c>
      <c r="D56" s="73">
        <f>IF(B56=0, 100000, IF(sterfte_deeln="AG", AGoverlevtafel!D56, IF(sterfte_deeln="CBS", CBSoverlevtafel!D56, IF( sterfte_deeln&gt;=1, 1*(sterfte_deeln&gt;=$B56),  IF( sterfte_deeln&lt;1, sterfte_deeln*D55, NA() )) ) ) )</f>
        <v>94405</v>
      </c>
      <c r="G56" s="73">
        <f>IF(B56=0, 100000, IF(sterfte_deeln="AG",AGoverlevtafel!G56,IF(sterfte_deeln="CBS",CBSoverlevtafel!G56,IF(sterfte_deeln&gt;=1,1*(sterfte_deeln&gt;=$B56),IF(sterfte_deeln&lt;1,sterfte_deeln*G55,NA())))))</f>
        <v>96042</v>
      </c>
      <c r="H56" s="54"/>
      <c r="I56" s="73">
        <f t="shared" si="0"/>
        <v>95223.5</v>
      </c>
      <c r="L56" s="73">
        <f>IF(B56=0, 100000, IF(sterfte_partn="AG",AGoverlevtafel!L56,IF(sterfte_partn="CBS",CBSoverlevtafel!L56,IF(sterfte_partn&gt;=1,1*(sterfte_partn&gt;=$B56),IF(sterfte_partn&lt;1,sterfte_partn*L55,NA())))))</f>
        <v>94405</v>
      </c>
      <c r="O56" s="73">
        <f>IF(B56=0, 100000, IF(sterfte_partn="AG",AGoverlevtafel!O56,IF(sterfte_partn="CBS",CBSoverlevtafel!O56,IF(sterfte_partn&gt;=1,1*(sterfte_partn&gt;=$B56),IF(sterfte_partn&lt;1,sterfte_partn*O55,NA())))))</f>
        <v>96042</v>
      </c>
      <c r="P56" s="54"/>
      <c r="Q56" s="73">
        <f t="shared" si="1"/>
        <v>95223.5</v>
      </c>
    </row>
    <row r="57" spans="2:17" x14ac:dyDescent="0.25">
      <c r="B57" s="73">
        <v>50</v>
      </c>
      <c r="D57" s="73">
        <f>IF(B57=0, 100000, IF(sterfte_deeln="AG", AGoverlevtafel!D57, IF(sterfte_deeln="CBS", CBSoverlevtafel!D57, IF( sterfte_deeln&gt;=1, 1*(sterfte_deeln&gt;=$B57),  IF( sterfte_deeln&lt;1, sterfte_deeln*D56, NA() )) ) ) )</f>
        <v>94195</v>
      </c>
      <c r="G57" s="73">
        <f>IF(B57=0, 100000, IF(sterfte_deeln="AG",AGoverlevtafel!G57,IF(sterfte_deeln="CBS",CBSoverlevtafel!G57,IF(sterfte_deeln&gt;=1,1*(sterfte_deeln&gt;=$B57),IF(sterfte_deeln&lt;1,sterfte_deeln*G56,NA())))))</f>
        <v>95867</v>
      </c>
      <c r="H57" s="54"/>
      <c r="I57" s="73">
        <f t="shared" si="0"/>
        <v>95031</v>
      </c>
      <c r="L57" s="73">
        <f>IF(B57=0, 100000, IF(sterfte_partn="AG",AGoverlevtafel!L57,IF(sterfte_partn="CBS",CBSoverlevtafel!L57,IF(sterfte_partn&gt;=1,1*(sterfte_partn&gt;=$B57),IF(sterfte_partn&lt;1,sterfte_partn*L56,NA())))))</f>
        <v>94195</v>
      </c>
      <c r="O57" s="73">
        <f>IF(B57=0, 100000, IF(sterfte_partn="AG",AGoverlevtafel!O57,IF(sterfte_partn="CBS",CBSoverlevtafel!O57,IF(sterfte_partn&gt;=1,1*(sterfte_partn&gt;=$B57),IF(sterfte_partn&lt;1,sterfte_partn*O56,NA())))))</f>
        <v>95867</v>
      </c>
      <c r="P57" s="54"/>
      <c r="Q57" s="73">
        <f t="shared" si="1"/>
        <v>95031</v>
      </c>
    </row>
    <row r="58" spans="2:17" x14ac:dyDescent="0.25">
      <c r="B58" s="73">
        <v>51</v>
      </c>
      <c r="D58" s="73">
        <f>IF(B58=0, 100000, IF(sterfte_deeln="AG", AGoverlevtafel!D58, IF(sterfte_deeln="CBS", CBSoverlevtafel!D58, IF( sterfte_deeln&gt;=1, 1*(sterfte_deeln&gt;=$B58),  IF( sterfte_deeln&lt;1, sterfte_deeln*D57, NA() )) ) ) )</f>
        <v>93955</v>
      </c>
      <c r="G58" s="73">
        <f>IF(B58=0, 100000, IF(sterfte_deeln="AG",AGoverlevtafel!G58,IF(sterfte_deeln="CBS",CBSoverlevtafel!G58,IF(sterfte_deeln&gt;=1,1*(sterfte_deeln&gt;=$B58),IF(sterfte_deeln&lt;1,sterfte_deeln*G57,NA())))))</f>
        <v>95676</v>
      </c>
      <c r="H58" s="54"/>
      <c r="I58" s="73">
        <f t="shared" si="0"/>
        <v>94815.5</v>
      </c>
      <c r="L58" s="73">
        <f>IF(B58=0, 100000, IF(sterfte_partn="AG",AGoverlevtafel!L58,IF(sterfte_partn="CBS",CBSoverlevtafel!L58,IF(sterfte_partn&gt;=1,1*(sterfte_partn&gt;=$B58),IF(sterfte_partn&lt;1,sterfte_partn*L57,NA())))))</f>
        <v>93955</v>
      </c>
      <c r="O58" s="73">
        <f>IF(B58=0, 100000, IF(sterfte_partn="AG",AGoverlevtafel!O58,IF(sterfte_partn="CBS",CBSoverlevtafel!O58,IF(sterfte_partn&gt;=1,1*(sterfte_partn&gt;=$B58),IF(sterfte_partn&lt;1,sterfte_partn*O57,NA())))))</f>
        <v>95676</v>
      </c>
      <c r="P58" s="54"/>
      <c r="Q58" s="73">
        <f t="shared" si="1"/>
        <v>94815.5</v>
      </c>
    </row>
    <row r="59" spans="2:17" x14ac:dyDescent="0.25">
      <c r="B59" s="73">
        <v>52</v>
      </c>
      <c r="D59" s="73">
        <f>IF(B59=0, 100000, IF(sterfte_deeln="AG", AGoverlevtafel!D59, IF(sterfte_deeln="CBS", CBSoverlevtafel!D59, IF( sterfte_deeln&gt;=1, 1*(sterfte_deeln&gt;=$B59),  IF( sterfte_deeln&lt;1, sterfte_deeln*D58, NA() )) ) ) )</f>
        <v>93728</v>
      </c>
      <c r="G59" s="73">
        <f>IF(B59=0, 100000, IF(sterfte_deeln="AG",AGoverlevtafel!G59,IF(sterfte_deeln="CBS",CBSoverlevtafel!G59,IF(sterfte_deeln&gt;=1,1*(sterfte_deeln&gt;=$B59),IF(sterfte_deeln&lt;1,sterfte_deeln*G58,NA())))))</f>
        <v>95463</v>
      </c>
      <c r="H59" s="54"/>
      <c r="I59" s="73">
        <f t="shared" si="0"/>
        <v>94595.5</v>
      </c>
      <c r="L59" s="73">
        <f>IF(B59=0, 100000, IF(sterfte_partn="AG",AGoverlevtafel!L59,IF(sterfte_partn="CBS",CBSoverlevtafel!L59,IF(sterfte_partn&gt;=1,1*(sterfte_partn&gt;=$B59),IF(sterfte_partn&lt;1,sterfte_partn*L58,NA())))))</f>
        <v>93728</v>
      </c>
      <c r="O59" s="73">
        <f>IF(B59=0, 100000, IF(sterfte_partn="AG",AGoverlevtafel!O59,IF(sterfte_partn="CBS",CBSoverlevtafel!O59,IF(sterfte_partn&gt;=1,1*(sterfte_partn&gt;=$B59),IF(sterfte_partn&lt;1,sterfte_partn*O58,NA())))))</f>
        <v>95463</v>
      </c>
      <c r="P59" s="54"/>
      <c r="Q59" s="73">
        <f t="shared" si="1"/>
        <v>94595.5</v>
      </c>
    </row>
    <row r="60" spans="2:17" x14ac:dyDescent="0.25">
      <c r="B60" s="73">
        <v>53</v>
      </c>
      <c r="D60" s="73">
        <f>IF(B60=0, 100000, IF(sterfte_deeln="AG", AGoverlevtafel!D60, IF(sterfte_deeln="CBS", CBSoverlevtafel!D60, IF( sterfte_deeln&gt;=1, 1*(sterfte_deeln&gt;=$B60),  IF( sterfte_deeln&lt;1, sterfte_deeln*D59, NA() )) ) ) )</f>
        <v>93476</v>
      </c>
      <c r="G60" s="73">
        <f>IF(B60=0, 100000, IF(sterfte_deeln="AG",AGoverlevtafel!G60,IF(sterfte_deeln="CBS",CBSoverlevtafel!G60,IF(sterfte_deeln&gt;=1,1*(sterfte_deeln&gt;=$B60),IF(sterfte_deeln&lt;1,sterfte_deeln*G59,NA())))))</f>
        <v>95278</v>
      </c>
      <c r="H60" s="54"/>
      <c r="I60" s="73">
        <f t="shared" si="0"/>
        <v>94377</v>
      </c>
      <c r="L60" s="73">
        <f>IF(B60=0, 100000, IF(sterfte_partn="AG",AGoverlevtafel!L60,IF(sterfte_partn="CBS",CBSoverlevtafel!L60,IF(sterfte_partn&gt;=1,1*(sterfte_partn&gt;=$B60),IF(sterfte_partn&lt;1,sterfte_partn*L59,NA())))))</f>
        <v>93476</v>
      </c>
      <c r="O60" s="73">
        <f>IF(B60=0, 100000, IF(sterfte_partn="AG",AGoverlevtafel!O60,IF(sterfte_partn="CBS",CBSoverlevtafel!O60,IF(sterfte_partn&gt;=1,1*(sterfte_partn&gt;=$B60),IF(sterfte_partn&lt;1,sterfte_partn*O59,NA())))))</f>
        <v>95278</v>
      </c>
      <c r="P60" s="54"/>
      <c r="Q60" s="73">
        <f t="shared" si="1"/>
        <v>94377</v>
      </c>
    </row>
    <row r="61" spans="2:17" x14ac:dyDescent="0.25">
      <c r="B61" s="73">
        <v>54</v>
      </c>
      <c r="D61" s="73">
        <f>IF(B61=0, 100000, IF(sterfte_deeln="AG", AGoverlevtafel!D61, IF(sterfte_deeln="CBS", CBSoverlevtafel!D61, IF( sterfte_deeln&gt;=1, 1*(sterfte_deeln&gt;=$B61),  IF( sterfte_deeln&lt;1, sterfte_deeln*D60, NA() )) ) ) )</f>
        <v>93215</v>
      </c>
      <c r="G61" s="73">
        <f>IF(B61=0, 100000, IF(sterfte_deeln="AG",AGoverlevtafel!G61,IF(sterfte_deeln="CBS",CBSoverlevtafel!G61,IF(sterfte_deeln&gt;=1,1*(sterfte_deeln&gt;=$B61),IF(sterfte_deeln&lt;1,sterfte_deeln*G60,NA())))))</f>
        <v>95062</v>
      </c>
      <c r="H61" s="54"/>
      <c r="I61" s="73">
        <f t="shared" si="0"/>
        <v>94138.5</v>
      </c>
      <c r="L61" s="73">
        <f>IF(B61=0, 100000, IF(sterfte_partn="AG",AGoverlevtafel!L61,IF(sterfte_partn="CBS",CBSoverlevtafel!L61,IF(sterfte_partn&gt;=1,1*(sterfte_partn&gt;=$B61),IF(sterfte_partn&lt;1,sterfte_partn*L60,NA())))))</f>
        <v>93215</v>
      </c>
      <c r="O61" s="73">
        <f>IF(B61=0, 100000, IF(sterfte_partn="AG",AGoverlevtafel!O61,IF(sterfte_partn="CBS",CBSoverlevtafel!O61,IF(sterfte_partn&gt;=1,1*(sterfte_partn&gt;=$B61),IF(sterfte_partn&lt;1,sterfte_partn*O60,NA())))))</f>
        <v>95062</v>
      </c>
      <c r="P61" s="54"/>
      <c r="Q61" s="73">
        <f t="shared" si="1"/>
        <v>94138.5</v>
      </c>
    </row>
    <row r="62" spans="2:17" x14ac:dyDescent="0.25">
      <c r="B62" s="73">
        <v>55</v>
      </c>
      <c r="D62" s="73">
        <f>IF(B62=0, 100000, IF(sterfte_deeln="AG", AGoverlevtafel!D62, IF(sterfte_deeln="CBS", CBSoverlevtafel!D62, IF( sterfte_deeln&gt;=1, 1*(sterfte_deeln&gt;=$B62),  IF( sterfte_deeln&lt;1, sterfte_deeln*D61, NA() )) ) ) )</f>
        <v>92924</v>
      </c>
      <c r="G62" s="73">
        <f>IF(B62=0, 100000, IF(sterfte_deeln="AG",AGoverlevtafel!G62,IF(sterfte_deeln="CBS",CBSoverlevtafel!G62,IF(sterfte_deeln&gt;=1,1*(sterfte_deeln&gt;=$B62),IF(sterfte_deeln&lt;1,sterfte_deeln*G61,NA())))))</f>
        <v>94829</v>
      </c>
      <c r="H62" s="54"/>
      <c r="I62" s="73">
        <f t="shared" si="0"/>
        <v>93876.5</v>
      </c>
      <c r="L62" s="73">
        <f>IF(B62=0, 100000, IF(sterfte_partn="AG",AGoverlevtafel!L62,IF(sterfte_partn="CBS",CBSoverlevtafel!L62,IF(sterfte_partn&gt;=1,1*(sterfte_partn&gt;=$B62),IF(sterfte_partn&lt;1,sterfte_partn*L61,NA())))))</f>
        <v>92924</v>
      </c>
      <c r="O62" s="73">
        <f>IF(B62=0, 100000, IF(sterfte_partn="AG",AGoverlevtafel!O62,IF(sterfte_partn="CBS",CBSoverlevtafel!O62,IF(sterfte_partn&gt;=1,1*(sterfte_partn&gt;=$B62),IF(sterfte_partn&lt;1,sterfte_partn*O61,NA())))))</f>
        <v>94829</v>
      </c>
      <c r="P62" s="54"/>
      <c r="Q62" s="73">
        <f t="shared" si="1"/>
        <v>93876.5</v>
      </c>
    </row>
    <row r="63" spans="2:17" x14ac:dyDescent="0.25">
      <c r="B63" s="73">
        <v>56</v>
      </c>
      <c r="D63" s="73">
        <f>IF(B63=0, 100000, IF(sterfte_deeln="AG", AGoverlevtafel!D63, IF(sterfte_deeln="CBS", CBSoverlevtafel!D63, IF( sterfte_deeln&gt;=1, 1*(sterfte_deeln&gt;=$B63),  IF( sterfte_deeln&lt;1, sterfte_deeln*D62, NA() )) ) ) )</f>
        <v>92534.048615580003</v>
      </c>
      <c r="G63" s="73">
        <f>IF(B63=0, 100000, IF(sterfte_deeln="AG",AGoverlevtafel!G63,IF(sterfte_deeln="CBS",CBSoverlevtafel!G63,IF(sterfte_deeln&gt;=1,1*(sterfte_deeln&gt;=$B63),IF(sterfte_deeln&lt;1,sterfte_deeln*G62,NA())))))</f>
        <v>94530.505732546808</v>
      </c>
      <c r="H63" s="54"/>
      <c r="I63" s="73">
        <f t="shared" si="0"/>
        <v>93532.277174063405</v>
      </c>
      <c r="L63" s="73">
        <f>IF(B63=0, 100000, IF(sterfte_partn="AG",AGoverlevtafel!L63,IF(sterfte_partn="CBS",CBSoverlevtafel!L63,IF(sterfte_partn&gt;=1,1*(sterfte_partn&gt;=$B63),IF(sterfte_partn&lt;1,sterfte_partn*L62,NA())))))</f>
        <v>92541.204609188397</v>
      </c>
      <c r="O63" s="73">
        <f>IF(B63=0, 100000, IF(sterfte_partn="AG",AGoverlevtafel!O63,IF(sterfte_partn="CBS",CBSoverlevtafel!O63,IF(sterfte_partn&gt;=1,1*(sterfte_partn&gt;=$B63),IF(sterfte_partn&lt;1,sterfte_partn*O62,NA())))))</f>
        <v>94530.505732546808</v>
      </c>
      <c r="P63" s="54"/>
      <c r="Q63" s="73">
        <f t="shared" si="1"/>
        <v>93535.85517086761</v>
      </c>
    </row>
    <row r="64" spans="2:17" x14ac:dyDescent="0.25">
      <c r="B64" s="73">
        <v>57</v>
      </c>
      <c r="D64" s="73">
        <f>IF(B64=0, 100000, IF(sterfte_deeln="AG", AGoverlevtafel!D64, IF(sterfte_deeln="CBS", CBSoverlevtafel!D64, IF( sterfte_deeln&gt;=1, 1*(sterfte_deeln&gt;=$B64),  IF( sterfte_deeln&lt;1, sterfte_deeln*D63, NA() )) ) ) )</f>
        <v>92114.388411126944</v>
      </c>
      <c r="G64" s="73">
        <f>IF(B64=0, 100000, IF(sterfte_deeln="AG",AGoverlevtafel!G64,IF(sterfte_deeln="CBS",CBSoverlevtafel!G64,IF(sterfte_deeln&gt;=1,1*(sterfte_deeln&gt;=$B64),IF(sterfte_deeln&lt;1,sterfte_deeln*G63,NA())))))</f>
        <v>94211.764285142141</v>
      </c>
      <c r="H64" s="54"/>
      <c r="I64" s="73">
        <f t="shared" si="0"/>
        <v>93163.076348134549</v>
      </c>
      <c r="L64" s="73">
        <f>IF(B64=0, 100000, IF(sterfte_partn="AG",AGoverlevtafel!L64,IF(sterfte_partn="CBS",CBSoverlevtafel!L64,IF(sterfte_partn&gt;=1,1*(sterfte_partn&gt;=$B64),IF(sterfte_partn&lt;1,sterfte_partn*L63,NA())))))</f>
        <v>92129.243065221512</v>
      </c>
      <c r="O64" s="73">
        <f>IF(B64=0, 100000, IF(sterfte_partn="AG",AGoverlevtafel!O64,IF(sterfte_partn="CBS",CBSoverlevtafel!O64,IF(sterfte_partn&gt;=1,1*(sterfte_partn&gt;=$B64),IF(sterfte_partn&lt;1,sterfte_partn*O63,NA())))))</f>
        <v>94211.764285142141</v>
      </c>
      <c r="P64" s="54"/>
      <c r="Q64" s="73">
        <f t="shared" si="1"/>
        <v>93170.503675181826</v>
      </c>
    </row>
    <row r="65" spans="2:17" x14ac:dyDescent="0.25">
      <c r="B65" s="73">
        <v>58</v>
      </c>
      <c r="D65" s="73">
        <f>IF(B65=0, 100000, IF(sterfte_deeln="AG", AGoverlevtafel!D65, IF(sterfte_deeln="CBS", CBSoverlevtafel!D65, IF( sterfte_deeln&gt;=1, 1*(sterfte_deeln&gt;=$B65),  IF( sterfte_deeln&lt;1, sterfte_deeln*D64, NA() )) ) ) )</f>
        <v>91651.988376130335</v>
      </c>
      <c r="G65" s="73">
        <f>IF(B65=0, 100000, IF(sterfte_deeln="AG",AGoverlevtafel!G65,IF(sterfte_deeln="CBS",CBSoverlevtafel!G65,IF(sterfte_deeln&gt;=1,1*(sterfte_deeln&gt;=$B65),IF(sterfte_deeln&lt;1,sterfte_deeln*G64,NA())))))</f>
        <v>93870.145107590128</v>
      </c>
      <c r="H65" s="54"/>
      <c r="I65" s="73">
        <f t="shared" si="0"/>
        <v>92761.066741860239</v>
      </c>
      <c r="L65" s="73">
        <f>IF(B65=0, 100000, IF(sterfte_partn="AG",AGoverlevtafel!L65,IF(sterfte_partn="CBS",CBSoverlevtafel!L65,IF(sterfte_partn&gt;=1,1*(sterfte_partn&gt;=$B65),IF(sterfte_partn&lt;1,sterfte_partn*L64,NA())))))</f>
        <v>91675.849678491097</v>
      </c>
      <c r="O65" s="73">
        <f>IF(B65=0, 100000, IF(sterfte_partn="AG",AGoverlevtafel!O65,IF(sterfte_partn="CBS",CBSoverlevtafel!O65,IF(sterfte_partn&gt;=1,1*(sterfte_partn&gt;=$B65),IF(sterfte_partn&lt;1,sterfte_partn*O64,NA())))))</f>
        <v>93870.145107590128</v>
      </c>
      <c r="P65" s="54"/>
      <c r="Q65" s="73">
        <f t="shared" si="1"/>
        <v>92772.997393040612</v>
      </c>
    </row>
    <row r="66" spans="2:17" x14ac:dyDescent="0.25">
      <c r="B66" s="73">
        <v>59</v>
      </c>
      <c r="D66" s="73">
        <f>IF(B66=0, 100000, IF(sterfte_deeln="AG", AGoverlevtafel!D66, IF(sterfte_deeln="CBS", CBSoverlevtafel!D66, IF( sterfte_deeln&gt;=1, 1*(sterfte_deeln&gt;=$B66),  IF( sterfte_deeln&lt;1, sterfte_deeln*D65, NA() )) ) ) )</f>
        <v>91155.705653691155</v>
      </c>
      <c r="G66" s="73">
        <f>IF(B66=0, 100000, IF(sterfte_deeln="AG",AGoverlevtafel!G66,IF(sterfte_deeln="CBS",CBSoverlevtafel!G66,IF(sterfte_deeln&gt;=1,1*(sterfte_deeln&gt;=$B66),IF(sterfte_deeln&lt;1,sterfte_deeln*G65,NA())))))</f>
        <v>93502.883553003005</v>
      </c>
      <c r="H66" s="54"/>
      <c r="I66" s="73">
        <f t="shared" si="0"/>
        <v>92329.29460334708</v>
      </c>
      <c r="L66" s="73">
        <f>IF(B66=0, 100000, IF(sterfte_partn="AG",AGoverlevtafel!L66,IF(sterfte_partn="CBS",CBSoverlevtafel!L66,IF(sterfte_partn&gt;=1,1*(sterfte_partn&gt;=$B66),IF(sterfte_partn&lt;1,sterfte_partn*L65,NA())))))</f>
        <v>91188.868793455345</v>
      </c>
      <c r="O66" s="73">
        <f>IF(B66=0, 100000, IF(sterfte_partn="AG",AGoverlevtafel!O66,IF(sterfte_partn="CBS",CBSoverlevtafel!O66,IF(sterfte_partn&gt;=1,1*(sterfte_partn&gt;=$B66),IF(sterfte_partn&lt;1,sterfte_partn*O65,NA())))))</f>
        <v>93502.883553003005</v>
      </c>
      <c r="P66" s="54"/>
      <c r="Q66" s="73">
        <f t="shared" si="1"/>
        <v>92345.876173229175</v>
      </c>
    </row>
    <row r="67" spans="2:17" x14ac:dyDescent="0.25">
      <c r="B67" s="73">
        <v>60</v>
      </c>
      <c r="D67" s="73">
        <f>IF(B67=0, 100000, IF(sterfte_deeln="AG", AGoverlevtafel!D67, IF(sterfte_deeln="CBS", CBSoverlevtafel!D67, IF( sterfte_deeln&gt;=1, 1*(sterfte_deeln&gt;=$B67),  IF( sterfte_deeln&lt;1, sterfte_deeln*D66, NA() )) ) ) )</f>
        <v>90626.031980523796</v>
      </c>
      <c r="G67" s="73">
        <f>IF(B67=0, 100000, IF(sterfte_deeln="AG",AGoverlevtafel!G67,IF(sterfte_deeln="CBS",CBSoverlevtafel!G67,IF(sterfte_deeln&gt;=1,1*(sterfte_deeln&gt;=$B67),IF(sterfte_deeln&lt;1,sterfte_deeln*G66,NA())))))</f>
        <v>93112.998473713757</v>
      </c>
      <c r="H67" s="54"/>
      <c r="I67" s="73">
        <f t="shared" si="0"/>
        <v>91869.515227118769</v>
      </c>
      <c r="L67" s="73">
        <f>IF(B67=0, 100000, IF(sterfte_partn="AG",AGoverlevtafel!L67,IF(sterfte_partn="CBS",CBSoverlevtafel!L67,IF(sterfte_partn&gt;=1,1*(sterfte_partn&gt;=$B67),IF(sterfte_partn&lt;1,sterfte_partn*L66,NA())))))</f>
        <v>90669.327763942958</v>
      </c>
      <c r="O67" s="73">
        <f>IF(B67=0, 100000, IF(sterfte_partn="AG",AGoverlevtafel!O67,IF(sterfte_partn="CBS",CBSoverlevtafel!O67,IF(sterfte_partn&gt;=1,1*(sterfte_partn&gt;=$B67),IF(sterfte_partn&lt;1,sterfte_partn*O66,NA())))))</f>
        <v>93112.998473713757</v>
      </c>
      <c r="P67" s="54"/>
      <c r="Q67" s="73">
        <f t="shared" si="1"/>
        <v>91891.16311882835</v>
      </c>
    </row>
    <row r="68" spans="2:17" x14ac:dyDescent="0.25">
      <c r="B68" s="73">
        <v>61</v>
      </c>
      <c r="D68" s="73">
        <f>IF(B68=0, 100000, IF(sterfte_deeln="AG", AGoverlevtafel!D68, IF(sterfte_deeln="CBS", CBSoverlevtafel!D68, IF( sterfte_deeln&gt;=1, 1*(sterfte_deeln&gt;=$B68),  IF( sterfte_deeln&lt;1, sterfte_deeln*D67, NA() )) ) ) )</f>
        <v>90051.477329181158</v>
      </c>
      <c r="G68" s="73">
        <f>IF(B68=0, 100000, IF(sterfte_deeln="AG",AGoverlevtafel!G68,IF(sterfte_deeln="CBS",CBSoverlevtafel!G68,IF(sterfte_deeln&gt;=1,1*(sterfte_deeln&gt;=$B68),IF(sterfte_deeln&lt;1,sterfte_deeln*G67,NA())))))</f>
        <v>92687.539084113887</v>
      </c>
      <c r="H68" s="54"/>
      <c r="I68" s="73">
        <f t="shared" si="0"/>
        <v>91369.50820664753</v>
      </c>
      <c r="L68" s="73">
        <f>IF(B68=0, 100000, IF(sterfte_partn="AG",AGoverlevtafel!L68,IF(sterfte_partn="CBS",CBSoverlevtafel!L68,IF(sterfte_partn&gt;=1,1*(sterfte_partn&gt;=$B68),IF(sterfte_partn&lt;1,sterfte_partn*L67,NA())))))</f>
        <v>90105.604964040729</v>
      </c>
      <c r="O68" s="73">
        <f>IF(B68=0, 100000, IF(sterfte_partn="AG",AGoverlevtafel!O68,IF(sterfte_partn="CBS",CBSoverlevtafel!O68,IF(sterfte_partn&gt;=1,1*(sterfte_partn&gt;=$B68),IF(sterfte_partn&lt;1,sterfte_partn*O67,NA())))))</f>
        <v>92687.539084113887</v>
      </c>
      <c r="P68" s="54"/>
      <c r="Q68" s="73">
        <f t="shared" si="1"/>
        <v>91396.572024077308</v>
      </c>
    </row>
    <row r="69" spans="2:17" x14ac:dyDescent="0.25">
      <c r="B69" s="73">
        <v>62</v>
      </c>
      <c r="D69" s="73">
        <f>IF(B69=0, 100000, IF(sterfte_deeln="AG", AGoverlevtafel!D69, IF(sterfte_deeln="CBS", CBSoverlevtafel!D69, IF( sterfte_deeln&gt;=1, 1*(sterfte_deeln&gt;=$B69),  IF( sterfte_deeln&lt;1, sterfte_deeln*D68, NA() )) ) ) )</f>
        <v>89440.071635175176</v>
      </c>
      <c r="G69" s="73">
        <f>IF(B69=0, 100000, IF(sterfte_deeln="AG",AGoverlevtafel!G69,IF(sterfte_deeln="CBS",CBSoverlevtafel!G69,IF(sterfte_deeln&gt;=1,1*(sterfte_deeln&gt;=$B69),IF(sterfte_deeln&lt;1,sterfte_deeln*G68,NA())))))</f>
        <v>92235.32276318135</v>
      </c>
      <c r="H69" s="54"/>
      <c r="I69" s="73">
        <f t="shared" si="0"/>
        <v>90837.697199178263</v>
      </c>
      <c r="L69" s="73">
        <f>IF(B69=0, 100000, IF(sterfte_partn="AG",AGoverlevtafel!L69,IF(sterfte_partn="CBS",CBSoverlevtafel!L69,IF(sterfte_partn&gt;=1,1*(sterfte_partn&gt;=$B69),IF(sterfte_partn&lt;1,sterfte_partn*L68,NA())))))</f>
        <v>89505.526558190555</v>
      </c>
      <c r="O69" s="73">
        <f>IF(B69=0, 100000, IF(sterfte_partn="AG",AGoverlevtafel!O69,IF(sterfte_partn="CBS",CBSoverlevtafel!O69,IF(sterfte_partn&gt;=1,1*(sterfte_partn&gt;=$B69),IF(sterfte_partn&lt;1,sterfte_partn*O68,NA())))))</f>
        <v>92235.32276318135</v>
      </c>
      <c r="P69" s="54"/>
      <c r="Q69" s="73">
        <f t="shared" si="1"/>
        <v>90870.424660685952</v>
      </c>
    </row>
    <row r="70" spans="2:17" x14ac:dyDescent="0.25">
      <c r="B70" s="73">
        <v>63</v>
      </c>
      <c r="D70" s="73">
        <f>IF(B70=0, 100000, IF(sterfte_deeln="AG", AGoverlevtafel!D70, IF(sterfte_deeln="CBS", CBSoverlevtafel!D70, IF( sterfte_deeln&gt;=1, 1*(sterfte_deeln&gt;=$B70),  IF( sterfte_deeln&lt;1, sterfte_deeln*D69, NA() )) ) ) )</f>
        <v>88783.193929766567</v>
      </c>
      <c r="G70" s="73">
        <f>IF(B70=0, 100000, IF(sterfte_deeln="AG",AGoverlevtafel!G70,IF(sterfte_deeln="CBS",CBSoverlevtafel!G70,IF(sterfte_deeln&gt;=1,1*(sterfte_deeln&gt;=$B70),IF(sterfte_deeln&lt;1,sterfte_deeln*G69,NA())))))</f>
        <v>91758.37583689118</v>
      </c>
      <c r="H70" s="54"/>
      <c r="I70" s="73">
        <f t="shared" si="0"/>
        <v>90270.784883328874</v>
      </c>
      <c r="L70" s="73">
        <f>IF(B70=0, 100000, IF(sterfte_partn="AG",AGoverlevtafel!L70,IF(sterfte_partn="CBS",CBSoverlevtafel!L70,IF(sterfte_partn&gt;=1,1*(sterfte_partn&gt;=$B70),IF(sterfte_partn&lt;1,sterfte_partn*L69,NA())))))</f>
        <v>88861.063692446842</v>
      </c>
      <c r="O70" s="73">
        <f>IF(B70=0, 100000, IF(sterfte_partn="AG",AGoverlevtafel!O70,IF(sterfte_partn="CBS",CBSoverlevtafel!O70,IF(sterfte_partn&gt;=1,1*(sterfte_partn&gt;=$B70),IF(sterfte_partn&lt;1,sterfte_partn*O69,NA())))))</f>
        <v>91758.37583689118</v>
      </c>
      <c r="P70" s="54"/>
      <c r="Q70" s="73">
        <f t="shared" si="1"/>
        <v>90309.719764669018</v>
      </c>
    </row>
    <row r="71" spans="2:17" x14ac:dyDescent="0.25">
      <c r="B71" s="73">
        <v>64</v>
      </c>
      <c r="D71" s="73">
        <f>IF(B71=0, 100000, IF(sterfte_deeln="AG", AGoverlevtafel!D71, IF(sterfte_deeln="CBS", CBSoverlevtafel!D71, IF( sterfte_deeln&gt;=1, 1*(sterfte_deeln&gt;=$B71),  IF( sterfte_deeln&lt;1, sterfte_deeln*D70, NA() )) ) ) )</f>
        <v>88077.021967199194</v>
      </c>
      <c r="G71" s="73">
        <f>IF(B71=0, 100000, IF(sterfte_deeln="AG",AGoverlevtafel!G71,IF(sterfte_deeln="CBS",CBSoverlevtafel!G71,IF(sterfte_deeln&gt;=1,1*(sterfte_deeln&gt;=$B71),IF(sterfte_deeln&lt;1,sterfte_deeln*G70,NA())))))</f>
        <v>91258.403789621589</v>
      </c>
      <c r="H71" s="54"/>
      <c r="I71" s="73">
        <f t="shared" ref="I71:I127" si="2">AVERAGE(D71,G71)</f>
        <v>89667.712878410384</v>
      </c>
      <c r="L71" s="73">
        <f>IF(B71=0, 100000, IF(sterfte_partn="AG",AGoverlevtafel!L71,IF(sterfte_partn="CBS",CBSoverlevtafel!L71,IF(sterfte_partn&gt;=1,1*(sterfte_partn&gt;=$B71),IF(sterfte_partn&lt;1,sterfte_partn*L70,NA())))))</f>
        <v>88168.056463715344</v>
      </c>
      <c r="O71" s="73">
        <f>IF(B71=0, 100000, IF(sterfte_partn="AG",AGoverlevtafel!O71,IF(sterfte_partn="CBS",CBSoverlevtafel!O71,IF(sterfte_partn&gt;=1,1*(sterfte_partn&gt;=$B71),IF(sterfte_partn&lt;1,sterfte_partn*O70,NA())))))</f>
        <v>91258.403789621589</v>
      </c>
      <c r="P71" s="54"/>
      <c r="Q71" s="73">
        <f t="shared" ref="Q71:Q127" si="3">AVERAGE(L71,O71)</f>
        <v>89713.230126668466</v>
      </c>
    </row>
    <row r="72" spans="2:17" x14ac:dyDescent="0.25">
      <c r="B72" s="73">
        <v>65</v>
      </c>
      <c r="D72" s="73">
        <f>IF(B72=0, 100000, IF(sterfte_deeln="AG", AGoverlevtafel!D72, IF(sterfte_deeln="CBS", CBSoverlevtafel!D72, IF( sterfte_deeln&gt;=1, 1*(sterfte_deeln&gt;=$B72),  IF( sterfte_deeln&lt;1, sterfte_deeln*D71, NA() )) ) ) )</f>
        <v>87325.523845939315</v>
      </c>
      <c r="G72" s="73">
        <f>IF(B72=0, 100000, IF(sterfte_deeln="AG",AGoverlevtafel!G72,IF(sterfte_deeln="CBS",CBSoverlevtafel!G72,IF(sterfte_deeln&gt;=1,1*(sterfte_deeln&gt;=$B72),IF(sterfte_deeln&lt;1,sterfte_deeln*G71,NA())))))</f>
        <v>90732.332483224367</v>
      </c>
      <c r="H72" s="54"/>
      <c r="I72" s="73">
        <f t="shared" si="2"/>
        <v>89028.928164581841</v>
      </c>
      <c r="L72" s="73">
        <f>IF(B72=0, 100000, IF(sterfte_partn="AG",AGoverlevtafel!L72,IF(sterfte_partn="CBS",CBSoverlevtafel!L72,IF(sterfte_partn&gt;=1,1*(sterfte_partn&gt;=$B72),IF(sterfte_partn&lt;1,sterfte_partn*L71,NA())))))</f>
        <v>87430.411247763885</v>
      </c>
      <c r="O72" s="73">
        <f>IF(B72=0, 100000, IF(sterfte_partn="AG",AGoverlevtafel!O72,IF(sterfte_partn="CBS",CBSoverlevtafel!O72,IF(sterfte_partn&gt;=1,1*(sterfte_partn&gt;=$B72),IF(sterfte_partn&lt;1,sterfte_partn*O71,NA())))))</f>
        <v>90732.332483224367</v>
      </c>
      <c r="P72" s="54"/>
      <c r="Q72" s="73">
        <f t="shared" si="3"/>
        <v>89081.371865494119</v>
      </c>
    </row>
    <row r="73" spans="2:17" x14ac:dyDescent="0.25">
      <c r="B73" s="73">
        <v>66</v>
      </c>
      <c r="D73" s="73">
        <f>IF(B73=0, 100000, IF(sterfte_deeln="AG", AGoverlevtafel!D73, IF(sterfte_deeln="CBS", CBSoverlevtafel!D73, IF( sterfte_deeln&gt;=1, 1*(sterfte_deeln&gt;=$B73),  IF( sterfte_deeln&lt;1, sterfte_deeln*D72, NA() )) ) ) )</f>
        <v>86521.949284430942</v>
      </c>
      <c r="G73" s="73">
        <f>IF(B73=0, 100000, IF(sterfte_deeln="AG",AGoverlevtafel!G73,IF(sterfte_deeln="CBS",CBSoverlevtafel!G73,IF(sterfte_deeln&gt;=1,1*(sterfte_deeln&gt;=$B73),IF(sterfte_deeln&lt;1,sterfte_deeln*G72,NA())))))</f>
        <v>90175.417136098869</v>
      </c>
      <c r="H73" s="54"/>
      <c r="I73" s="73">
        <f t="shared" si="2"/>
        <v>88348.683210264906</v>
      </c>
      <c r="L73" s="73">
        <f>IF(B73=0, 100000, IF(sterfte_partn="AG",AGoverlevtafel!L73,IF(sterfte_partn="CBS",CBSoverlevtafel!L73,IF(sterfte_partn&gt;=1,1*(sterfte_partn&gt;=$B73),IF(sterfte_partn&lt;1,sterfte_partn*L72,NA())))))</f>
        <v>86641.973757455387</v>
      </c>
      <c r="O73" s="73">
        <f>IF(B73=0, 100000, IF(sterfte_partn="AG",AGoverlevtafel!O73,IF(sterfte_partn="CBS",CBSoverlevtafel!O73,IF(sterfte_partn&gt;=1,1*(sterfte_partn&gt;=$B73),IF(sterfte_partn&lt;1,sterfte_partn*O72,NA())))))</f>
        <v>90175.417136098869</v>
      </c>
      <c r="P73" s="54"/>
      <c r="Q73" s="73">
        <f t="shared" si="3"/>
        <v>88408.695446777128</v>
      </c>
    </row>
    <row r="74" spans="2:17" x14ac:dyDescent="0.25">
      <c r="B74" s="73">
        <v>67</v>
      </c>
      <c r="D74" s="73">
        <f>IF(B74=0, 100000, IF(sterfte_deeln="AG", AGoverlevtafel!D74, IF(sterfte_deeln="CBS", CBSoverlevtafel!D74, IF( sterfte_deeln&gt;=1, 1*(sterfte_deeln&gt;=$B74),  IF( sterfte_deeln&lt;1, sterfte_deeln*D73, NA() )) ) ) )</f>
        <v>85660.428734701462</v>
      </c>
      <c r="G74" s="73">
        <f>IF(B74=0, 100000, IF(sterfte_deeln="AG",AGoverlevtafel!G74,IF(sterfte_deeln="CBS",CBSoverlevtafel!G74,IF(sterfte_deeln&gt;=1,1*(sterfte_deeln&gt;=$B74),IF(sterfte_deeln&lt;1,sterfte_deeln*G73,NA())))))</f>
        <v>89582.909566369912</v>
      </c>
      <c r="H74" s="54"/>
      <c r="I74" s="73">
        <f t="shared" si="2"/>
        <v>87621.669150535687</v>
      </c>
      <c r="L74" s="73">
        <f>IF(B74=0, 100000, IF(sterfte_partn="AG",AGoverlevtafel!L74,IF(sterfte_partn="CBS",CBSoverlevtafel!L74,IF(sterfte_partn&gt;=1,1*(sterfte_partn&gt;=$B74),IF(sterfte_partn&lt;1,sterfte_partn*L73,NA())))))</f>
        <v>85796.314831728901</v>
      </c>
      <c r="O74" s="73">
        <f>IF(B74=0, 100000, IF(sterfte_partn="AG",AGoverlevtafel!O74,IF(sterfte_partn="CBS",CBSoverlevtafel!O74,IF(sterfte_partn&gt;=1,1*(sterfte_partn&gt;=$B74),IF(sterfte_partn&lt;1,sterfte_partn*O73,NA())))))</f>
        <v>89582.909566369912</v>
      </c>
      <c r="P74" s="54"/>
      <c r="Q74" s="73">
        <f t="shared" si="3"/>
        <v>87689.612199049414</v>
      </c>
    </row>
    <row r="75" spans="2:17" x14ac:dyDescent="0.25">
      <c r="B75" s="73">
        <v>68</v>
      </c>
      <c r="D75" s="73">
        <f>IF(B75=0, 100000, IF(sterfte_deeln="AG", AGoverlevtafel!D75, IF(sterfte_deeln="CBS", CBSoverlevtafel!D75, IF( sterfte_deeln&gt;=1, 1*(sterfte_deeln&gt;=$B75),  IF( sterfte_deeln&lt;1, sterfte_deeln*D74, NA() )) ) ) )</f>
        <v>84752.555130302964</v>
      </c>
      <c r="G75" s="73">
        <f>IF(B75=0, 100000, IF(sterfte_deeln="AG",AGoverlevtafel!G75,IF(sterfte_deeln="CBS",CBSoverlevtafel!G75,IF(sterfte_deeln&gt;=1,1*(sterfte_deeln&gt;=$B75),IF(sterfte_deeln&lt;1,sterfte_deeln*G74,NA())))))</f>
        <v>88964.259551401017</v>
      </c>
      <c r="H75" s="54"/>
      <c r="I75" s="73">
        <f t="shared" si="2"/>
        <v>86858.407340851991</v>
      </c>
      <c r="L75" s="73">
        <f>IF(B75=0, 100000, IF(sterfte_partn="AG",AGoverlevtafel!L75,IF(sterfte_partn="CBS",CBSoverlevtafel!L75,IF(sterfte_partn&gt;=1,1*(sterfte_partn&gt;=$B75),IF(sterfte_partn&lt;1,sterfte_partn*L74,NA())))))</f>
        <v>84905.395242613929</v>
      </c>
      <c r="O75" s="73">
        <f>IF(B75=0, 100000, IF(sterfte_partn="AG",AGoverlevtafel!O75,IF(sterfte_partn="CBS",CBSoverlevtafel!O75,IF(sterfte_partn&gt;=1,1*(sterfte_partn&gt;=$B75),IF(sterfte_partn&lt;1,sterfte_partn*O74,NA())))))</f>
        <v>88964.259551401017</v>
      </c>
      <c r="P75" s="54"/>
      <c r="Q75" s="73">
        <f t="shared" si="3"/>
        <v>86934.827397007466</v>
      </c>
    </row>
    <row r="76" spans="2:17" x14ac:dyDescent="0.25">
      <c r="B76" s="73">
        <v>69</v>
      </c>
      <c r="D76" s="73">
        <f>IF(B76=0, 100000, IF(sterfte_deeln="AG", AGoverlevtafel!D76, IF(sterfte_deeln="CBS", CBSoverlevtafel!D76, IF( sterfte_deeln&gt;=1, 1*(sterfte_deeln&gt;=$B76),  IF( sterfte_deeln&lt;1, sterfte_deeln*D75, NA() )) ) ) )</f>
        <v>83779.390789451485</v>
      </c>
      <c r="G76" s="73">
        <f>IF(B76=0, 100000, IF(sterfte_deeln="AG",AGoverlevtafel!G76,IF(sterfte_deeln="CBS",CBSoverlevtafel!G76,IF(sterfte_deeln&gt;=1,1*(sterfte_deeln&gt;=$B76),IF(sterfte_deeln&lt;1,sterfte_deeln*G75,NA())))))</f>
        <v>88294.787982909853</v>
      </c>
      <c r="H76" s="54"/>
      <c r="I76" s="73">
        <f t="shared" si="2"/>
        <v>86037.089386180669</v>
      </c>
      <c r="L76" s="73">
        <f>IF(B76=0, 100000, IF(sterfte_partn="AG",AGoverlevtafel!L76,IF(sterfte_partn="CBS",CBSoverlevtafel!L76,IF(sterfte_partn&gt;=1,1*(sterfte_partn&gt;=$B76),IF(sterfte_partn&lt;1,sterfte_partn*L75,NA())))))</f>
        <v>83950.257016741001</v>
      </c>
      <c r="O76" s="73">
        <f>IF(B76=0, 100000, IF(sterfte_partn="AG",AGoverlevtafel!O76,IF(sterfte_partn="CBS",CBSoverlevtafel!O76,IF(sterfte_partn&gt;=1,1*(sterfte_partn&gt;=$B76),IF(sterfte_partn&lt;1,sterfte_partn*O75,NA())))))</f>
        <v>88294.787982909853</v>
      </c>
      <c r="P76" s="54"/>
      <c r="Q76" s="73">
        <f t="shared" si="3"/>
        <v>86122.522499825427</v>
      </c>
    </row>
    <row r="77" spans="2:17" x14ac:dyDescent="0.25">
      <c r="B77" s="73">
        <v>70</v>
      </c>
      <c r="D77" s="73">
        <f>IF(B77=0, 100000, IF(sterfte_deeln="AG", AGoverlevtafel!D77, IF(sterfte_deeln="CBS", CBSoverlevtafel!D77, IF( sterfte_deeln&gt;=1, 1*(sterfte_deeln&gt;=$B77),  IF( sterfte_deeln&lt;1, sterfte_deeln*D76, NA() )) ) ) )</f>
        <v>82737.178871079785</v>
      </c>
      <c r="G77" s="73">
        <f>IF(B77=0, 100000, IF(sterfte_deeln="AG",AGoverlevtafel!G77,IF(sterfte_deeln="CBS",CBSoverlevtafel!G77,IF(sterfte_deeln&gt;=1,1*(sterfte_deeln&gt;=$B77),IF(sterfte_deeln&lt;1,sterfte_deeln*G76,NA())))))</f>
        <v>87584.942237999261</v>
      </c>
      <c r="H77" s="54"/>
      <c r="I77" s="73">
        <f t="shared" si="2"/>
        <v>85161.060554539523</v>
      </c>
      <c r="L77" s="73">
        <f>IF(B77=0, 100000, IF(sterfte_partn="AG",AGoverlevtafel!L77,IF(sterfte_partn="CBS",CBSoverlevtafel!L77,IF(sterfte_partn&gt;=1,1*(sterfte_partn&gt;=$B77),IF(sterfte_partn&lt;1,sterfte_partn*L76,NA())))))</f>
        <v>82927.009815842772</v>
      </c>
      <c r="O77" s="73">
        <f>IF(B77=0, 100000, IF(sterfte_partn="AG",AGoverlevtafel!O77,IF(sterfte_partn="CBS",CBSoverlevtafel!O77,IF(sterfte_partn&gt;=1,1*(sterfte_partn&gt;=$B77),IF(sterfte_partn&lt;1,sterfte_partn*O76,NA())))))</f>
        <v>87584.942237999261</v>
      </c>
      <c r="P77" s="54"/>
      <c r="Q77" s="73">
        <f t="shared" si="3"/>
        <v>85255.976026921009</v>
      </c>
    </row>
    <row r="78" spans="2:17" x14ac:dyDescent="0.25">
      <c r="B78" s="73">
        <v>71</v>
      </c>
      <c r="D78" s="73">
        <f>IF(B78=0, 100000, IF(sterfte_deeln="AG", AGoverlevtafel!D78, IF(sterfte_deeln="CBS", CBSoverlevtafel!D78, IF( sterfte_deeln&gt;=1, 1*(sterfte_deeln&gt;=$B78),  IF( sterfte_deeln&lt;1, sterfte_deeln*D77, NA() )) ) ) )</f>
        <v>81633.517757449445</v>
      </c>
      <c r="G78" s="73">
        <f>IF(B78=0, 100000, IF(sterfte_deeln="AG",AGoverlevtafel!G78,IF(sterfte_deeln="CBS",CBSoverlevtafel!G78,IF(sterfte_deeln&gt;=1,1*(sterfte_deeln&gt;=$B78),IF(sterfte_deeln&lt;1,sterfte_deeln*G77,NA())))))</f>
        <v>86829.393702912712</v>
      </c>
      <c r="H78" s="54"/>
      <c r="I78" s="73">
        <f t="shared" si="2"/>
        <v>84231.455730181071</v>
      </c>
      <c r="L78" s="73">
        <f>IF(B78=0, 100000, IF(sterfte_partn="AG",AGoverlevtafel!L78,IF(sterfte_partn="CBS",CBSoverlevtafel!L78,IF(sterfte_partn&gt;=1,1*(sterfte_partn&gt;=$B78),IF(sterfte_partn&lt;1,sterfte_partn*L77,NA())))))</f>
        <v>81843.253757767336</v>
      </c>
      <c r="O78" s="73">
        <f>IF(B78=0, 100000, IF(sterfte_partn="AG",AGoverlevtafel!O78,IF(sterfte_partn="CBS",CBSoverlevtafel!O78,IF(sterfte_partn&gt;=1,1*(sterfte_partn&gt;=$B78),IF(sterfte_partn&lt;1,sterfte_partn*O77,NA())))))</f>
        <v>86829.393702912712</v>
      </c>
      <c r="P78" s="54"/>
      <c r="Q78" s="73">
        <f t="shared" si="3"/>
        <v>84336.323730340024</v>
      </c>
    </row>
    <row r="79" spans="2:17" x14ac:dyDescent="0.25">
      <c r="B79" s="73">
        <v>72</v>
      </c>
      <c r="D79" s="73">
        <f>IF(B79=0, 100000, IF(sterfte_deeln="AG", AGoverlevtafel!D79, IF(sterfte_deeln="CBS", CBSoverlevtafel!D79, IF( sterfte_deeln&gt;=1, 1*(sterfte_deeln&gt;=$B79),  IF( sterfte_deeln&lt;1, sterfte_deeln*D78, NA() )) ) ) )</f>
        <v>80433.115564738371</v>
      </c>
      <c r="G79" s="73">
        <f>IF(B79=0, 100000, IF(sterfte_deeln="AG",AGoverlevtafel!G79,IF(sterfte_deeln="CBS",CBSoverlevtafel!G79,IF(sterfte_deeln&gt;=1,1*(sterfte_deeln&gt;=$B79),IF(sterfte_deeln&lt;1,sterfte_deeln*G78,NA())))))</f>
        <v>86019.348761038695</v>
      </c>
      <c r="H79" s="54"/>
      <c r="I79" s="73">
        <f t="shared" si="2"/>
        <v>83226.23216288854</v>
      </c>
      <c r="L79" s="73">
        <f>IF(B79=0, 100000, IF(sterfte_partn="AG",AGoverlevtafel!L79,IF(sterfte_partn="CBS",CBSoverlevtafel!L79,IF(sterfte_partn&gt;=1,1*(sterfte_partn&gt;=$B79),IF(sterfte_partn&lt;1,sterfte_partn*L78,NA())))))</f>
        <v>80663.53085488551</v>
      </c>
      <c r="O79" s="73">
        <f>IF(B79=0, 100000, IF(sterfte_partn="AG",AGoverlevtafel!O79,IF(sterfte_partn="CBS",CBSoverlevtafel!O79,IF(sterfte_partn&gt;=1,1*(sterfte_partn&gt;=$B79),IF(sterfte_partn&lt;1,sterfte_partn*O78,NA())))))</f>
        <v>86019.348761038695</v>
      </c>
      <c r="P79" s="54"/>
      <c r="Q79" s="73">
        <f t="shared" si="3"/>
        <v>83341.439807962102</v>
      </c>
    </row>
    <row r="80" spans="2:17" x14ac:dyDescent="0.25">
      <c r="B80" s="73">
        <v>73</v>
      </c>
      <c r="D80" s="73">
        <f>IF(B80=0, 100000, IF(sterfte_deeln="AG", AGoverlevtafel!D80, IF(sterfte_deeln="CBS", CBSoverlevtafel!D80, IF( sterfte_deeln&gt;=1, 1*(sterfte_deeln&gt;=$B80),  IF( sterfte_deeln&lt;1, sterfte_deeln*D79, NA() )) ) ) )</f>
        <v>79142.441497869833</v>
      </c>
      <c r="G80" s="73">
        <f>IF(B80=0, 100000, IF(sterfte_deeln="AG",AGoverlevtafel!G80,IF(sterfte_deeln="CBS",CBSoverlevtafel!G80,IF(sterfte_deeln&gt;=1,1*(sterfte_deeln&gt;=$B80),IF(sterfte_deeln&lt;1,sterfte_deeln*G79,NA())))))</f>
        <v>85161.234533126568</v>
      </c>
      <c r="H80" s="54"/>
      <c r="I80" s="73">
        <f t="shared" si="2"/>
        <v>82151.838015498201</v>
      </c>
      <c r="L80" s="73">
        <f>IF(B80=0, 100000, IF(sterfte_partn="AG",AGoverlevtafel!L80,IF(sterfte_partn="CBS",CBSoverlevtafel!L80,IF(sterfte_partn&gt;=1,1*(sterfte_partn&gt;=$B80),IF(sterfte_partn&lt;1,sterfte_partn*L79,NA())))))</f>
        <v>79394.787350423605</v>
      </c>
      <c r="O80" s="73">
        <f>IF(B80=0, 100000, IF(sterfte_partn="AG",AGoverlevtafel!O80,IF(sterfte_partn="CBS",CBSoverlevtafel!O80,IF(sterfte_partn&gt;=1,1*(sterfte_partn&gt;=$B80),IF(sterfte_partn&lt;1,sterfte_partn*O79,NA())))))</f>
        <v>85161.234533126568</v>
      </c>
      <c r="P80" s="54"/>
      <c r="Q80" s="73">
        <f t="shared" si="3"/>
        <v>82278.010941775079</v>
      </c>
    </row>
    <row r="81" spans="2:17" x14ac:dyDescent="0.25">
      <c r="B81" s="73">
        <v>74</v>
      </c>
      <c r="D81" s="73">
        <f>IF(B81=0, 100000, IF(sterfte_deeln="AG", AGoverlevtafel!D81, IF(sterfte_deeln="CBS", CBSoverlevtafel!D81, IF( sterfte_deeln&gt;=1, 1*(sterfte_deeln&gt;=$B81),  IF( sterfte_deeln&lt;1, sterfte_deeln*D80, NA() )) ) ) )</f>
        <v>77749.257133249877</v>
      </c>
      <c r="G81" s="73">
        <f>IF(B81=0, 100000, IF(sterfte_deeln="AG",AGoverlevtafel!G81,IF(sterfte_deeln="CBS",CBSoverlevtafel!G81,IF(sterfte_deeln&gt;=1,1*(sterfte_deeln&gt;=$B81),IF(sterfte_deeln&lt;1,sterfte_deeln*G80,NA())))))</f>
        <v>84237.957535646317</v>
      </c>
      <c r="H81" s="54"/>
      <c r="I81" s="73">
        <f t="shared" si="2"/>
        <v>80993.607334448097</v>
      </c>
      <c r="L81" s="73">
        <f>IF(B81=0, 100000, IF(sterfte_partn="AG",AGoverlevtafel!L81,IF(sterfte_partn="CBS",CBSoverlevtafel!L81,IF(sterfte_partn&gt;=1,1*(sterfte_partn&gt;=$B81),IF(sterfte_partn&lt;1,sterfte_partn*L80,NA())))))</f>
        <v>78024.459092303267</v>
      </c>
      <c r="O81" s="73">
        <f>IF(B81=0, 100000, IF(sterfte_partn="AG",AGoverlevtafel!O81,IF(sterfte_partn="CBS",CBSoverlevtafel!O81,IF(sterfte_partn&gt;=1,1*(sterfte_partn&gt;=$B81),IF(sterfte_partn&lt;1,sterfte_partn*O80,NA())))))</f>
        <v>84237.957535646317</v>
      </c>
      <c r="P81" s="54"/>
      <c r="Q81" s="73">
        <f t="shared" si="3"/>
        <v>81131.208313974785</v>
      </c>
    </row>
    <row r="82" spans="2:17" x14ac:dyDescent="0.25">
      <c r="B82" s="73">
        <v>75</v>
      </c>
      <c r="D82" s="73">
        <f>IF(B82=0, 100000, IF(sterfte_deeln="AG", AGoverlevtafel!D82, IF(sterfte_deeln="CBS", CBSoverlevtafel!D82, IF( sterfte_deeln&gt;=1, 1*(sterfte_deeln&gt;=$B82),  IF( sterfte_deeln&lt;1, sterfte_deeln*D81, NA() )) ) ) )</f>
        <v>76245.32915025171</v>
      </c>
      <c r="G82" s="73">
        <f>IF(B82=0, 100000, IF(sterfte_deeln="AG",AGoverlevtafel!G82,IF(sterfte_deeln="CBS",CBSoverlevtafel!G82,IF(sterfte_deeln&gt;=1,1*(sterfte_deeln&gt;=$B82),IF(sterfte_deeln&lt;1,sterfte_deeln*G81,NA())))))</f>
        <v>83248.89021820655</v>
      </c>
      <c r="H82" s="54"/>
      <c r="I82" s="73">
        <f t="shared" si="2"/>
        <v>79747.10968422913</v>
      </c>
      <c r="L82" s="73">
        <f>IF(B82=0, 100000, IF(sterfte_partn="AG",AGoverlevtafel!L82,IF(sterfte_partn="CBS",CBSoverlevtafel!L82,IF(sterfte_partn&gt;=1,1*(sterfte_partn&gt;=$B82),IF(sterfte_partn&lt;1,sterfte_partn*L81,NA())))))</f>
        <v>76544.530788665681</v>
      </c>
      <c r="O82" s="73">
        <f>IF(B82=0, 100000, IF(sterfte_partn="AG",AGoverlevtafel!O82,IF(sterfte_partn="CBS",CBSoverlevtafel!O82,IF(sterfte_partn&gt;=1,1*(sterfte_partn&gt;=$B82),IF(sterfte_partn&lt;1,sterfte_partn*O81,NA())))))</f>
        <v>83248.89021820655</v>
      </c>
      <c r="P82" s="54"/>
      <c r="Q82" s="73">
        <f t="shared" si="3"/>
        <v>79896.710503436116</v>
      </c>
    </row>
    <row r="83" spans="2:17" x14ac:dyDescent="0.25">
      <c r="B83" s="73">
        <v>76</v>
      </c>
      <c r="D83" s="73">
        <f>IF(B83=0, 100000, IF(sterfte_deeln="AG", AGoverlevtafel!D83, IF(sterfte_deeln="CBS", CBSoverlevtafel!D83, IF( sterfte_deeln&gt;=1, 1*(sterfte_deeln&gt;=$B83),  IF( sterfte_deeln&lt;1, sterfte_deeln*D82, NA() )) ) ) )</f>
        <v>74620.751615543777</v>
      </c>
      <c r="G83" s="73">
        <f>IF(B83=0, 100000, IF(sterfte_deeln="AG",AGoverlevtafel!G83,IF(sterfte_deeln="CBS",CBSoverlevtafel!G83,IF(sterfte_deeln&gt;=1,1*(sterfte_deeln&gt;=$B83),IF(sterfte_deeln&lt;1,sterfte_deeln*G82,NA())))))</f>
        <v>82174.91316005151</v>
      </c>
      <c r="H83" s="54"/>
      <c r="I83" s="73">
        <f t="shared" si="2"/>
        <v>78397.832387797651</v>
      </c>
      <c r="L83" s="73">
        <f>IF(B83=0, 100000, IF(sterfte_partn="AG",AGoverlevtafel!L83,IF(sterfte_partn="CBS",CBSoverlevtafel!L83,IF(sterfte_partn&gt;=1,1*(sterfte_partn&gt;=$B83),IF(sterfte_partn&lt;1,sterfte_partn*L82,NA())))))</f>
        <v>74944.87597266346</v>
      </c>
      <c r="O83" s="73">
        <f>IF(B83=0, 100000, IF(sterfte_partn="AG",AGoverlevtafel!O83,IF(sterfte_partn="CBS",CBSoverlevtafel!O83,IF(sterfte_partn&gt;=1,1*(sterfte_partn&gt;=$B83),IF(sterfte_partn&lt;1,sterfte_partn*O82,NA())))))</f>
        <v>82174.91316005151</v>
      </c>
      <c r="P83" s="54"/>
      <c r="Q83" s="73">
        <f t="shared" si="3"/>
        <v>78559.894566357485</v>
      </c>
    </row>
    <row r="84" spans="2:17" x14ac:dyDescent="0.25">
      <c r="B84" s="73">
        <v>77</v>
      </c>
      <c r="D84" s="73">
        <f>IF(B84=0, 100000, IF(sterfte_deeln="AG", AGoverlevtafel!D84, IF(sterfte_deeln="CBS", CBSoverlevtafel!D84, IF( sterfte_deeln&gt;=1, 1*(sterfte_deeln&gt;=$B84),  IF( sterfte_deeln&lt;1, sterfte_deeln*D83, NA() )) ) ) )</f>
        <v>72850.566431900414</v>
      </c>
      <c r="G84" s="73">
        <f>IF(B84=0, 100000, IF(sterfte_deeln="AG",AGoverlevtafel!G84,IF(sterfte_deeln="CBS",CBSoverlevtafel!G84,IF(sterfte_deeln&gt;=1,1*(sterfte_deeln&gt;=$B84),IF(sterfte_deeln&lt;1,sterfte_deeln*G83,NA())))))</f>
        <v>81002.961501934376</v>
      </c>
      <c r="H84" s="54"/>
      <c r="I84" s="73">
        <f t="shared" si="2"/>
        <v>76926.763966917395</v>
      </c>
      <c r="L84" s="73">
        <f>IF(B84=0, 100000, IF(sterfte_partn="AG",AGoverlevtafel!L84,IF(sterfte_partn="CBS",CBSoverlevtafel!L84,IF(sterfte_partn&gt;=1,1*(sterfte_partn&gt;=$B84),IF(sterfte_partn&lt;1,sterfte_partn*L83,NA())))))</f>
        <v>73200.069461069463</v>
      </c>
      <c r="O84" s="73">
        <f>IF(B84=0, 100000, IF(sterfte_partn="AG",AGoverlevtafel!O84,IF(sterfte_partn="CBS",CBSoverlevtafel!O84,IF(sterfte_partn&gt;=1,1*(sterfte_partn&gt;=$B84),IF(sterfte_partn&lt;1,sterfte_partn*O83,NA())))))</f>
        <v>81002.961501934376</v>
      </c>
      <c r="P84" s="54"/>
      <c r="Q84" s="73">
        <f t="shared" si="3"/>
        <v>77101.51548150192</v>
      </c>
    </row>
    <row r="85" spans="2:17" x14ac:dyDescent="0.25">
      <c r="B85" s="73">
        <v>78</v>
      </c>
      <c r="D85" s="73">
        <f>IF(B85=0, 100000, IF(sterfte_deeln="AG", AGoverlevtafel!D85, IF(sterfte_deeln="CBS", CBSoverlevtafel!D85, IF( sterfte_deeln&gt;=1, 1*(sterfte_deeln&gt;=$B85),  IF( sterfte_deeln&lt;1, sterfte_deeln*D84, NA() )) ) ) )</f>
        <v>70919.538060397928</v>
      </c>
      <c r="G85" s="73">
        <f>IF(B85=0, 100000, IF(sterfte_deeln="AG",AGoverlevtafel!G85,IF(sterfte_deeln="CBS",CBSoverlevtafel!G85,IF(sterfte_deeln&gt;=1,1*(sterfte_deeln&gt;=$B85),IF(sterfte_deeln&lt;1,sterfte_deeln*G84,NA())))))</f>
        <v>79727.586989012183</v>
      </c>
      <c r="H85" s="54"/>
      <c r="I85" s="73">
        <f t="shared" si="2"/>
        <v>75323.562524705048</v>
      </c>
      <c r="L85" s="73">
        <f>IF(B85=0, 100000, IF(sterfte_partn="AG",AGoverlevtafel!L85,IF(sterfte_partn="CBS",CBSoverlevtafel!L85,IF(sterfte_partn&gt;=1,1*(sterfte_partn&gt;=$B85),IF(sterfte_partn&lt;1,sterfte_partn*L84,NA())))))</f>
        <v>71294.51118380556</v>
      </c>
      <c r="O85" s="73">
        <f>IF(B85=0, 100000, IF(sterfte_partn="AG",AGoverlevtafel!O85,IF(sterfte_partn="CBS",CBSoverlevtafel!O85,IF(sterfte_partn&gt;=1,1*(sterfte_partn&gt;=$B85),IF(sterfte_partn&lt;1,sterfte_partn*O84,NA())))))</f>
        <v>79727.586989012183</v>
      </c>
      <c r="P85" s="54"/>
      <c r="Q85" s="73">
        <f t="shared" si="3"/>
        <v>75511.049086408864</v>
      </c>
    </row>
    <row r="86" spans="2:17" x14ac:dyDescent="0.25">
      <c r="B86" s="73">
        <v>79</v>
      </c>
      <c r="D86" s="73">
        <f>IF(B86=0, 100000, IF(sterfte_deeln="AG", AGoverlevtafel!D86, IF(sterfte_deeln="CBS", CBSoverlevtafel!D86, IF( sterfte_deeln&gt;=1, 1*(sterfte_deeln&gt;=$B86),  IF( sterfte_deeln&lt;1, sterfte_deeln*D85, NA() )) ) ) )</f>
        <v>68799.4141503922</v>
      </c>
      <c r="G86" s="73">
        <f>IF(B86=0, 100000, IF(sterfte_deeln="AG",AGoverlevtafel!G86,IF(sterfte_deeln="CBS",CBSoverlevtafel!G86,IF(sterfte_deeln&gt;=1,1*(sterfte_deeln&gt;=$B86),IF(sterfte_deeln&lt;1,sterfte_deeln*G85,NA())))))</f>
        <v>78315.927830338493</v>
      </c>
      <c r="H86" s="54"/>
      <c r="I86" s="73">
        <f t="shared" si="2"/>
        <v>73557.670990365354</v>
      </c>
      <c r="L86" s="73">
        <f>IF(B86=0, 100000, IF(sterfte_partn="AG",AGoverlevtafel!L86,IF(sterfte_partn="CBS",CBSoverlevtafel!L86,IF(sterfte_partn&gt;=1,1*(sterfte_partn&gt;=$B86),IF(sterfte_partn&lt;1,sterfte_partn*L85,NA())))))</f>
        <v>69199.964383629136</v>
      </c>
      <c r="O86" s="73">
        <f>IF(B86=0, 100000, IF(sterfte_partn="AG",AGoverlevtafel!O86,IF(sterfte_partn="CBS",CBSoverlevtafel!O86,IF(sterfte_partn&gt;=1,1*(sterfte_partn&gt;=$B86),IF(sterfte_partn&lt;1,sterfte_partn*O85,NA())))))</f>
        <v>78315.927830338493</v>
      </c>
      <c r="P86" s="54"/>
      <c r="Q86" s="73">
        <f t="shared" si="3"/>
        <v>73757.946106983814</v>
      </c>
    </row>
    <row r="87" spans="2:17" x14ac:dyDescent="0.25">
      <c r="B87" s="73">
        <v>80</v>
      </c>
      <c r="D87" s="73">
        <f>IF(B87=0, 100000, IF(sterfte_deeln="AG", AGoverlevtafel!D87, IF(sterfte_deeln="CBS", CBSoverlevtafel!D87, IF( sterfte_deeln&gt;=1, 1*(sterfte_deeln&gt;=$B87),  IF( sterfte_deeln&lt;1, sterfte_deeln*D86, NA() )) ) ) )</f>
        <v>66514.107663807517</v>
      </c>
      <c r="G87" s="73">
        <f>IF(B87=0, 100000, IF(sterfte_deeln="AG",AGoverlevtafel!G87,IF(sterfte_deeln="CBS",CBSoverlevtafel!G87,IF(sterfte_deeln&gt;=1,1*(sterfte_deeln&gt;=$B87),IF(sterfte_deeln&lt;1,sterfte_deeln*G86,NA())))))</f>
        <v>76770.769963325729</v>
      </c>
      <c r="H87" s="54"/>
      <c r="I87" s="73">
        <f t="shared" si="2"/>
        <v>71642.438813566623</v>
      </c>
      <c r="L87" s="73">
        <f>IF(B87=0, 100000, IF(sterfte_partn="AG",AGoverlevtafel!L87,IF(sterfte_partn="CBS",CBSoverlevtafel!L87,IF(sterfte_partn&gt;=1,1*(sterfte_partn&gt;=$B87),IF(sterfte_partn&lt;1,sterfte_partn*L86,NA())))))</f>
        <v>66940.343429668254</v>
      </c>
      <c r="O87" s="73">
        <f>IF(B87=0, 100000, IF(sterfte_partn="AG",AGoverlevtafel!O87,IF(sterfte_partn="CBS",CBSoverlevtafel!O87,IF(sterfte_partn&gt;=1,1*(sterfte_partn&gt;=$B87),IF(sterfte_partn&lt;1,sterfte_partn*O86,NA())))))</f>
        <v>76770.769963325729</v>
      </c>
      <c r="P87" s="54"/>
      <c r="Q87" s="73">
        <f t="shared" si="3"/>
        <v>71855.556696496991</v>
      </c>
    </row>
    <row r="88" spans="2:17" x14ac:dyDescent="0.25">
      <c r="B88" s="73">
        <v>81</v>
      </c>
      <c r="D88" s="73">
        <f>IF(B88=0, 100000, IF(sterfte_deeln="AG", AGoverlevtafel!D88, IF(sterfte_deeln="CBS", CBSoverlevtafel!D88, IF( sterfte_deeln&gt;=1, 1*(sterfte_deeln&gt;=$B88),  IF( sterfte_deeln&lt;1, sterfte_deeln*D87, NA() )) ) ) )</f>
        <v>64014.900682646265</v>
      </c>
      <c r="G88" s="73">
        <f>IF(B88=0, 100000, IF(sterfte_deeln="AG",AGoverlevtafel!G88,IF(sterfte_deeln="CBS",CBSoverlevtafel!G88,IF(sterfte_deeln&gt;=1,1*(sterfte_deeln&gt;=$B88),IF(sterfte_deeln&lt;1,sterfte_deeln*G87,NA())))))</f>
        <v>75019.699390987254</v>
      </c>
      <c r="H88" s="54"/>
      <c r="I88" s="73">
        <f t="shared" si="2"/>
        <v>69517.300036816756</v>
      </c>
      <c r="L88" s="73">
        <f>IF(B88=0, 100000, IF(sterfte_partn="AG",AGoverlevtafel!L88,IF(sterfte_partn="CBS",CBSoverlevtafel!L88,IF(sterfte_partn&gt;=1,1*(sterfte_partn&gt;=$B88),IF(sterfte_partn&lt;1,sterfte_partn*L87,NA())))))</f>
        <v>64465.819973636651</v>
      </c>
      <c r="O88" s="73">
        <f>IF(B88=0, 100000, IF(sterfte_partn="AG",AGoverlevtafel!O88,IF(sterfte_partn="CBS",CBSoverlevtafel!O88,IF(sterfte_partn&gt;=1,1*(sterfte_partn&gt;=$B88),IF(sterfte_partn&lt;1,sterfte_partn*O87,NA())))))</f>
        <v>75019.699390987254</v>
      </c>
      <c r="P88" s="54"/>
      <c r="Q88" s="73">
        <f t="shared" si="3"/>
        <v>69742.759682311953</v>
      </c>
    </row>
    <row r="89" spans="2:17" x14ac:dyDescent="0.25">
      <c r="B89" s="73">
        <v>82</v>
      </c>
      <c r="D89" s="73">
        <f>IF(B89=0, 100000, IF(sterfte_deeln="AG", AGoverlevtafel!D89, IF(sterfte_deeln="CBS", CBSoverlevtafel!D89, IF( sterfte_deeln&gt;=1, 1*(sterfte_deeln&gt;=$B89),  IF( sterfte_deeln&lt;1, sterfte_deeln*D88, NA() )) ) ) )</f>
        <v>61256.351659625034</v>
      </c>
      <c r="G89" s="73">
        <f>IF(B89=0, 100000, IF(sterfte_deeln="AG",AGoverlevtafel!G89,IF(sterfte_deeln="CBS",CBSoverlevtafel!G89,IF(sterfte_deeln&gt;=1,1*(sterfte_deeln&gt;=$B89),IF(sterfte_deeln&lt;1,sterfte_deeln*G88,NA())))))</f>
        <v>73060.55395481961</v>
      </c>
      <c r="H89" s="54"/>
      <c r="I89" s="73">
        <f t="shared" si="2"/>
        <v>67158.452807222318</v>
      </c>
      <c r="L89" s="73">
        <f>IF(B89=0, 100000, IF(sterfte_partn="AG",AGoverlevtafel!L89,IF(sterfte_partn="CBS",CBSoverlevtafel!L89,IF(sterfte_partn&gt;=1,1*(sterfte_partn&gt;=$B89),IF(sterfte_partn&lt;1,sterfte_partn*L88,NA())))))</f>
        <v>61729.929375932559</v>
      </c>
      <c r="O89" s="73">
        <f>IF(B89=0, 100000, IF(sterfte_partn="AG",AGoverlevtafel!O89,IF(sterfte_partn="CBS",CBSoverlevtafel!O89,IF(sterfte_partn&gt;=1,1*(sterfte_partn&gt;=$B89),IF(sterfte_partn&lt;1,sterfte_partn*O88,NA())))))</f>
        <v>73060.55395481961</v>
      </c>
      <c r="P89" s="54"/>
      <c r="Q89" s="73">
        <f t="shared" si="3"/>
        <v>67395.241665376088</v>
      </c>
    </row>
    <row r="90" spans="2:17" x14ac:dyDescent="0.25">
      <c r="B90" s="73">
        <v>83</v>
      </c>
      <c r="D90" s="73">
        <f>IF(B90=0, 100000, IF(sterfte_deeln="AG", AGoverlevtafel!D90, IF(sterfte_deeln="CBS", CBSoverlevtafel!D90, IF( sterfte_deeln&gt;=1, 1*(sterfte_deeln&gt;=$B90),  IF( sterfte_deeln&lt;1, sterfte_deeln*D89, NA() )) ) ) )</f>
        <v>58298.078362446184</v>
      </c>
      <c r="G90" s="73">
        <f>IF(B90=0, 100000, IF(sterfte_deeln="AG",AGoverlevtafel!G90,IF(sterfte_deeln="CBS",CBSoverlevtafel!G90,IF(sterfte_deeln&gt;=1,1*(sterfte_deeln&gt;=$B90),IF(sterfte_deeln&lt;1,sterfte_deeln*G89,NA())))))</f>
        <v>70862.099361097004</v>
      </c>
      <c r="H90" s="54"/>
      <c r="I90" s="73">
        <f t="shared" si="2"/>
        <v>64580.088861771597</v>
      </c>
      <c r="L90" s="73">
        <f>IF(B90=0, 100000, IF(sterfte_partn="AG",AGoverlevtafel!L90,IF(sterfte_partn="CBS",CBSoverlevtafel!L90,IF(sterfte_partn&gt;=1,1*(sterfte_partn&gt;=$B90),IF(sterfte_partn&lt;1,sterfte_partn*L89,NA())))))</f>
        <v>58792.010569209982</v>
      </c>
      <c r="O90" s="73">
        <f>IF(B90=0, 100000, IF(sterfte_partn="AG",AGoverlevtafel!O90,IF(sterfte_partn="CBS",CBSoverlevtafel!O90,IF(sterfte_partn&gt;=1,1*(sterfte_partn&gt;=$B90),IF(sterfte_partn&lt;1,sterfte_partn*O89,NA())))))</f>
        <v>70862.099361097004</v>
      </c>
      <c r="P90" s="54"/>
      <c r="Q90" s="73">
        <f t="shared" si="3"/>
        <v>64827.054965153497</v>
      </c>
    </row>
    <row r="91" spans="2:17" x14ac:dyDescent="0.25">
      <c r="B91" s="73">
        <v>84</v>
      </c>
      <c r="D91" s="73">
        <f>IF(B91=0, 100000, IF(sterfte_deeln="AG", AGoverlevtafel!D91, IF(sterfte_deeln="CBS", CBSoverlevtafel!D91, IF( sterfte_deeln&gt;=1, 1*(sterfte_deeln&gt;=$B91),  IF( sterfte_deeln&lt;1, sterfte_deeln*D90, NA() )) ) ) )</f>
        <v>55091.186571689745</v>
      </c>
      <c r="G91" s="73">
        <f>IF(B91=0, 100000, IF(sterfte_deeln="AG",AGoverlevtafel!G91,IF(sterfte_deeln="CBS",CBSoverlevtafel!G91,IF(sterfte_deeln&gt;=1,1*(sterfte_deeln&gt;=$B91),IF(sterfte_deeln&lt;1,sterfte_deeln*G90,NA())))))</f>
        <v>68400.893371525555</v>
      </c>
      <c r="H91" s="54"/>
      <c r="I91" s="73">
        <f t="shared" si="2"/>
        <v>61746.03997160765</v>
      </c>
      <c r="L91" s="73">
        <f>IF(B91=0, 100000, IF(sterfte_partn="AG",AGoverlevtafel!L91,IF(sterfte_partn="CBS",CBSoverlevtafel!L91,IF(sterfte_partn&gt;=1,1*(sterfte_partn&gt;=$B91),IF(sterfte_partn&lt;1,sterfte_partn*L90,NA())))))</f>
        <v>55602.099681089661</v>
      </c>
      <c r="O91" s="73">
        <f>IF(B91=0, 100000, IF(sterfte_partn="AG",AGoverlevtafel!O91,IF(sterfte_partn="CBS",CBSoverlevtafel!O91,IF(sterfte_partn&gt;=1,1*(sterfte_partn&gt;=$B91),IF(sterfte_partn&lt;1,sterfte_partn*O90,NA())))))</f>
        <v>68400.893371525555</v>
      </c>
      <c r="P91" s="54"/>
      <c r="Q91" s="73">
        <f t="shared" si="3"/>
        <v>62001.496526307608</v>
      </c>
    </row>
    <row r="92" spans="2:17" x14ac:dyDescent="0.25">
      <c r="B92" s="73">
        <v>85</v>
      </c>
      <c r="D92" s="73">
        <f>IF(B92=0, 100000, IF(sterfte_deeln="AG", AGoverlevtafel!D92, IF(sterfte_deeln="CBS", CBSoverlevtafel!D92, IF( sterfte_deeln&gt;=1, 1*(sterfte_deeln&gt;=$B92),  IF( sterfte_deeln&lt;1, sterfte_deeln*D91, NA() )) ) ) )</f>
        <v>51664.54690712889</v>
      </c>
      <c r="G92" s="73">
        <f>IF(B92=0, 100000, IF(sterfte_deeln="AG",AGoverlevtafel!G92,IF(sterfte_deeln="CBS",CBSoverlevtafel!G92,IF(sterfte_deeln&gt;=1,1*(sterfte_deeln&gt;=$B92),IF(sterfte_deeln&lt;1,sterfte_deeln*G91,NA())))))</f>
        <v>65677.34863844722</v>
      </c>
      <c r="H92" s="54"/>
      <c r="I92" s="73">
        <f t="shared" si="2"/>
        <v>58670.947772788059</v>
      </c>
      <c r="L92" s="73">
        <f>IF(B92=0, 100000, IF(sterfte_partn="AG",AGoverlevtafel!L92,IF(sterfte_partn="CBS",CBSoverlevtafel!L92,IF(sterfte_partn&gt;=1,1*(sterfte_partn&gt;=$B92),IF(sterfte_partn&lt;1,sterfte_partn*L91,NA())))))</f>
        <v>52188.594270894115</v>
      </c>
      <c r="O92" s="73">
        <f>IF(B92=0, 100000, IF(sterfte_partn="AG",AGoverlevtafel!O92,IF(sterfte_partn="CBS",CBSoverlevtafel!O92,IF(sterfte_partn&gt;=1,1*(sterfte_partn&gt;=$B92),IF(sterfte_partn&lt;1,sterfte_partn*O91,NA())))))</f>
        <v>65677.34863844722</v>
      </c>
      <c r="P92" s="54"/>
      <c r="Q92" s="73">
        <f t="shared" si="3"/>
        <v>58932.971454670667</v>
      </c>
    </row>
    <row r="93" spans="2:17" x14ac:dyDescent="0.25">
      <c r="B93" s="73">
        <v>86</v>
      </c>
      <c r="D93" s="73">
        <f>IF(B93=0, 100000, IF(sterfte_deeln="AG", AGoverlevtafel!D93, IF(sterfte_deeln="CBS", CBSoverlevtafel!D93, IF( sterfte_deeln&gt;=1, 1*(sterfte_deeln&gt;=$B93),  IF( sterfte_deeln&lt;1, sterfte_deeln*D92, NA() )) ) ) )</f>
        <v>48016.677853262961</v>
      </c>
      <c r="G93" s="73">
        <f>IF(B93=0, 100000, IF(sterfte_deeln="AG",AGoverlevtafel!G93,IF(sterfte_deeln="CBS",CBSoverlevtafel!G93,IF(sterfte_deeln&gt;=1,1*(sterfte_deeln&gt;=$B93),IF(sterfte_deeln&lt;1,sterfte_deeln*G92,NA())))))</f>
        <v>62599.430344877663</v>
      </c>
      <c r="H93" s="54"/>
      <c r="I93" s="73">
        <f t="shared" si="2"/>
        <v>55308.054099070316</v>
      </c>
      <c r="L93" s="73">
        <f>IF(B93=0, 100000, IF(sterfte_partn="AG",AGoverlevtafel!L93,IF(sterfte_partn="CBS",CBSoverlevtafel!L93,IF(sterfte_partn&gt;=1,1*(sterfte_partn&gt;=$B93),IF(sterfte_partn&lt;1,sterfte_partn*L92,NA())))))</f>
        <v>48548.798225670405</v>
      </c>
      <c r="O93" s="73">
        <f>IF(B93=0, 100000, IF(sterfte_partn="AG",AGoverlevtafel!O93,IF(sterfte_partn="CBS",CBSoverlevtafel!O93,IF(sterfte_partn&gt;=1,1*(sterfte_partn&gt;=$B93),IF(sterfte_partn&lt;1,sterfte_partn*O92,NA())))))</f>
        <v>62599.430344877663</v>
      </c>
      <c r="P93" s="54"/>
      <c r="Q93" s="73">
        <f t="shared" si="3"/>
        <v>55574.11428527403</v>
      </c>
    </row>
    <row r="94" spans="2:17" x14ac:dyDescent="0.25">
      <c r="B94" s="73">
        <v>87</v>
      </c>
      <c r="D94" s="73">
        <f>IF(B94=0, 100000, IF(sterfte_deeln="AG", AGoverlevtafel!D94, IF(sterfte_deeln="CBS", CBSoverlevtafel!D94, IF( sterfte_deeln&gt;=1, 1*(sterfte_deeln&gt;=$B94),  IF( sterfte_deeln&lt;1, sterfte_deeln*D93, NA() )) ) ) )</f>
        <v>44140.791414223851</v>
      </c>
      <c r="G94" s="73">
        <f>IF(B94=0, 100000, IF(sterfte_deeln="AG",AGoverlevtafel!G94,IF(sterfte_deeln="CBS",CBSoverlevtafel!G94,IF(sterfte_deeln&gt;=1,1*(sterfte_deeln&gt;=$B94),IF(sterfte_deeln&lt;1,sterfte_deeln*G93,NA())))))</f>
        <v>59162.354116468152</v>
      </c>
      <c r="H94" s="54"/>
      <c r="I94" s="73">
        <f t="shared" si="2"/>
        <v>51651.572765346005</v>
      </c>
      <c r="L94" s="73">
        <f>IF(B94=0, 100000, IF(sterfte_partn="AG",AGoverlevtafel!L94,IF(sterfte_partn="CBS",CBSoverlevtafel!L94,IF(sterfte_partn&gt;=1,1*(sterfte_partn&gt;=$B94),IF(sterfte_partn&lt;1,sterfte_partn*L93,NA())))))</f>
        <v>44674.012157200501</v>
      </c>
      <c r="O94" s="73">
        <f>IF(B94=0, 100000, IF(sterfte_partn="AG",AGoverlevtafel!O94,IF(sterfte_partn="CBS",CBSoverlevtafel!O94,IF(sterfte_partn&gt;=1,1*(sterfte_partn&gt;=$B94),IF(sterfte_partn&lt;1,sterfte_partn*O93,NA())))))</f>
        <v>59162.354116468152</v>
      </c>
      <c r="P94" s="54"/>
      <c r="Q94" s="73">
        <f t="shared" si="3"/>
        <v>51918.183136834326</v>
      </c>
    </row>
    <row r="95" spans="2:17" x14ac:dyDescent="0.25">
      <c r="B95" s="73">
        <v>88</v>
      </c>
      <c r="D95" s="73">
        <f>IF(B95=0, 100000, IF(sterfte_deeln="AG", AGoverlevtafel!D95, IF(sterfte_deeln="CBS", CBSoverlevtafel!D95, IF( sterfte_deeln&gt;=1, 1*(sterfte_deeln&gt;=$B95),  IF( sterfte_deeln&lt;1, sterfte_deeln*D94, NA() )) ) ) )</f>
        <v>40089.544815434994</v>
      </c>
      <c r="G95" s="73">
        <f>IF(B95=0, 100000, IF(sterfte_deeln="AG",AGoverlevtafel!G95,IF(sterfte_deeln="CBS",CBSoverlevtafel!G95,IF(sterfte_deeln&gt;=1,1*(sterfte_deeln&gt;=$B95),IF(sterfte_deeln&lt;1,sterfte_deeln*G94,NA())))))</f>
        <v>55339.293768078671</v>
      </c>
      <c r="H95" s="54"/>
      <c r="I95" s="73">
        <f t="shared" si="2"/>
        <v>47714.419291756829</v>
      </c>
      <c r="L95" s="73">
        <f>IF(B95=0, 100000, IF(sterfte_partn="AG",AGoverlevtafel!L95,IF(sterfte_partn="CBS",CBSoverlevtafel!L95,IF(sterfte_partn&gt;=1,1*(sterfte_partn&gt;=$B95),IF(sterfte_partn&lt;1,sterfte_partn*L94,NA())))))</f>
        <v>40616.527967976341</v>
      </c>
      <c r="O95" s="73">
        <f>IF(B95=0, 100000, IF(sterfte_partn="AG",AGoverlevtafel!O95,IF(sterfte_partn="CBS",CBSoverlevtafel!O95,IF(sterfte_partn&gt;=1,1*(sterfte_partn&gt;=$B95),IF(sterfte_partn&lt;1,sterfte_partn*O94,NA())))))</f>
        <v>55339.293768078671</v>
      </c>
      <c r="P95" s="54"/>
      <c r="Q95" s="73">
        <f t="shared" si="3"/>
        <v>47977.910868027509</v>
      </c>
    </row>
    <row r="96" spans="2:17" x14ac:dyDescent="0.25">
      <c r="B96" s="73">
        <v>89</v>
      </c>
      <c r="D96" s="73">
        <f>IF(B96=0, 100000, IF(sterfte_deeln="AG", AGoverlevtafel!D96, IF(sterfte_deeln="CBS", CBSoverlevtafel!D96, IF( sterfte_deeln&gt;=1, 1*(sterfte_deeln&gt;=$B96),  IF( sterfte_deeln&lt;1, sterfte_deeln*D95, NA() )) ) ) )</f>
        <v>35844.644063545784</v>
      </c>
      <c r="G96" s="73">
        <f>IF(B96=0, 100000, IF(sterfte_deeln="AG",AGoverlevtafel!G96,IF(sterfte_deeln="CBS",CBSoverlevtafel!G96,IF(sterfte_deeln&gt;=1,1*(sterfte_deeln&gt;=$B96),IF(sterfte_deeln&lt;1,sterfte_deeln*G95,NA())))))</f>
        <v>51208.012636576364</v>
      </c>
      <c r="H96" s="54"/>
      <c r="I96" s="73">
        <f t="shared" si="2"/>
        <v>43526.328350061071</v>
      </c>
      <c r="L96" s="73">
        <f>IF(B96=0, 100000, IF(sterfte_partn="AG",AGoverlevtafel!L96,IF(sterfte_partn="CBS",CBSoverlevtafel!L96,IF(sterfte_partn&gt;=1,1*(sterfte_partn&gt;=$B96),IF(sterfte_partn&lt;1,sterfte_partn*L95,NA())))))</f>
        <v>36356.199249972276</v>
      </c>
      <c r="O96" s="73">
        <f>IF(B96=0, 100000, IF(sterfte_partn="AG",AGoverlevtafel!O96,IF(sterfte_partn="CBS",CBSoverlevtafel!O96,IF(sterfte_partn&gt;=1,1*(sterfte_partn&gt;=$B96),IF(sterfte_partn&lt;1,sterfte_partn*O95,NA())))))</f>
        <v>51208.012636576364</v>
      </c>
      <c r="P96" s="54"/>
      <c r="Q96" s="73">
        <f t="shared" si="3"/>
        <v>43782.10594327432</v>
      </c>
    </row>
    <row r="97" spans="2:17" x14ac:dyDescent="0.25">
      <c r="B97" s="73">
        <v>90</v>
      </c>
      <c r="D97" s="73">
        <f>IF(B97=0, 100000, IF(sterfte_deeln="AG", AGoverlevtafel!D97, IF(sterfte_deeln="CBS", CBSoverlevtafel!D97, IF( sterfte_deeln&gt;=1, 1*(sterfte_deeln&gt;=$B97),  IF( sterfte_deeln&lt;1, sterfte_deeln*D96, NA() )) ) ) )</f>
        <v>31544.599198886961</v>
      </c>
      <c r="G97" s="73">
        <f>IF(B97=0, 100000, IF(sterfte_deeln="AG",AGoverlevtafel!G97,IF(sterfte_deeln="CBS",CBSoverlevtafel!G97,IF(sterfte_deeln&gt;=1,1*(sterfte_deeln&gt;=$B97),IF(sterfte_deeln&lt;1,sterfte_deeln*G96,NA())))))</f>
        <v>46729.110166232582</v>
      </c>
      <c r="H97" s="54"/>
      <c r="I97" s="73">
        <f t="shared" si="2"/>
        <v>39136.854682559773</v>
      </c>
      <c r="L97" s="73">
        <f>IF(B97=0, 100000, IF(sterfte_partn="AG",AGoverlevtafel!L97,IF(sterfte_partn="CBS",CBSoverlevtafel!L97,IF(sterfte_partn&gt;=1,1*(sterfte_partn&gt;=$B97),IF(sterfte_partn&lt;1,sterfte_partn*L96,NA())))))</f>
        <v>32031.789749103544</v>
      </c>
      <c r="O97" s="73">
        <f>IF(B97=0, 100000, IF(sterfte_partn="AG",AGoverlevtafel!O97,IF(sterfte_partn="CBS",CBSoverlevtafel!O97,IF(sterfte_partn&gt;=1,1*(sterfte_partn&gt;=$B97),IF(sterfte_partn&lt;1,sterfte_partn*O96,NA())))))</f>
        <v>46729.110166232582</v>
      </c>
      <c r="P97" s="54"/>
      <c r="Q97" s="73">
        <f t="shared" si="3"/>
        <v>39380.449957668061</v>
      </c>
    </row>
    <row r="98" spans="2:17" x14ac:dyDescent="0.25">
      <c r="B98" s="73">
        <v>91</v>
      </c>
      <c r="D98" s="73">
        <f>IF(B98=0, 100000, IF(sterfte_deeln="AG", AGoverlevtafel!D98, IF(sterfte_deeln="CBS", CBSoverlevtafel!D98, IF( sterfte_deeln&gt;=1, 1*(sterfte_deeln&gt;=$B98),  IF( sterfte_deeln&lt;1, sterfte_deeln*D97, NA() )) ) ) )</f>
        <v>27263.288810403268</v>
      </c>
      <c r="G98" s="73">
        <f>IF(B98=0, 100000, IF(sterfte_deeln="AG",AGoverlevtafel!G98,IF(sterfte_deeln="CBS",CBSoverlevtafel!G98,IF(sterfte_deeln&gt;=1,1*(sterfte_deeln&gt;=$B98),IF(sterfte_deeln&lt;1,sterfte_deeln*G97,NA())))))</f>
        <v>41907.735397436445</v>
      </c>
      <c r="H98" s="54"/>
      <c r="I98" s="73">
        <f t="shared" si="2"/>
        <v>34585.512103919857</v>
      </c>
      <c r="L98" s="73">
        <f>IF(B98=0, 100000, IF(sterfte_partn="AG",AGoverlevtafel!L98,IF(sterfte_partn="CBS",CBSoverlevtafel!L98,IF(sterfte_partn&gt;=1,1*(sterfte_partn&gt;=$B98),IF(sterfte_partn&lt;1,sterfte_partn*L97,NA())))))</f>
        <v>27718.226530705695</v>
      </c>
      <c r="O98" s="73">
        <f>IF(B98=0, 100000, IF(sterfte_partn="AG",AGoverlevtafel!O98,IF(sterfte_partn="CBS",CBSoverlevtafel!O98,IF(sterfte_partn&gt;=1,1*(sterfte_partn&gt;=$B98),IF(sterfte_partn&lt;1,sterfte_partn*O97,NA())))))</f>
        <v>41907.735397436445</v>
      </c>
      <c r="P98" s="54"/>
      <c r="Q98" s="73">
        <f t="shared" si="3"/>
        <v>34812.980964071074</v>
      </c>
    </row>
    <row r="99" spans="2:17" x14ac:dyDescent="0.25">
      <c r="B99" s="73">
        <v>92</v>
      </c>
      <c r="D99" s="73">
        <f>IF(B99=0, 100000, IF(sterfte_deeln="AG", AGoverlevtafel!D99, IF(sterfte_deeln="CBS", CBSoverlevtafel!D99, IF( sterfte_deeln&gt;=1, 1*(sterfte_deeln&gt;=$B99),  IF( sterfte_deeln&lt;1, sterfte_deeln*D98, NA() )) ) ) )</f>
        <v>23122.264216984087</v>
      </c>
      <c r="G99" s="73">
        <f>IF(B99=0, 100000, IF(sterfte_deeln="AG",AGoverlevtafel!G99,IF(sterfte_deeln="CBS",CBSoverlevtafel!G99,IF(sterfte_deeln&gt;=1,1*(sterfte_deeln&gt;=$B99),IF(sterfte_deeln&lt;1,sterfte_deeln*G98,NA())))))</f>
        <v>37027.238699359063</v>
      </c>
      <c r="H99" s="54"/>
      <c r="I99" s="73">
        <f t="shared" si="2"/>
        <v>30074.751458171573</v>
      </c>
      <c r="L99" s="73">
        <f>IF(B99=0, 100000, IF(sterfte_partn="AG",AGoverlevtafel!L99,IF(sterfte_partn="CBS",CBSoverlevtafel!L99,IF(sterfte_partn&gt;=1,1*(sterfte_partn&gt;=$B99),IF(sterfte_partn&lt;1,sterfte_partn*L98,NA())))))</f>
        <v>23537.281521633369</v>
      </c>
      <c r="O99" s="73">
        <f>IF(B99=0, 100000, IF(sterfte_partn="AG",AGoverlevtafel!O99,IF(sterfte_partn="CBS",CBSoverlevtafel!O99,IF(sterfte_partn&gt;=1,1*(sterfte_partn&gt;=$B99),IF(sterfte_partn&lt;1,sterfte_partn*O98,NA())))))</f>
        <v>37027.238699359063</v>
      </c>
      <c r="P99" s="54"/>
      <c r="Q99" s="73">
        <f t="shared" si="3"/>
        <v>30282.260110496216</v>
      </c>
    </row>
    <row r="100" spans="2:17" x14ac:dyDescent="0.25">
      <c r="B100" s="73">
        <v>93</v>
      </c>
      <c r="D100" s="73">
        <f>IF(B100=0, 100000, IF(sterfte_deeln="AG", AGoverlevtafel!D100, IF(sterfte_deeln="CBS", CBSoverlevtafel!D100, IF( sterfte_deeln&gt;=1, 1*(sterfte_deeln&gt;=$B100),  IF( sterfte_deeln&lt;1, sterfte_deeln*D99, NA() )) ) ) )</f>
        <v>19173.699046573103</v>
      </c>
      <c r="G100" s="73">
        <f>IF(B100=0, 100000, IF(sterfte_deeln="AG",AGoverlevtafel!G100,IF(sterfte_deeln="CBS",CBSoverlevtafel!G100,IF(sterfte_deeln&gt;=1,1*(sterfte_deeln&gt;=$B100),IF(sterfte_deeln&lt;1,sterfte_deeln*G99,NA())))))</f>
        <v>32060.798621964303</v>
      </c>
      <c r="H100" s="54"/>
      <c r="I100" s="73">
        <f t="shared" si="2"/>
        <v>25617.248834268703</v>
      </c>
      <c r="L100" s="73">
        <f>IF(B100=0, 100000, IF(sterfte_partn="AG",AGoverlevtafel!L100,IF(sterfte_partn="CBS",CBSoverlevtafel!L100,IF(sterfte_partn&gt;=1,1*(sterfte_partn&gt;=$B100),IF(sterfte_partn&lt;1,sterfte_partn*L99,NA())))))</f>
        <v>19542.385809846983</v>
      </c>
      <c r="O100" s="73">
        <f>IF(B100=0, 100000, IF(sterfte_partn="AG",AGoverlevtafel!O100,IF(sterfte_partn="CBS",CBSoverlevtafel!O100,IF(sterfte_partn&gt;=1,1*(sterfte_partn&gt;=$B100),IF(sterfte_partn&lt;1,sterfte_partn*O99,NA())))))</f>
        <v>32060.798621964303</v>
      </c>
      <c r="P100" s="54"/>
      <c r="Q100" s="73">
        <f t="shared" si="3"/>
        <v>25801.592215905643</v>
      </c>
    </row>
    <row r="101" spans="2:17" x14ac:dyDescent="0.25">
      <c r="B101" s="73">
        <v>94</v>
      </c>
      <c r="D101" s="73">
        <f>IF(B101=0, 100000, IF(sterfte_deeln="AG", AGoverlevtafel!D101, IF(sterfte_deeln="CBS", CBSoverlevtafel!D101, IF( sterfte_deeln&gt;=1, 1*(sterfte_deeln&gt;=$B101),  IF( sterfte_deeln&lt;1, sterfte_deeln*D100, NA() )) ) ) )</f>
        <v>15505.847938228913</v>
      </c>
      <c r="G101" s="73">
        <f>IF(B101=0, 100000, IF(sterfte_deeln="AG",AGoverlevtafel!G101,IF(sterfte_deeln="CBS",CBSoverlevtafel!G101,IF(sterfte_deeln&gt;=1,1*(sterfte_deeln&gt;=$B101),IF(sterfte_deeln&lt;1,sterfte_deeln*G100,NA())))))</f>
        <v>27126.785253445509</v>
      </c>
      <c r="H101" s="54"/>
      <c r="I101" s="73">
        <f t="shared" si="2"/>
        <v>21316.316595837212</v>
      </c>
      <c r="L101" s="73">
        <f>IF(B101=0, 100000, IF(sterfte_partn="AG",AGoverlevtafel!L101,IF(sterfte_partn="CBS",CBSoverlevtafel!L101,IF(sterfte_partn&gt;=1,1*(sterfte_partn&gt;=$B101),IF(sterfte_partn&lt;1,sterfte_partn*L100,NA())))))</f>
        <v>15823.828222993956</v>
      </c>
      <c r="O101" s="73">
        <f>IF(B101=0, 100000, IF(sterfte_partn="AG",AGoverlevtafel!O101,IF(sterfte_partn="CBS",CBSoverlevtafel!O101,IF(sterfte_partn&gt;=1,1*(sterfte_partn&gt;=$B101),IF(sterfte_partn&lt;1,sterfte_partn*O100,NA())))))</f>
        <v>27126.785253445509</v>
      </c>
      <c r="P101" s="54"/>
      <c r="Q101" s="73">
        <f t="shared" si="3"/>
        <v>21475.306738219733</v>
      </c>
    </row>
    <row r="102" spans="2:17" x14ac:dyDescent="0.25">
      <c r="B102" s="73">
        <v>95</v>
      </c>
      <c r="D102" s="73">
        <f>IF(B102=0, 100000, IF(sterfte_deeln="AG", AGoverlevtafel!D102, IF(sterfte_deeln="CBS", CBSoverlevtafel!D102, IF( sterfte_deeln&gt;=1, 1*(sterfte_deeln&gt;=$B102),  IF( sterfte_deeln&lt;1, sterfte_deeln*D101, NA() )) ) ) )</f>
        <v>12196.881322271116</v>
      </c>
      <c r="G102" s="73">
        <f>IF(B102=0, 100000, IF(sterfte_deeln="AG",AGoverlevtafel!G102,IF(sterfte_deeln="CBS",CBSoverlevtafel!G102,IF(sterfte_deeln&gt;=1,1*(sterfte_deeln&gt;=$B102),IF(sterfte_deeln&lt;1,sterfte_deeln*G101,NA())))))</f>
        <v>22358.375185511475</v>
      </c>
      <c r="H102" s="54"/>
      <c r="I102" s="73">
        <f t="shared" si="2"/>
        <v>17277.628253891296</v>
      </c>
      <c r="L102" s="73">
        <f>IF(B102=0, 100000, IF(sterfte_partn="AG",AGoverlevtafel!L102,IF(sterfte_partn="CBS",CBSoverlevtafel!L102,IF(sterfte_partn&gt;=1,1*(sterfte_partn&gt;=$B102),IF(sterfte_partn&lt;1,sterfte_partn*L101,NA())))))</f>
        <v>12462.293252288875</v>
      </c>
      <c r="O102" s="73">
        <f>IF(B102=0, 100000, IF(sterfte_partn="AG",AGoverlevtafel!O102,IF(sterfte_partn="CBS",CBSoverlevtafel!O102,IF(sterfte_partn&gt;=1,1*(sterfte_partn&gt;=$B102),IF(sterfte_partn&lt;1,sterfte_partn*O101,NA())))))</f>
        <v>22358.375185511475</v>
      </c>
      <c r="P102" s="54"/>
      <c r="Q102" s="73">
        <f t="shared" si="3"/>
        <v>17410.334218900174</v>
      </c>
    </row>
    <row r="103" spans="2:17" x14ac:dyDescent="0.25">
      <c r="B103" s="73">
        <v>96</v>
      </c>
      <c r="D103" s="73">
        <f>IF(B103=0, 100000, IF(sterfte_deeln="AG", AGoverlevtafel!D103, IF(sterfte_deeln="CBS", CBSoverlevtafel!D103, IF( sterfte_deeln&gt;=1, 1*(sterfte_deeln&gt;=$B103),  IF( sterfte_deeln&lt;1, sterfte_deeln*D102, NA() )) ) ) )</f>
        <v>9306.7927290038788</v>
      </c>
      <c r="G103" s="73">
        <f>IF(B103=0, 100000, IF(sterfte_deeln="AG",AGoverlevtafel!G103,IF(sterfte_deeln="CBS",CBSoverlevtafel!G103,IF(sterfte_deeln&gt;=1,1*(sterfte_deeln&gt;=$B103),IF(sterfte_deeln&lt;1,sterfte_deeln*G102,NA())))))</f>
        <v>17892.545993779397</v>
      </c>
      <c r="H103" s="54"/>
      <c r="I103" s="73">
        <f t="shared" si="2"/>
        <v>13599.669361391638</v>
      </c>
      <c r="L103" s="73">
        <f>IF(B103=0, 100000, IF(sterfte_partn="AG",AGoverlevtafel!L103,IF(sterfte_partn="CBS",CBSoverlevtafel!L103,IF(sterfte_partn&gt;=1,1*(sterfte_partn&gt;=$B103),IF(sterfte_partn&lt;1,sterfte_partn*L102,NA())))))</f>
        <v>9520.5044115476903</v>
      </c>
      <c r="O103" s="73">
        <f>IF(B103=0, 100000, IF(sterfte_partn="AG",AGoverlevtafel!O103,IF(sterfte_partn="CBS",CBSoverlevtafel!O103,IF(sterfte_partn&gt;=1,1*(sterfte_partn&gt;=$B103),IF(sterfte_partn&lt;1,sterfte_partn*O102,NA())))))</f>
        <v>17892.545993779397</v>
      </c>
      <c r="P103" s="54"/>
      <c r="Q103" s="73">
        <f t="shared" si="3"/>
        <v>13706.525202663543</v>
      </c>
    </row>
    <row r="104" spans="2:17" x14ac:dyDescent="0.25">
      <c r="B104" s="73">
        <v>97</v>
      </c>
      <c r="D104" s="73">
        <f>IF(B104=0, 100000, IF(sterfte_deeln="AG", AGoverlevtafel!D104, IF(sterfte_deeln="CBS", CBSoverlevtafel!D104, IF( sterfte_deeln&gt;=1, 1*(sterfte_deeln&gt;=$B104),  IF( sterfte_deeln&lt;1, sterfte_deeln*D103, NA() )) ) ) )</f>
        <v>6870.7015603767359</v>
      </c>
      <c r="G104" s="73">
        <f>IF(B104=0, 100000, IF(sterfte_deeln="AG",AGoverlevtafel!G104,IF(sterfte_deeln="CBS",CBSoverlevtafel!G104,IF(sterfte_deeln&gt;=1,1*(sterfte_deeln&gt;=$B104),IF(sterfte_deeln&lt;1,sterfte_deeln*G103,NA())))))</f>
        <v>13855.632845970054</v>
      </c>
      <c r="H104" s="54"/>
      <c r="I104" s="73">
        <f t="shared" si="2"/>
        <v>10363.167203173394</v>
      </c>
      <c r="L104" s="73">
        <f>IF(B104=0, 100000, IF(sterfte_partn="AG",AGoverlevtafel!L104,IF(sterfte_partn="CBS",CBSoverlevtafel!L104,IF(sterfte_partn&gt;=1,1*(sterfte_partn&gt;=$B104),IF(sterfte_partn&lt;1,sterfte_partn*L103,NA())))))</f>
        <v>7036.1861863795184</v>
      </c>
      <c r="O104" s="73">
        <f>IF(B104=0, 100000, IF(sterfte_partn="AG",AGoverlevtafel!O104,IF(sterfte_partn="CBS",CBSoverlevtafel!O104,IF(sterfte_partn&gt;=1,1*(sterfte_partn&gt;=$B104),IF(sterfte_partn&lt;1,sterfte_partn*O103,NA())))))</f>
        <v>13855.632845970054</v>
      </c>
      <c r="P104" s="54"/>
      <c r="Q104" s="73">
        <f t="shared" si="3"/>
        <v>10445.909516174786</v>
      </c>
    </row>
    <row r="105" spans="2:17" x14ac:dyDescent="0.25">
      <c r="B105" s="73">
        <v>98</v>
      </c>
      <c r="D105" s="73">
        <f>IF(B105=0, 100000, IF(sterfte_deeln="AG", AGoverlevtafel!D105, IF(sterfte_deeln="CBS", CBSoverlevtafel!D105, IF( sterfte_deeln&gt;=1, 1*(sterfte_deeln&gt;=$B105),  IF( sterfte_deeln&lt;1, sterfte_deeln*D104, NA() )) ) ) )</f>
        <v>4895.0877406467771</v>
      </c>
      <c r="G105" s="73">
        <f>IF(B105=0, 100000, IF(sterfte_deeln="AG",AGoverlevtafel!G105,IF(sterfte_deeln="CBS",CBSoverlevtafel!G105,IF(sterfte_deeln&gt;=1,1*(sterfte_deeln&gt;=$B105),IF(sterfte_deeln&lt;1,sterfte_deeln*G104,NA())))))</f>
        <v>10347.682925934479</v>
      </c>
      <c r="H105" s="54"/>
      <c r="I105" s="73">
        <f t="shared" si="2"/>
        <v>7621.3853332906283</v>
      </c>
      <c r="L105" s="73">
        <f>IF(B105=0, 100000, IF(sterfte_partn="AG",AGoverlevtafel!L105,IF(sterfte_partn="CBS",CBSoverlevtafel!L105,IF(sterfte_partn&gt;=1,1*(sterfte_partn&gt;=$B105),IF(sterfte_partn&lt;1,sterfte_partn*L104,NA())))))</f>
        <v>5017.9489748544538</v>
      </c>
      <c r="O105" s="73">
        <f>IF(B105=0, 100000, IF(sterfte_partn="AG",AGoverlevtafel!O105,IF(sterfte_partn="CBS",CBSoverlevtafel!O105,IF(sterfte_partn&gt;=1,1*(sterfte_partn&gt;=$B105),IF(sterfte_partn&lt;1,sterfte_partn*O104,NA())))))</f>
        <v>10347.682925934479</v>
      </c>
      <c r="P105" s="54"/>
      <c r="Q105" s="73">
        <f t="shared" si="3"/>
        <v>7682.8159503944662</v>
      </c>
    </row>
    <row r="106" spans="2:17" s="18" customFormat="1" x14ac:dyDescent="0.25">
      <c r="B106" s="18">
        <v>99</v>
      </c>
      <c r="D106" s="73">
        <f>IF(B106=0, 100000, IF(sterfte_deeln="AG", AGoverlevtafel!D106, IF(sterfte_deeln="CBS", CBSoverlevtafel!D106, IF( sterfte_deeln&gt;=1, 1*(sterfte_deeln&gt;=$B106),  IF( sterfte_deeln&lt;1, sterfte_deeln*D105, NA() )) ) ) )</f>
        <v>3358.0517181900636</v>
      </c>
      <c r="E106" s="73"/>
      <c r="F106" s="73"/>
      <c r="G106" s="73">
        <f>IF(B106=0, 100000, IF(sterfte_deeln="AG",AGoverlevtafel!G106,IF(sterfte_deeln="CBS",CBSoverlevtafel!G106,IF(sterfte_deeln&gt;=1,1*(sterfte_deeln&gt;=$B106),IF(sterfte_deeln&lt;1,sterfte_deeln*G105,NA())))))</f>
        <v>7428.9895175089396</v>
      </c>
      <c r="H106" s="67"/>
      <c r="I106" s="18">
        <f t="shared" si="2"/>
        <v>5393.5206178495018</v>
      </c>
      <c r="L106" s="73">
        <f>IF(B106=0, 100000, IF(sterfte_partn="AG",AGoverlevtafel!L106,IF(sterfte_partn="CBS",CBSoverlevtafel!L106,IF(sterfte_partn&gt;=1,1*(sterfte_partn&gt;=$B106),IF(sterfte_partn&lt;1,sterfte_partn*L105,NA())))))</f>
        <v>3445.2750433559072</v>
      </c>
      <c r="M106" s="73"/>
      <c r="N106" s="73"/>
      <c r="O106" s="73">
        <f>IF(B106=0, 100000, IF(sterfte_partn="AG",AGoverlevtafel!O106,IF(sterfte_partn="CBS",CBSoverlevtafel!O106,IF(sterfte_partn&gt;=1,1*(sterfte_partn&gt;=$B106),IF(sterfte_partn&lt;1,sterfte_partn*O105,NA())))))</f>
        <v>7428.9895175089396</v>
      </c>
      <c r="P106" s="67"/>
      <c r="Q106" s="18">
        <f t="shared" si="3"/>
        <v>5437.1322804324236</v>
      </c>
    </row>
    <row r="107" spans="2:17" s="18" customFormat="1" x14ac:dyDescent="0.25">
      <c r="B107" s="18">
        <v>100</v>
      </c>
      <c r="D107" s="73">
        <f>IF(B107=0, 100000, IF(sterfte_deeln="AG", AGoverlevtafel!D107, IF(sterfte_deeln="CBS", CBSoverlevtafel!D107, IF( sterfte_deeln&gt;=1, 1*(sterfte_deeln&gt;=$B107),  IF( sterfte_deeln&lt;1, sterfte_deeln*D106, NA() )) ) ) )</f>
        <v>2213.7947426074679</v>
      </c>
      <c r="E107" s="73"/>
      <c r="F107" s="73"/>
      <c r="G107" s="73">
        <f>IF(B107=0, 100000, IF(sterfte_deeln="AG",AGoverlevtafel!G107,IF(sterfte_deeln="CBS",CBSoverlevtafel!G107,IF(sterfte_deeln&gt;=1,1*(sterfte_deeln&gt;=$B107),IF(sterfte_deeln&lt;1,sterfte_deeln*G106,NA())))))</f>
        <v>5112.4479353275774</v>
      </c>
      <c r="H107" s="67"/>
      <c r="I107" s="18">
        <f t="shared" si="2"/>
        <v>3663.1213389675227</v>
      </c>
      <c r="L107" s="73">
        <f>IF(B107=0, 100000, IF(sterfte_partn="AG",AGoverlevtafel!L107,IF(sterfte_partn="CBS",CBSoverlevtafel!L107,IF(sterfte_partn&gt;=1,1*(sterfte_partn&gt;=$B107),IF(sterfte_partn&lt;1,sterfte_partn*L106,NA())))))</f>
        <v>2272.8728916158434</v>
      </c>
      <c r="M107" s="73"/>
      <c r="N107" s="73"/>
      <c r="O107" s="73">
        <f>IF(B107=0, 100000, IF(sterfte_partn="AG",AGoverlevtafel!O107,IF(sterfte_partn="CBS",CBSoverlevtafel!O107,IF(sterfte_partn&gt;=1,1*(sterfte_partn&gt;=$B107),IF(sterfte_partn&lt;1,sterfte_partn*O106,NA())))))</f>
        <v>5112.4479353275774</v>
      </c>
      <c r="P107" s="67"/>
      <c r="Q107" s="18">
        <f t="shared" si="3"/>
        <v>3692.6604134717104</v>
      </c>
    </row>
    <row r="108" spans="2:17" x14ac:dyDescent="0.25">
      <c r="B108" s="73">
        <v>101</v>
      </c>
      <c r="D108" s="73">
        <f>IF(B108=0, 100000, IF(sterfte_deeln="AG", AGoverlevtafel!D108, IF(sterfte_deeln="CBS", CBSoverlevtafel!D108, IF( sterfte_deeln&gt;=1, 1*(sterfte_deeln&gt;=$B108),  IF( sterfte_deeln&lt;1, sterfte_deeln*D107, NA() )) ) ) )</f>
        <v>1400.4141003853165</v>
      </c>
      <c r="G108" s="73">
        <f>IF(B108=0, 100000, IF(sterfte_deeln="AG",AGoverlevtafel!G108,IF(sterfte_deeln="CBS",CBSoverlevtafel!G108,IF(sterfte_deeln&gt;=1,1*(sterfte_deeln&gt;=$B108),IF(sterfte_deeln&lt;1,sterfte_deeln*G107,NA())))))</f>
        <v>3364.2652180390533</v>
      </c>
      <c r="H108" s="67"/>
      <c r="I108" s="73">
        <f t="shared" si="2"/>
        <v>2382.3396592121849</v>
      </c>
      <c r="L108" s="73">
        <f>IF(B108=0, 100000, IF(sterfte_partn="AG",AGoverlevtafel!L108,IF(sterfte_partn="CBS",CBSoverlevtafel!L108,IF(sterfte_partn&gt;=1,1*(sterfte_partn&gt;=$B108),IF(sterfte_partn&lt;1,sterfte_partn*L107,NA())))))</f>
        <v>1438.5252150934145</v>
      </c>
      <c r="O108" s="73">
        <f>IF(B108=0, 100000, IF(sterfte_partn="AG",AGoverlevtafel!O108,IF(sterfte_partn="CBS",CBSoverlevtafel!O108,IF(sterfte_partn&gt;=1,1*(sterfte_partn&gt;=$B108),IF(sterfte_partn&lt;1,sterfte_partn*O107,NA())))))</f>
        <v>3364.2652180390533</v>
      </c>
      <c r="P108" s="67"/>
      <c r="Q108" s="73">
        <f t="shared" si="3"/>
        <v>2401.395216566234</v>
      </c>
    </row>
    <row r="109" spans="2:17" x14ac:dyDescent="0.25">
      <c r="B109" s="73">
        <v>102</v>
      </c>
      <c r="D109" s="73">
        <f>IF(B109=0, 100000, IF(sterfte_deeln="AG", AGoverlevtafel!D109, IF(sterfte_deeln="CBS", CBSoverlevtafel!D109, IF( sterfte_deeln&gt;=1, 1*(sterfte_deeln&gt;=$B109),  IF( sterfte_deeln&lt;1, sterfte_deeln*D108, NA() )) ) ) )</f>
        <v>849.21860170880313</v>
      </c>
      <c r="G109" s="73">
        <f>IF(B109=0, 100000, IF(sterfte_deeln="AG",AGoverlevtafel!G109,IF(sterfte_deeln="CBS",CBSoverlevtafel!G109,IF(sterfte_deeln&gt;=1,1*(sterfte_deeln&gt;=$B109),IF(sterfte_deeln&lt;1,sterfte_deeln*G108,NA())))))</f>
        <v>2113.1905369931847</v>
      </c>
      <c r="H109" s="67"/>
      <c r="I109" s="73">
        <f t="shared" si="2"/>
        <v>1481.204569350994</v>
      </c>
      <c r="L109" s="73">
        <f>IF(B109=0, 100000, IF(sterfte_partn="AG",AGoverlevtafel!L109,IF(sterfte_partn="CBS",CBSoverlevtafel!L109,IF(sterfte_partn&gt;=1,1*(sterfte_partn&gt;=$B109),IF(sterfte_partn&lt;1,sterfte_partn*L108,NA())))))</f>
        <v>872.60950235808866</v>
      </c>
      <c r="O109" s="73">
        <f>IF(B109=0, 100000, IF(sterfte_partn="AG",AGoverlevtafel!O109,IF(sterfte_partn="CBS",CBSoverlevtafel!O109,IF(sterfte_partn&gt;=1,1*(sterfte_partn&gt;=$B109),IF(sterfte_partn&lt;1,sterfte_partn*O108,NA())))))</f>
        <v>2113.1905369931847</v>
      </c>
      <c r="P109" s="67"/>
      <c r="Q109" s="73">
        <f t="shared" si="3"/>
        <v>1492.9000196756367</v>
      </c>
    </row>
    <row r="110" spans="2:17" x14ac:dyDescent="0.25">
      <c r="B110" s="73">
        <v>103</v>
      </c>
      <c r="D110" s="73">
        <f>IF(B110=0, 100000, IF(sterfte_deeln="AG", AGoverlevtafel!D110, IF(sterfte_deeln="CBS", CBSoverlevtafel!D110, IF( sterfte_deeln&gt;=1, 1*(sterfte_deeln&gt;=$B110),  IF( sterfte_deeln&lt;1, sterfte_deeln*D109, NA() )) ) ) )</f>
        <v>493.46671489234268</v>
      </c>
      <c r="G110" s="73">
        <f>IF(B110=0, 100000, IF(sterfte_deeln="AG",AGoverlevtafel!G110,IF(sterfte_deeln="CBS",CBSoverlevtafel!G110,IF(sterfte_deeln&gt;=1,1*(sterfte_deeln&gt;=$B110),IF(sterfte_deeln&lt;1,sterfte_deeln*G109,NA())))))</f>
        <v>1265.7003578285894</v>
      </c>
      <c r="H110" s="67"/>
      <c r="I110" s="73">
        <f t="shared" si="2"/>
        <v>879.58353636046604</v>
      </c>
      <c r="L110" s="73">
        <f>IF(B110=0, 100000, IF(sterfte_partn="AG",AGoverlevtafel!L110,IF(sterfte_partn="CBS",CBSoverlevtafel!L110,IF(sterfte_partn&gt;=1,1*(sterfte_partn&gt;=$B110),IF(sterfte_partn&lt;1,sterfte_partn*L109,NA())))))</f>
        <v>507.12116408415454</v>
      </c>
      <c r="O110" s="73">
        <f>IF(B110=0, 100000, IF(sterfte_partn="AG",AGoverlevtafel!O110,IF(sterfte_partn="CBS",CBSoverlevtafel!O110,IF(sterfte_partn&gt;=1,1*(sterfte_partn&gt;=$B110),IF(sterfte_partn&lt;1,sterfte_partn*O109,NA())))))</f>
        <v>1265.7003578285894</v>
      </c>
      <c r="P110" s="67"/>
      <c r="Q110" s="73">
        <f t="shared" si="3"/>
        <v>886.41076095637197</v>
      </c>
    </row>
    <row r="111" spans="2:17" x14ac:dyDescent="0.25">
      <c r="B111" s="73">
        <v>104</v>
      </c>
      <c r="D111" s="73">
        <f>IF(B111=0, 100000, IF(sterfte_deeln="AG", AGoverlevtafel!D111, IF(sterfte_deeln="CBS", CBSoverlevtafel!D111, IF( sterfte_deeln&gt;=1, 1*(sterfte_deeln&gt;=$B111),  IF( sterfte_deeln&lt;1, sterfte_deeln*D110, NA() )) ) ) )</f>
        <v>274.83634370665584</v>
      </c>
      <c r="G111" s="73">
        <f>IF(B111=0, 100000, IF(sterfte_deeln="AG",AGoverlevtafel!G111,IF(sterfte_deeln="CBS",CBSoverlevtafel!G111,IF(sterfte_deeln&gt;=1,1*(sterfte_deeln&gt;=$B111),IF(sterfte_deeln&lt;1,sterfte_deeln*G110,NA())))))</f>
        <v>722.75709074590111</v>
      </c>
      <c r="H111" s="67"/>
      <c r="I111" s="73">
        <f t="shared" si="2"/>
        <v>498.79671722627847</v>
      </c>
      <c r="L111" s="73">
        <f>IF(B111=0, 100000, IF(sterfte_partn="AG",AGoverlevtafel!L111,IF(sterfte_partn="CBS",CBSoverlevtafel!L111,IF(sterfte_partn&gt;=1,1*(sterfte_partn&gt;=$B111),IF(sterfte_partn&lt;1,sterfte_partn*L110,NA())))))</f>
        <v>282.42098441282076</v>
      </c>
      <c r="O111" s="73">
        <f>IF(B111=0, 100000, IF(sterfte_partn="AG",AGoverlevtafel!O111,IF(sterfte_partn="CBS",CBSoverlevtafel!O111,IF(sterfte_partn&gt;=1,1*(sterfte_partn&gt;=$B111),IF(sterfte_partn&lt;1,sterfte_partn*O110,NA())))))</f>
        <v>722.75709074590111</v>
      </c>
      <c r="P111" s="67"/>
      <c r="Q111" s="73">
        <f t="shared" si="3"/>
        <v>502.58903757936093</v>
      </c>
    </row>
    <row r="112" spans="2:17" x14ac:dyDescent="0.25">
      <c r="B112" s="73">
        <v>105</v>
      </c>
      <c r="D112" s="73">
        <f>IF(B112=0, 100000, IF(sterfte_deeln="AG", AGoverlevtafel!D112, IF(sterfte_deeln="CBS", CBSoverlevtafel!D112, IF( sterfte_deeln&gt;=1, 1*(sterfte_deeln&gt;=$B112),  IF( sterfte_deeln&lt;1, sterfte_deeln*D111, NA() )) ) ) )</f>
        <v>146.83885692527227</v>
      </c>
      <c r="G112" s="73">
        <f>IF(B112=0, 100000, IF(sterfte_deeln="AG",AGoverlevtafel!G112,IF(sterfte_deeln="CBS",CBSoverlevtafel!G112,IF(sterfte_deeln&gt;=1,1*(sterfte_deeln&gt;=$B112),IF(sterfte_deeln&lt;1,sterfte_deeln*G111,NA())))))</f>
        <v>393.75735972344194</v>
      </c>
      <c r="H112" s="67"/>
      <c r="I112" s="73">
        <f t="shared" si="2"/>
        <v>270.29810832435709</v>
      </c>
      <c r="L112" s="73">
        <f>IF(B112=0, 100000, IF(sterfte_partn="AG",AGoverlevtafel!L112,IF(sterfte_partn="CBS",CBSoverlevtafel!L112,IF(sterfte_partn&gt;=1,1*(sterfte_partn&gt;=$B112),IF(sterfte_partn&lt;1,sterfte_partn*L111,NA())))))</f>
        <v>150.85279465210274</v>
      </c>
      <c r="O112" s="73">
        <f>IF(B112=0, 100000, IF(sterfte_partn="AG",AGoverlevtafel!O112,IF(sterfte_partn="CBS",CBSoverlevtafel!O112,IF(sterfte_partn&gt;=1,1*(sterfte_partn&gt;=$B112),IF(sterfte_partn&lt;1,sterfte_partn*O111,NA())))))</f>
        <v>393.75735972344194</v>
      </c>
      <c r="P112" s="67"/>
      <c r="Q112" s="73">
        <f t="shared" si="3"/>
        <v>272.30507718777233</v>
      </c>
    </row>
    <row r="113" spans="2:17" x14ac:dyDescent="0.25">
      <c r="B113" s="73">
        <v>106</v>
      </c>
      <c r="D113" s="73">
        <f>IF(B113=0, 100000, IF(sterfte_deeln="AG", AGoverlevtafel!D113, IF(sterfte_deeln="CBS", CBSoverlevtafel!D113, IF( sterfte_deeln&gt;=1, 1*(sterfte_deeln&gt;=$B113),  IF( sterfte_deeln&lt;1, sterfte_deeln*D112, NA() )) ) ) )</f>
        <v>75.367493073597743</v>
      </c>
      <c r="G113" s="73">
        <f>IF(B113=0, 100000, IF(sterfte_deeln="AG",AGoverlevtafel!G113,IF(sterfte_deeln="CBS",CBSoverlevtafel!G113,IF(sterfte_deeln&gt;=1,1*(sterfte_deeln&gt;=$B113),IF(sterfte_deeln&lt;1,sterfte_deeln*G112,NA())))))</f>
        <v>204.9791928603797</v>
      </c>
      <c r="H113" s="67"/>
      <c r="I113" s="73">
        <f t="shared" si="2"/>
        <v>140.17334296698871</v>
      </c>
      <c r="L113" s="73">
        <f>IF(B113=0, 100000, IF(sterfte_partn="AG",AGoverlevtafel!L113,IF(sterfte_partn="CBS",CBSoverlevtafel!L113,IF(sterfte_partn&gt;=1,1*(sterfte_partn&gt;=$B113),IF(sterfte_partn&lt;1,sterfte_partn*L112,NA())))))</f>
        <v>77.395368520911276</v>
      </c>
      <c r="O113" s="73">
        <f>IF(B113=0, 100000, IF(sterfte_partn="AG",AGoverlevtafel!O113,IF(sterfte_partn="CBS",CBSoverlevtafel!O113,IF(sterfte_partn&gt;=1,1*(sterfte_partn&gt;=$B113),IF(sterfte_partn&lt;1,sterfte_partn*O112,NA())))))</f>
        <v>204.9791928603797</v>
      </c>
      <c r="P113" s="67"/>
      <c r="Q113" s="73">
        <f t="shared" si="3"/>
        <v>141.18728069064548</v>
      </c>
    </row>
    <row r="114" spans="2:17" x14ac:dyDescent="0.25">
      <c r="B114" s="73">
        <v>107</v>
      </c>
      <c r="D114" s="73">
        <f>IF(B114=0, 100000, IF(sterfte_deeln="AG", AGoverlevtafel!D114, IF(sterfte_deeln="CBS", CBSoverlevtafel!D114, IF( sterfte_deeln&gt;=1, 1*(sterfte_deeln&gt;=$B114),  IF( sterfte_deeln&lt;1, sterfte_deeln*D113, NA() )) ) ) )</f>
        <v>37.234992799063363</v>
      </c>
      <c r="G114" s="73">
        <f>IF(B114=0, 100000, IF(sterfte_deeln="AG",AGoverlevtafel!G114,IF(sterfte_deeln="CBS",CBSoverlevtafel!G114,IF(sterfte_deeln&gt;=1,1*(sterfte_deeln&gt;=$B114),IF(sterfte_deeln&lt;1,sterfte_deeln*G113,NA())))))</f>
        <v>102.19465092667878</v>
      </c>
      <c r="H114" s="67"/>
      <c r="I114" s="73">
        <f t="shared" si="2"/>
        <v>69.714821862871077</v>
      </c>
      <c r="L114" s="73">
        <f>IF(B114=0, 100000, IF(sterfte_partn="AG",AGoverlevtafel!L114,IF(sterfte_partn="CBS",CBSoverlevtafel!L114,IF(sterfte_partn&gt;=1,1*(sterfte_partn&gt;=$B114),IF(sterfte_partn&lt;1,sterfte_partn*L113,NA())))))</f>
        <v>38.21558327801197</v>
      </c>
      <c r="O114" s="73">
        <f>IF(B114=0, 100000, IF(sterfte_partn="AG",AGoverlevtafel!O114,IF(sterfte_partn="CBS",CBSoverlevtafel!O114,IF(sterfte_partn&gt;=1,1*(sterfte_partn&gt;=$B114),IF(sterfte_partn&lt;1,sterfte_partn*O113,NA())))))</f>
        <v>102.19465092667878</v>
      </c>
      <c r="P114" s="67"/>
      <c r="Q114" s="73">
        <f t="shared" si="3"/>
        <v>70.205117102345369</v>
      </c>
    </row>
    <row r="115" spans="2:17" x14ac:dyDescent="0.25">
      <c r="B115" s="73">
        <v>108</v>
      </c>
      <c r="D115" s="73">
        <f>IF(B115=0, 100000, IF(sterfte_deeln="AG", AGoverlevtafel!D115, IF(sterfte_deeln="CBS", CBSoverlevtafel!D115, IF( sterfte_deeln&gt;=1, 1*(sterfte_deeln&gt;=$B115),  IF( sterfte_deeln&lt;1, sterfte_deeln*D114, NA() )) ) ) )</f>
        <v>17.74888552865227</v>
      </c>
      <c r="G115" s="73">
        <f>IF(B115=0, 100000, IF(sterfte_deeln="AG",AGoverlevtafel!G115,IF(sterfte_deeln="CBS",CBSoverlevtafel!G115,IF(sterfte_deeln&gt;=1,1*(sterfte_deeln&gt;=$B115),IF(sterfte_deeln&lt;1,sterfte_deeln*G114,NA())))))</f>
        <v>48.937001884835212</v>
      </c>
      <c r="H115" s="67"/>
      <c r="I115" s="73">
        <f t="shared" si="2"/>
        <v>33.342943706743739</v>
      </c>
      <c r="L115" s="73">
        <f>IF(B115=0, 100000, IF(sterfte_partn="AG",AGoverlevtafel!L115,IF(sterfte_partn="CBS",CBSoverlevtafel!L115,IF(sterfte_partn&gt;=1,1*(sterfte_partn&gt;=$B115),IF(sterfte_partn&lt;1,sterfte_partn*L114,NA())))))</f>
        <v>18.204165339757953</v>
      </c>
      <c r="O115" s="73">
        <f>IF(B115=0, 100000, IF(sterfte_partn="AG",AGoverlevtafel!O115,IF(sterfte_partn="CBS",CBSoverlevtafel!O115,IF(sterfte_partn&gt;=1,1*(sterfte_partn&gt;=$B115),IF(sterfte_partn&lt;1,sterfte_partn*O114,NA())))))</f>
        <v>48.937001884835212</v>
      </c>
      <c r="P115" s="67"/>
      <c r="Q115" s="73">
        <f t="shared" si="3"/>
        <v>33.570583612296581</v>
      </c>
    </row>
    <row r="116" spans="2:17" x14ac:dyDescent="0.25">
      <c r="B116" s="73">
        <v>109</v>
      </c>
      <c r="D116" s="73">
        <f>IF(B116=0, 100000, IF(sterfte_deeln="AG", AGoverlevtafel!D116, IF(sterfte_deeln="CBS", CBSoverlevtafel!D116, IF( sterfte_deeln&gt;=1, 1*(sterfte_deeln&gt;=$B116),  IF( sterfte_deeln&lt;1, sterfte_deeln*D115, NA() )) ) ) )</f>
        <v>8.18473578650881</v>
      </c>
      <c r="G116" s="73">
        <f>IF(B116=0, 100000, IF(sterfte_deeln="AG",AGoverlevtafel!G116,IF(sterfte_deeln="CBS",CBSoverlevtafel!G116,IF(sterfte_deeln&gt;=1,1*(sterfte_deeln&gt;=$B116),IF(sterfte_deeln&lt;1,sterfte_deeln*G115,NA())))))</f>
        <v>22.582829756121658</v>
      </c>
      <c r="H116" s="67"/>
      <c r="I116" s="73">
        <f t="shared" si="2"/>
        <v>15.383782771315234</v>
      </c>
      <c r="L116" s="73">
        <f>IF(B116=0, 100000, IF(sterfte_partn="AG",AGoverlevtafel!L116,IF(sterfte_partn="CBS",CBSoverlevtafel!L116,IF(sterfte_partn&gt;=1,1*(sterfte_partn&gt;=$B116),IF(sterfte_partn&lt;1,sterfte_partn*L115,NA())))))</f>
        <v>8.3884157850271848</v>
      </c>
      <c r="O116" s="73">
        <f>IF(B116=0, 100000, IF(sterfte_partn="AG",AGoverlevtafel!O116,IF(sterfte_partn="CBS",CBSoverlevtafel!O116,IF(sterfte_partn&gt;=1,1*(sterfte_partn&gt;=$B116),IF(sterfte_partn&lt;1,sterfte_partn*O115,NA())))))</f>
        <v>22.582829756121658</v>
      </c>
      <c r="P116" s="67"/>
      <c r="Q116" s="73">
        <f t="shared" si="3"/>
        <v>15.485622770574421</v>
      </c>
    </row>
    <row r="117" spans="2:17" x14ac:dyDescent="0.25">
      <c r="B117" s="73">
        <v>110</v>
      </c>
      <c r="D117" s="73">
        <f>IF(B117=0, 100000, IF(sterfte_deeln="AG", AGoverlevtafel!D117, IF(sterfte_deeln="CBS", CBSoverlevtafel!D117, IF( sterfte_deeln&gt;=1, 1*(sterfte_deeln&gt;=$B117),  IF( sterfte_deeln&lt;1, sterfte_deeln*D116, NA() )) ) ) )</f>
        <v>3.6618127588722627</v>
      </c>
      <c r="G117" s="73">
        <f>IF(B117=0, 100000, IF(sterfte_deeln="AG",AGoverlevtafel!G117,IF(sterfte_deeln="CBS",CBSoverlevtafel!G117,IF(sterfte_deeln&gt;=1,1*(sterfte_deeln&gt;=$B117),IF(sterfte_deeln&lt;1,sterfte_deeln*G116,NA())))))</f>
        <v>10.07866413956739</v>
      </c>
      <c r="H117" s="67"/>
      <c r="I117" s="73">
        <f t="shared" si="2"/>
        <v>6.8702384492198263</v>
      </c>
      <c r="L117" s="73">
        <f>IF(B117=0, 100000, IF(sterfte_partn="AG",AGoverlevtafel!L117,IF(sterfte_partn="CBS",CBSoverlevtafel!L117,IF(sterfte_partn&gt;=1,1*(sterfte_partn&gt;=$B117),IF(sterfte_partn&lt;1,sterfte_partn*L116,NA())))))</f>
        <v>3.749944885410617</v>
      </c>
      <c r="O117" s="73">
        <f>IF(B117=0, 100000, IF(sterfte_partn="AG",AGoverlevtafel!O117,IF(sterfte_partn="CBS",CBSoverlevtafel!O117,IF(sterfte_partn&gt;=1,1*(sterfte_partn&gt;=$B117),IF(sterfte_partn&lt;1,sterfte_partn*O116,NA())))))</f>
        <v>10.07866413956739</v>
      </c>
      <c r="P117" s="67"/>
      <c r="Q117" s="73">
        <f t="shared" si="3"/>
        <v>6.9143045124890037</v>
      </c>
    </row>
    <row r="118" spans="2:17" x14ac:dyDescent="0.25">
      <c r="B118" s="73">
        <v>111</v>
      </c>
      <c r="D118" s="73">
        <f>IF(B118=0, 100000, IF(sterfte_deeln="AG", AGoverlevtafel!D118, IF(sterfte_deeln="CBS", CBSoverlevtafel!D118, IF( sterfte_deeln&gt;=1, 1*(sterfte_deeln&gt;=$B118),  IF( sterfte_deeln&lt;1, sterfte_deeln*D117, NA() )) ) ) )</f>
        <v>1.5941355039125815</v>
      </c>
      <c r="G118" s="73">
        <f>IF(B118=0, 100000, IF(sterfte_deeln="AG",AGoverlevtafel!G118,IF(sterfte_deeln="CBS",CBSoverlevtafel!G118,IF(sterfte_deeln&gt;=1,1*(sterfte_deeln&gt;=$B118),IF(sterfte_deeln&lt;1,sterfte_deeln*G117,NA())))))</f>
        <v>4.3661807425906574</v>
      </c>
      <c r="H118" s="67"/>
      <c r="I118" s="73">
        <f t="shared" si="2"/>
        <v>2.9801581232516194</v>
      </c>
      <c r="L118" s="73">
        <f>IF(B118=0, 100000, IF(sterfte_partn="AG",AGoverlevtafel!L118,IF(sterfte_partn="CBS",CBSoverlevtafel!L118,IF(sterfte_partn&gt;=1,1*(sterfte_partn&gt;=$B118),IF(sterfte_partn&lt;1,sterfte_partn*L117,NA())))))</f>
        <v>1.6311619063460006</v>
      </c>
      <c r="O118" s="73">
        <f>IF(B118=0, 100000, IF(sterfte_partn="AG",AGoverlevtafel!O118,IF(sterfte_partn="CBS",CBSoverlevtafel!O118,IF(sterfte_partn&gt;=1,1*(sterfte_partn&gt;=$B118),IF(sterfte_partn&lt;1,sterfte_partn*O117,NA())))))</f>
        <v>4.3661807425906574</v>
      </c>
      <c r="P118" s="67"/>
      <c r="Q118" s="73">
        <f t="shared" si="3"/>
        <v>2.998671324468329</v>
      </c>
    </row>
    <row r="119" spans="2:17" x14ac:dyDescent="0.25">
      <c r="B119" s="73">
        <v>112</v>
      </c>
      <c r="D119" s="73">
        <f>IF(B119=0, 100000, IF(sterfte_deeln="AG", AGoverlevtafel!D119, IF(sterfte_deeln="CBS", CBSoverlevtafel!D119, IF( sterfte_deeln&gt;=1, 1*(sterfte_deeln&gt;=$B119),  IF( sterfte_deeln&lt;1, sterfte_deeln*D118, NA() )) ) ) )</f>
        <v>0.67727555445074805</v>
      </c>
      <c r="G119" s="73">
        <f>IF(B119=0, 100000, IF(sterfte_deeln="AG",AGoverlevtafel!G119,IF(sterfte_deeln="CBS",CBSoverlevtafel!G119,IF(sterfte_deeln&gt;=1,1*(sterfte_deeln&gt;=$B119),IF(sterfte_deeln&lt;1,sterfte_deeln*G118,NA())))))</f>
        <v>1.8426460877747071</v>
      </c>
      <c r="H119" s="67"/>
      <c r="I119" s="73">
        <f t="shared" si="2"/>
        <v>1.2599608211127276</v>
      </c>
      <c r="L119" s="73">
        <f>IF(B119=0, 100000, IF(sterfte_partn="AG",AGoverlevtafel!L119,IF(sterfte_partn="CBS",CBSoverlevtafel!L119,IF(sterfte_partn&gt;=1,1*(sterfte_partn&gt;=$B119),IF(sterfte_partn&lt;1,sterfte_partn*L118,NA())))))</f>
        <v>0.69243691175558852</v>
      </c>
      <c r="O119" s="73">
        <f>IF(B119=0, 100000, IF(sterfte_partn="AG",AGoverlevtafel!O119,IF(sterfte_partn="CBS",CBSoverlevtafel!O119,IF(sterfte_partn&gt;=1,1*(sterfte_partn&gt;=$B119),IF(sterfte_partn&lt;1,sterfte_partn*O118,NA())))))</f>
        <v>1.8426460877747071</v>
      </c>
      <c r="P119" s="67"/>
      <c r="Q119" s="73">
        <f t="shared" si="3"/>
        <v>1.2675414997651477</v>
      </c>
    </row>
    <row r="120" spans="2:17" x14ac:dyDescent="0.25">
      <c r="B120" s="73">
        <v>113</v>
      </c>
      <c r="D120" s="73">
        <f>IF(B120=0, 100000, IF(sterfte_deeln="AG", AGoverlevtafel!D120, IF(sterfte_deeln="CBS", CBSoverlevtafel!D120, IF( sterfte_deeln&gt;=1, 1*(sterfte_deeln&gt;=$B120),  IF( sterfte_deeln&lt;1, sterfte_deeln*D119, NA() )) ) ) )</f>
        <v>0.28161078421080565</v>
      </c>
      <c r="G120" s="73">
        <f>IF(B120=0, 100000, IF(sterfte_deeln="AG",AGoverlevtafel!G120,IF(sterfte_deeln="CBS",CBSoverlevtafel!G120,IF(sterfte_deeln&gt;=1,1*(sterfte_deeln&gt;=$B120),IF(sterfte_deeln&lt;1,sterfte_deeln*G119,NA())))))</f>
        <v>0.76018507193070273</v>
      </c>
      <c r="H120" s="67"/>
      <c r="I120" s="73">
        <f t="shared" si="2"/>
        <v>0.52089792807075419</v>
      </c>
      <c r="L120" s="73">
        <f>IF(B120=0, 100000, IF(sterfte_partn="AG",AGoverlevtafel!L120,IF(sterfte_partn="CBS",CBSoverlevtafel!L120,IF(sterfte_partn&gt;=1,1*(sterfte_partn&gt;=$B120),IF(sterfte_partn&lt;1,sterfte_partn*L119,NA())))))</f>
        <v>0.28768383181072266</v>
      </c>
      <c r="O120" s="73">
        <f>IF(B120=0, 100000, IF(sterfte_partn="AG",AGoverlevtafel!O120,IF(sterfte_partn="CBS",CBSoverlevtafel!O120,IF(sterfte_partn&gt;=1,1*(sterfte_partn&gt;=$B120),IF(sterfte_partn&lt;1,sterfte_partn*O119,NA())))))</f>
        <v>0.76018507193070273</v>
      </c>
      <c r="P120" s="67"/>
      <c r="Q120" s="73">
        <f t="shared" si="3"/>
        <v>0.52393445187071275</v>
      </c>
    </row>
    <row r="121" spans="2:17" x14ac:dyDescent="0.25">
      <c r="B121" s="73">
        <v>114</v>
      </c>
      <c r="D121" s="73">
        <f>IF(B121=0, 100000, IF(sterfte_deeln="AG", AGoverlevtafel!D121, IF(sterfte_deeln="CBS", CBSoverlevtafel!D121, IF( sterfte_deeln&gt;=1, 1*(sterfte_deeln&gt;=$B121),  IF( sterfte_deeln&lt;1, sterfte_deeln*D120, NA() )) ) ) )</f>
        <v>0.11490595078783941</v>
      </c>
      <c r="G121" s="73">
        <f>IF(B121=0, 100000, IF(sterfte_deeln="AG",AGoverlevtafel!G121,IF(sterfte_deeln="CBS",CBSoverlevtafel!G121,IF(sterfte_deeln&gt;=1,1*(sterfte_deeln&gt;=$B121),IF(sterfte_deeln&lt;1,sterfte_deeln*G120,NA())))))</f>
        <v>0.3075556241009908</v>
      </c>
      <c r="H121" s="67"/>
      <c r="I121" s="73">
        <f t="shared" si="2"/>
        <v>0.21123078744441509</v>
      </c>
      <c r="L121" s="73">
        <f>IF(B121=0, 100000, IF(sterfte_partn="AG",AGoverlevtafel!L121,IF(sterfte_partn="CBS",CBSoverlevtafel!L121,IF(sterfte_partn&gt;=1,1*(sterfte_partn&gt;=$B121),IF(sterfte_partn&lt;1,sterfte_partn*L120,NA())))))</f>
        <v>0.11729380565290805</v>
      </c>
      <c r="O121" s="73">
        <f>IF(B121=0, 100000, IF(sterfte_partn="AG",AGoverlevtafel!O121,IF(sterfte_partn="CBS",CBSoverlevtafel!O121,IF(sterfte_partn&gt;=1,1*(sterfte_partn&gt;=$B121),IF(sterfte_partn&lt;1,sterfte_partn*O120,NA())))))</f>
        <v>0.3075556241009908</v>
      </c>
      <c r="P121" s="67"/>
      <c r="Q121" s="73">
        <f t="shared" si="3"/>
        <v>0.21242471487694942</v>
      </c>
    </row>
    <row r="122" spans="2:17" x14ac:dyDescent="0.25">
      <c r="B122" s="73">
        <v>115</v>
      </c>
      <c r="D122" s="73">
        <f>IF(B122=0, 100000, IF(sterfte_deeln="AG", AGoverlevtafel!D122, IF(sterfte_deeln="CBS", CBSoverlevtafel!D122, IF( sterfte_deeln&gt;=1, 1*(sterfte_deeln&gt;=$B122),  IF( sterfte_deeln&lt;1, sterfte_deeln*D121, NA() )) ) ) )</f>
        <v>4.6123861347749526E-2</v>
      </c>
      <c r="G122" s="73">
        <f>IF(B122=0, 100000, IF(sterfte_deeln="AG",AGoverlevtafel!G122,IF(sterfte_deeln="CBS",CBSoverlevtafel!G122,IF(sterfte_deeln&gt;=1,1*(sterfte_deeln&gt;=$B122),IF(sterfte_deeln&lt;1,sterfte_deeln*G121,NA())))))</f>
        <v>0.1223820308120208</v>
      </c>
      <c r="H122" s="67"/>
      <c r="I122" s="73">
        <f t="shared" si="2"/>
        <v>8.4252946079885163E-2</v>
      </c>
      <c r="L122" s="73">
        <f>IF(B122=0, 100000, IF(sterfte_partn="AG",AGoverlevtafel!L122,IF(sterfte_partn="CBS",CBSoverlevtafel!L122,IF(sterfte_partn&gt;=1,1*(sterfte_partn&gt;=$B122),IF(sterfte_partn&lt;1,sterfte_partn*L121,NA())))))</f>
        <v>4.7048355431555215E-2</v>
      </c>
      <c r="O122" s="73">
        <f>IF(B122=0, 100000, IF(sterfte_partn="AG",AGoverlevtafel!O122,IF(sterfte_partn="CBS",CBSoverlevtafel!O122,IF(sterfte_partn&gt;=1,1*(sterfte_partn&gt;=$B122),IF(sterfte_partn&lt;1,sterfte_partn*O121,NA())))))</f>
        <v>0.1223820308120208</v>
      </c>
      <c r="P122" s="67"/>
      <c r="Q122" s="73">
        <f t="shared" si="3"/>
        <v>8.4715193121788004E-2</v>
      </c>
    </row>
    <row r="123" spans="2:17" x14ac:dyDescent="0.25">
      <c r="B123" s="73">
        <v>116</v>
      </c>
      <c r="D123" s="73">
        <f>IF(B123=0, 100000, IF(sterfte_deeln="AG", AGoverlevtafel!D123, IF(sterfte_deeln="CBS", CBSoverlevtafel!D123, IF( sterfte_deeln&gt;=1, 1*(sterfte_deeln&gt;=$B123),  IF( sterfte_deeln&lt;1, sterfte_deeln*D122, NA() )) ) ) )</f>
        <v>1.8255064702954339E-2</v>
      </c>
      <c r="G123" s="73">
        <f>IF(B123=0, 100000, IF(sterfte_deeln="AG",AGoverlevtafel!G123,IF(sterfte_deeln="CBS",CBSoverlevtafel!G123,IF(sterfte_deeln&gt;=1,1*(sterfte_deeln&gt;=$B123),IF(sterfte_deeln&lt;1,sterfte_deeln*G122,NA())))))</f>
        <v>4.8020553461595693E-2</v>
      </c>
      <c r="H123" s="67"/>
      <c r="I123" s="73">
        <f t="shared" si="2"/>
        <v>3.3137809082275017E-2</v>
      </c>
      <c r="L123" s="73">
        <f>IF(B123=0, 100000, IF(sterfte_partn="AG",AGoverlevtafel!L123,IF(sterfte_partn="CBS",CBSoverlevtafel!L123,IF(sterfte_partn&gt;=1,1*(sterfte_partn&gt;=$B123),IF(sterfte_partn&lt;1,sterfte_partn*L122,NA())))))</f>
        <v>1.8608502975385664E-2</v>
      </c>
      <c r="O123" s="73">
        <f>IF(B123=0, 100000, IF(sterfte_partn="AG",AGoverlevtafel!O123,IF(sterfte_partn="CBS",CBSoverlevtafel!O123,IF(sterfte_partn&gt;=1,1*(sterfte_partn&gt;=$B123),IF(sterfte_partn&lt;1,sterfte_partn*O122,NA())))))</f>
        <v>4.8020553461595693E-2</v>
      </c>
      <c r="P123" s="67"/>
      <c r="Q123" s="73">
        <f t="shared" si="3"/>
        <v>3.331452821849068E-2</v>
      </c>
    </row>
    <row r="124" spans="2:17" x14ac:dyDescent="0.25">
      <c r="B124" s="73">
        <v>117</v>
      </c>
      <c r="D124" s="73">
        <f>IF(B124=0, 100000, IF(sterfte_deeln="AG", AGoverlevtafel!D124, IF(sterfte_deeln="CBS", CBSoverlevtafel!D124, IF( sterfte_deeln&gt;=1, 1*(sterfte_deeln&gt;=$B124),  IF( sterfte_deeln&lt;1, sterfte_deeln*D123, NA() )) ) ) )</f>
        <v>7.1383838429500569E-3</v>
      </c>
      <c r="G124" s="73">
        <f>IF(B124=0, 100000, IF(sterfte_deeln="AG",AGoverlevtafel!G124,IF(sterfte_deeln="CBS",CBSoverlevtafel!G124,IF(sterfte_deeln&gt;=1,1*(sterfte_deeln&gt;=$B124),IF(sterfte_deeln&lt;1,sterfte_deeln*G123,NA())))))</f>
        <v>1.8622594105656452E-2</v>
      </c>
      <c r="H124" s="67"/>
      <c r="I124" s="73">
        <f t="shared" si="2"/>
        <v>1.2880488974303255E-2</v>
      </c>
      <c r="L124" s="73">
        <f>IF(B124=0, 100000, IF(sterfte_partn="AG",AGoverlevtafel!L124,IF(sterfte_partn="CBS",CBSoverlevtafel!L124,IF(sterfte_partn&gt;=1,1*(sterfte_partn&gt;=$B124),IF(sterfte_partn&lt;1,sterfte_partn*L123,NA())))))</f>
        <v>7.2721368914300533E-3</v>
      </c>
      <c r="O124" s="73">
        <f>IF(B124=0, 100000, IF(sterfte_partn="AG",AGoverlevtafel!O124,IF(sterfte_partn="CBS",CBSoverlevtafel!O124,IF(sterfte_partn&gt;=1,1*(sterfte_partn&gt;=$B124),IF(sterfte_partn&lt;1,sterfte_partn*O123,NA())))))</f>
        <v>1.8622594105656452E-2</v>
      </c>
      <c r="P124" s="67"/>
      <c r="Q124" s="73">
        <f t="shared" si="3"/>
        <v>1.2947365498543252E-2</v>
      </c>
    </row>
    <row r="125" spans="2:17" x14ac:dyDescent="0.25">
      <c r="B125" s="73">
        <v>118</v>
      </c>
      <c r="D125" s="73">
        <f>IF(B125=0, 100000, IF(sterfte_deeln="AG", AGoverlevtafel!D125, IF(sterfte_deeln="CBS", CBSoverlevtafel!D125, IF( sterfte_deeln&gt;=1, 1*(sterfte_deeln&gt;=$B125),  IF( sterfte_deeln&lt;1, sterfte_deeln*D124, NA() )) ) ) )</f>
        <v>2.7628620552346975E-3</v>
      </c>
      <c r="G125" s="73">
        <f>IF(B125=0, 100000, IF(sterfte_deeln="AG",AGoverlevtafel!G125,IF(sterfte_deeln="CBS",CBSoverlevtafel!G125,IF(sterfte_deeln&gt;=1,1*(sterfte_deeln&gt;=$B125),IF(sterfte_deeln&lt;1,sterfte_deeln*G124,NA())))))</f>
        <v>7.1517455145436483E-3</v>
      </c>
      <c r="H125" s="67"/>
      <c r="I125" s="73">
        <f t="shared" si="2"/>
        <v>4.9573037848891725E-3</v>
      </c>
      <c r="L125" s="73">
        <f>IF(B125=0, 100000, IF(sterfte_partn="AG",AGoverlevtafel!L125,IF(sterfte_partn="CBS",CBSoverlevtafel!L125,IF(sterfte_partn&gt;=1,1*(sterfte_partn&gt;=$B125),IF(sterfte_partn&lt;1,sterfte_partn*L124,NA())))))</f>
        <v>2.8130722525806142E-3</v>
      </c>
      <c r="O125" s="73">
        <f>IF(B125=0, 100000, IF(sterfte_partn="AG",AGoverlevtafel!O125,IF(sterfte_partn="CBS",CBSoverlevtafel!O125,IF(sterfte_partn&gt;=1,1*(sterfte_partn&gt;=$B125),IF(sterfte_partn&lt;1,sterfte_partn*O124,NA())))))</f>
        <v>7.1517455145436483E-3</v>
      </c>
      <c r="P125" s="67"/>
      <c r="Q125" s="73">
        <f t="shared" si="3"/>
        <v>4.9824088835621312E-3</v>
      </c>
    </row>
    <row r="126" spans="2:17" x14ac:dyDescent="0.25">
      <c r="B126" s="73">
        <v>119</v>
      </c>
      <c r="D126" s="73">
        <f>IF(B126=0, 100000, IF(sterfte_deeln="AG", AGoverlevtafel!D126, IF(sterfte_deeln="CBS", CBSoverlevtafel!D126, IF( sterfte_deeln&gt;=1, 1*(sterfte_deeln&gt;=$B126),  IF( sterfte_deeln&lt;1, sterfte_deeln*D125, NA() )) ) ) )</f>
        <v>1.0601047935114216E-3</v>
      </c>
      <c r="G126" s="73">
        <f>IF(B126=0, 100000, IF(sterfte_deeln="AG",AGoverlevtafel!G126,IF(sterfte_deeln="CBS",CBSoverlevtafel!G126,IF(sterfte_deeln&gt;=1,1*(sterfte_deeln&gt;=$B126),IF(sterfte_deeln&lt;1,sterfte_deeln*G125,NA())))))</f>
        <v>2.7244249197598824E-3</v>
      </c>
      <c r="H126" s="67"/>
      <c r="I126" s="73">
        <f t="shared" si="2"/>
        <v>1.892264856635652E-3</v>
      </c>
      <c r="L126" s="73">
        <f>IF(B126=0, 100000, IF(sterfte_partn="AG",AGoverlevtafel!L126,IF(sterfte_partn="CBS",CBSoverlevtafel!L126,IF(sterfte_partn&gt;=1,1*(sterfte_partn&gt;=$B126),IF(sterfte_partn&lt;1,sterfte_partn*L125,NA())))))</f>
        <v>1.0788354253840875E-3</v>
      </c>
      <c r="O126" s="73">
        <f>IF(B126=0, 100000, IF(sterfte_partn="AG",AGoverlevtafel!O126,IF(sterfte_partn="CBS",CBSoverlevtafel!O126,IF(sterfte_partn&gt;=1,1*(sterfte_partn&gt;=$B126),IF(sterfte_partn&lt;1,sterfte_partn*O125,NA())))))</f>
        <v>2.7244249197598824E-3</v>
      </c>
      <c r="P126" s="67"/>
      <c r="Q126" s="73">
        <f t="shared" si="3"/>
        <v>1.901630172571985E-3</v>
      </c>
    </row>
    <row r="127" spans="2:17" x14ac:dyDescent="0.25">
      <c r="B127" s="73">
        <v>120</v>
      </c>
      <c r="D127" s="73">
        <f>IF(B127=0, 100000, IF(sterfte_deeln="AG", AGoverlevtafel!D127, IF(sterfte_deeln="CBS", CBSoverlevtafel!D127, IF( sterfte_deeln&gt;=1, 1*(sterfte_deeln&gt;=$B127),  IF( sterfte_deeln&lt;1, sterfte_deeln*D126, NA() )) ) ) )</f>
        <v>4.0379958348675798E-4</v>
      </c>
      <c r="G127" s="73">
        <f>IF(B127=0, 100000, IF(sterfte_deeln="AG",AGoverlevtafel!G127,IF(sterfte_deeln="CBS",CBSoverlevtafel!G127,IF(sterfte_deeln&gt;=1,1*(sterfte_deeln&gt;=$B127),IF(sterfte_deeln&lt;1,sterfte_deeln*G126,NA())))))</f>
        <v>1.0309770342450824E-3</v>
      </c>
      <c r="H127" s="67"/>
      <c r="I127" s="73">
        <f t="shared" si="2"/>
        <v>7.1738830886592026E-4</v>
      </c>
      <c r="L127" s="73">
        <f>IF(B127=0, 100000, IF(sterfte_partn="AG",AGoverlevtafel!L127,IF(sterfte_partn="CBS",CBSoverlevtafel!L127,IF(sterfte_partn&gt;=1,1*(sterfte_partn&gt;=$B127),IF(sterfte_partn&lt;1,sterfte_partn*L126,NA())))))</f>
        <v>4.1075345803267963E-4</v>
      </c>
      <c r="O127" s="73">
        <f>IF(B127=0, 100000, IF(sterfte_partn="AG",AGoverlevtafel!O127,IF(sterfte_partn="CBS",CBSoverlevtafel!O127,IF(sterfte_partn&gt;=1,1*(sterfte_partn&gt;=$B127),IF(sterfte_partn&lt;1,sterfte_partn*O126,NA())))))</f>
        <v>1.0309770342450824E-3</v>
      </c>
      <c r="P127" s="67"/>
      <c r="Q127" s="73">
        <f t="shared" si="3"/>
        <v>7.2086524613888098E-4</v>
      </c>
    </row>
  </sheetData>
  <mergeCells count="7">
    <mergeCell ref="C2:I2"/>
    <mergeCell ref="K2:Q2"/>
    <mergeCell ref="C3:I3"/>
    <mergeCell ref="K3:Q3"/>
    <mergeCell ref="F5:H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499984740745262"/>
  </sheetPr>
  <dimension ref="A1:Q127"/>
  <sheetViews>
    <sheetView zoomScale="80" zoomScaleNormal="80" workbookViewId="0">
      <pane xSplit="1" ySplit="6" topLeftCell="B34" activePane="bottomRight" state="frozen"/>
      <selection activeCell="D52" sqref="D51:D52"/>
      <selection pane="topRight" activeCell="D52" sqref="D51:D52"/>
      <selection pane="bottomLeft" activeCell="D52" sqref="D51:D52"/>
      <selection pane="bottomRight" activeCell="D52" sqref="D51:D52"/>
    </sheetView>
  </sheetViews>
  <sheetFormatPr defaultRowHeight="15" x14ac:dyDescent="0.25"/>
  <sheetData>
    <row r="1" spans="1:17" x14ac:dyDescent="0.25">
      <c r="A1" t="s">
        <v>132</v>
      </c>
    </row>
    <row r="2" spans="1:17" x14ac:dyDescent="0.25">
      <c r="C2" s="157" t="s">
        <v>207</v>
      </c>
      <c r="D2" s="157"/>
      <c r="E2" s="157"/>
      <c r="F2" s="157"/>
      <c r="G2" s="157"/>
      <c r="H2" s="157"/>
      <c r="I2" s="157"/>
      <c r="K2" s="157" t="s">
        <v>206</v>
      </c>
      <c r="L2" s="157"/>
      <c r="M2" s="157"/>
      <c r="N2" s="157"/>
      <c r="O2" s="157"/>
      <c r="P2" s="157"/>
      <c r="Q2" s="157"/>
    </row>
    <row r="3" spans="1:17" x14ac:dyDescent="0.25">
      <c r="A3" t="s">
        <v>131</v>
      </c>
      <c r="C3" s="152">
        <f>Settings!C8</f>
        <v>1965</v>
      </c>
      <c r="D3" s="152"/>
      <c r="E3" s="152"/>
      <c r="F3" s="152"/>
      <c r="G3" s="152"/>
      <c r="H3" s="152"/>
      <c r="I3" s="152"/>
      <c r="K3" s="152">
        <f>Settings!D8</f>
        <v>1965</v>
      </c>
      <c r="L3" s="152"/>
      <c r="M3" s="152"/>
      <c r="N3" s="152"/>
      <c r="O3" s="152"/>
      <c r="P3" s="152"/>
      <c r="Q3" s="152"/>
    </row>
    <row r="4" spans="1:17" x14ac:dyDescent="0.25">
      <c r="A4" t="s">
        <v>130</v>
      </c>
      <c r="C4" t="s">
        <v>129</v>
      </c>
      <c r="F4" t="s">
        <v>129</v>
      </c>
      <c r="I4" t="s">
        <v>134</v>
      </c>
      <c r="K4" t="s">
        <v>129</v>
      </c>
      <c r="N4" t="s">
        <v>129</v>
      </c>
      <c r="Q4" t="s">
        <v>134</v>
      </c>
    </row>
    <row r="5" spans="1:17" x14ac:dyDescent="0.25">
      <c r="A5" t="s">
        <v>128</v>
      </c>
      <c r="C5" s="152" t="s">
        <v>127</v>
      </c>
      <c r="D5" s="152"/>
      <c r="E5" s="152"/>
      <c r="F5" s="152" t="s">
        <v>126</v>
      </c>
      <c r="G5" s="152"/>
      <c r="H5" s="152"/>
      <c r="I5" t="s">
        <v>133</v>
      </c>
      <c r="K5" s="152" t="s">
        <v>127</v>
      </c>
      <c r="L5" s="152"/>
      <c r="M5" s="152"/>
      <c r="N5" s="152" t="s">
        <v>126</v>
      </c>
      <c r="O5" s="152"/>
      <c r="P5" s="152"/>
      <c r="Q5" t="s">
        <v>133</v>
      </c>
    </row>
    <row r="6" spans="1:17" x14ac:dyDescent="0.25">
      <c r="A6" t="s">
        <v>125</v>
      </c>
      <c r="D6" t="s">
        <v>124</v>
      </c>
      <c r="E6" s="66" t="s">
        <v>222</v>
      </c>
      <c r="F6" t="s">
        <v>124</v>
      </c>
      <c r="G6" t="s">
        <v>124</v>
      </c>
      <c r="H6" s="66" t="s">
        <v>222</v>
      </c>
      <c r="I6" t="s">
        <v>124</v>
      </c>
      <c r="L6" t="s">
        <v>124</v>
      </c>
      <c r="M6" s="66" t="s">
        <v>222</v>
      </c>
      <c r="N6" t="s">
        <v>124</v>
      </c>
      <c r="O6" t="s">
        <v>124</v>
      </c>
      <c r="P6" s="66" t="s">
        <v>222</v>
      </c>
      <c r="Q6" t="s">
        <v>124</v>
      </c>
    </row>
    <row r="7" spans="1:17" x14ac:dyDescent="0.25">
      <c r="A7" t="s">
        <v>123</v>
      </c>
      <c r="B7">
        <v>0</v>
      </c>
      <c r="C7">
        <f>HLOOKUP(CBSoverlevtafel!$C$3,CBStafelMan!$B$5:$CW$106, MATCH($A7,CBStafelMan!$A$5:$A$106,0),FALSE)</f>
        <v>100000</v>
      </c>
      <c r="D7">
        <f>IF(C7 &lt;&gt;".",C7,)</f>
        <v>100000</v>
      </c>
      <c r="F7">
        <f>HLOOKUP(CBSoverlevtafel!$C$3,CBStafelVrouw!$B$5:$CW$106, MATCH($A7,CBStafelMan!$A$5:$A$106,0),FALSE)</f>
        <v>100000</v>
      </c>
      <c r="G7">
        <f>IF(F7 &lt;&gt;".",F7,)</f>
        <v>100000</v>
      </c>
      <c r="I7">
        <f t="shared" ref="I7:I38" si="0">AVERAGE(D7,G7)</f>
        <v>100000</v>
      </c>
      <c r="K7">
        <f>HLOOKUP(CBSoverlevtafel!$K$3,CBStafelMan!$B$5:$CW$106, MATCH($A7,CBStafelMan!$A$5:$A$106,0),FALSE)</f>
        <v>100000</v>
      </c>
      <c r="L7">
        <f>IF(K7 &lt;&gt;".",K7,)</f>
        <v>100000</v>
      </c>
      <c r="N7">
        <f>HLOOKUP(CBSoverlevtafel!$K$3,CBStafelVrouw!$B$5:$CW$106, MATCH($A7,CBStafelMan!$A$5:$A$106,0),FALSE)</f>
        <v>100000</v>
      </c>
      <c r="O7">
        <f>IF(N7 &lt;&gt;".",N7,)</f>
        <v>100000</v>
      </c>
      <c r="Q7">
        <f t="shared" ref="Q7:Q38" si="1">AVERAGE(L7,O7)</f>
        <v>100000</v>
      </c>
    </row>
    <row r="8" spans="1:17" x14ac:dyDescent="0.25">
      <c r="A8" t="s">
        <v>122</v>
      </c>
      <c r="B8">
        <v>1</v>
      </c>
      <c r="C8">
        <f>HLOOKUP(CBSoverlevtafel!$C$3,CBStafelMan!$B$5:$CW$106, MATCH($A8,CBStafelMan!$A$5:$A$106,0),FALSE)</f>
        <v>98533</v>
      </c>
      <c r="D8">
        <f t="shared" ref="D8:D71" si="2">IF(C8 &lt;&gt;".",C8,)</f>
        <v>98533</v>
      </c>
      <c r="E8" s="54" cm="1">
        <f t="array" ref="E8">IF($B8 &lt; 100, -LN(-1/LN(D8/D7)-1), TREND(E$97:E$106, $B$97:$B$106, $B8:$B8,TRUE))</f>
        <v>-4.1996814918589171</v>
      </c>
      <c r="F8">
        <f>HLOOKUP(CBSoverlevtafel!$C$3,CBStafelVrouw!$B$5:$CW$106, MATCH($A8,CBStafelMan!$A$5:$A$106,0),FALSE)</f>
        <v>98850</v>
      </c>
      <c r="G8">
        <f t="shared" ref="G8:G71" si="3">IF(F8 &lt;&gt;".",F8,)</f>
        <v>98850</v>
      </c>
      <c r="H8" s="54" cm="1">
        <f t="array" ref="H8">IF($B8 &lt; 100, -LN(-1/LN(G8/G7)-1), TREND(H$97:H$106, $B$97:$B$106, $B8:$B8,TRUE))</f>
        <v>-4.4479964496338766</v>
      </c>
      <c r="I8">
        <f t="shared" si="0"/>
        <v>98691.5</v>
      </c>
      <c r="K8">
        <f>HLOOKUP(CBSoverlevtafel!$K$3,CBStafelMan!$B$5:$CW$106, MATCH($A8,CBStafelMan!$A$5:$A$106,0),FALSE)</f>
        <v>98533</v>
      </c>
      <c r="L8">
        <f t="shared" ref="L8:L71" si="4">IF(K8 &lt;&gt;".",K8,)</f>
        <v>98533</v>
      </c>
      <c r="M8" s="54" cm="1">
        <f t="array" ref="M8">IF($B8 &lt; 100, -LN(-1/LN(L8/L7)-1), TREND(M$97:M$106, $B$97:$B$106, $B8:$B8,TRUE))</f>
        <v>-4.1996814918589171</v>
      </c>
      <c r="N8">
        <f>HLOOKUP(CBSoverlevtafel!$K$3,CBStafelVrouw!$B$5:$CW$106, MATCH($A8,CBStafelMan!$A$5:$A$106,0),FALSE)</f>
        <v>98850</v>
      </c>
      <c r="O8">
        <f t="shared" ref="O8:O71" si="5">IF(N8 &lt;&gt;".",N8,)</f>
        <v>98850</v>
      </c>
      <c r="P8" s="54" cm="1">
        <f t="array" ref="P8">IF($B8 &lt; 100, -LN(-1/LN(O8/O7)-1), TREND(P$97:P$106, $B$97:$B$106, $B8:$B8,TRUE))</f>
        <v>-4.4479964496338766</v>
      </c>
      <c r="Q8">
        <f t="shared" si="1"/>
        <v>98691.5</v>
      </c>
    </row>
    <row r="9" spans="1:17" x14ac:dyDescent="0.25">
      <c r="A9" t="s">
        <v>121</v>
      </c>
      <c r="B9">
        <v>2</v>
      </c>
      <c r="C9">
        <f>HLOOKUP(CBSoverlevtafel!$C$3,CBStafelMan!$B$5:$CW$106, MATCH($A9,CBStafelMan!$A$5:$A$106,0),FALSE)</f>
        <v>98264</v>
      </c>
      <c r="D9">
        <f t="shared" si="2"/>
        <v>98264</v>
      </c>
      <c r="E9" s="54" cm="1">
        <f t="array" ref="E9">IF($B9 &lt; 100, -LN(-1/LN(D9/D8)-1), TREND(E$97:E$106, $B$97:$B$106, $B9:$B9,TRUE))</f>
        <v>-5.8993313097994005</v>
      </c>
      <c r="F9">
        <f>HLOOKUP(CBSoverlevtafel!$C$3,CBStafelVrouw!$B$5:$CW$106, MATCH($A9,CBStafelMan!$A$5:$A$106,0),FALSE)</f>
        <v>98645</v>
      </c>
      <c r="G9">
        <f t="shared" si="3"/>
        <v>98645</v>
      </c>
      <c r="H9" s="54" cm="1">
        <f t="array" ref="H9">IF($B9 &lt; 100, -LN(-1/LN(G9/G8)-1), TREND(H$97:H$106, $B$97:$B$106, $B9:$B9,TRUE))</f>
        <v>-6.1752328671496981</v>
      </c>
      <c r="I9">
        <f t="shared" si="0"/>
        <v>98454.5</v>
      </c>
      <c r="K9">
        <f>HLOOKUP(CBSoverlevtafel!$K$3,CBStafelMan!$B$5:$CW$106, MATCH($A9,CBStafelMan!$A$5:$A$106,0),FALSE)</f>
        <v>98264</v>
      </c>
      <c r="L9">
        <f t="shared" si="4"/>
        <v>98264</v>
      </c>
      <c r="M9" s="54" cm="1">
        <f t="array" ref="M9">IF($B9 &lt; 100, -LN(-1/LN(L9/L8)-1), TREND(M$97:M$106, $B$97:$B$106, $B9:$B9,TRUE))</f>
        <v>-5.8993313097994005</v>
      </c>
      <c r="N9">
        <f>HLOOKUP(CBSoverlevtafel!$K$3,CBStafelVrouw!$B$5:$CW$106, MATCH($A9,CBStafelMan!$A$5:$A$106,0),FALSE)</f>
        <v>98645</v>
      </c>
      <c r="O9">
        <f t="shared" si="5"/>
        <v>98645</v>
      </c>
      <c r="P9" s="54" cm="1">
        <f t="array" ref="P9">IF($B9 &lt; 100, -LN(-1/LN(O9/O8)-1), TREND(P$97:P$106, $B$97:$B$106, $B9:$B9,TRUE))</f>
        <v>-6.1752328671496981</v>
      </c>
      <c r="Q9">
        <f t="shared" si="1"/>
        <v>98454.5</v>
      </c>
    </row>
    <row r="10" spans="1:17" x14ac:dyDescent="0.25">
      <c r="A10" t="s">
        <v>120</v>
      </c>
      <c r="B10">
        <v>3</v>
      </c>
      <c r="C10">
        <f>HLOOKUP(CBSoverlevtafel!$C$3,CBStafelMan!$B$5:$CW$106, MATCH($A10,CBStafelMan!$A$5:$A$106,0),FALSE)</f>
        <v>98142</v>
      </c>
      <c r="D10">
        <f t="shared" si="2"/>
        <v>98142</v>
      </c>
      <c r="E10" s="54" cm="1">
        <f t="array" ref="E10">IF($B10 &lt; 100, -LN(-1/LN(D10/D9)-1), TREND(E$97:E$106, $B$97:$B$106, $B10:$B10,TRUE))</f>
        <v>-6.6895277733692051</v>
      </c>
      <c r="F10">
        <f>HLOOKUP(CBSoverlevtafel!$C$3,CBStafelVrouw!$B$5:$CW$106, MATCH($A10,CBStafelMan!$A$5:$A$106,0),FALSE)</f>
        <v>98548</v>
      </c>
      <c r="G10">
        <f t="shared" si="3"/>
        <v>98548</v>
      </c>
      <c r="H10" s="54" cm="1">
        <f t="array" ref="H10">IF($B10 &lt; 100, -LN(-1/LN(G10/G9)-1), TREND(H$97:H$106, $B$97:$B$106, $B10:$B10,TRUE))</f>
        <v>-6.9230956917658775</v>
      </c>
      <c r="I10">
        <f t="shared" si="0"/>
        <v>98345</v>
      </c>
      <c r="K10">
        <f>HLOOKUP(CBSoverlevtafel!$K$3,CBStafelMan!$B$5:$CW$106, MATCH($A10,CBStafelMan!$A$5:$A$106,0),FALSE)</f>
        <v>98142</v>
      </c>
      <c r="L10">
        <f t="shared" si="4"/>
        <v>98142</v>
      </c>
      <c r="M10" s="54" cm="1">
        <f t="array" ref="M10">IF($B10 &lt; 100, -LN(-1/LN(L10/L9)-1), TREND(M$97:M$106, $B$97:$B$106, $B10:$B10,TRUE))</f>
        <v>-6.6895277733692051</v>
      </c>
      <c r="N10">
        <f>HLOOKUP(CBSoverlevtafel!$K$3,CBStafelVrouw!$B$5:$CW$106, MATCH($A10,CBStafelMan!$A$5:$A$106,0),FALSE)</f>
        <v>98548</v>
      </c>
      <c r="O10">
        <f t="shared" si="5"/>
        <v>98548</v>
      </c>
      <c r="P10" s="54" cm="1">
        <f t="array" ref="P10">IF($B10 &lt; 100, -LN(-1/LN(O10/O9)-1), TREND(P$97:P$106, $B$97:$B$106, $B10:$B10,TRUE))</f>
        <v>-6.9230956917658775</v>
      </c>
      <c r="Q10">
        <f t="shared" si="1"/>
        <v>98345</v>
      </c>
    </row>
    <row r="11" spans="1:17" x14ac:dyDescent="0.25">
      <c r="A11" t="s">
        <v>119</v>
      </c>
      <c r="B11">
        <v>4</v>
      </c>
      <c r="C11">
        <f>HLOOKUP(CBSoverlevtafel!$C$3,CBStafelMan!$B$5:$CW$106, MATCH($A11,CBStafelMan!$A$5:$A$106,0),FALSE)</f>
        <v>98041</v>
      </c>
      <c r="D11">
        <f t="shared" si="2"/>
        <v>98041</v>
      </c>
      <c r="E11" s="54" cm="1">
        <f t="array" ref="E11">IF($B11 &lt; 100, -LN(-1/LN(D11/D10)-1), TREND(E$97:E$106, $B$97:$B$106, $B11:$B11,TRUE))</f>
        <v>-6.8775052088976256</v>
      </c>
      <c r="F11">
        <f>HLOOKUP(CBSoverlevtafel!$C$3,CBStafelVrouw!$B$5:$CW$106, MATCH($A11,CBStafelMan!$A$5:$A$106,0),FALSE)</f>
        <v>98485</v>
      </c>
      <c r="G11">
        <f t="shared" si="3"/>
        <v>98485</v>
      </c>
      <c r="H11" s="54" cm="1">
        <f t="array" ref="H11">IF($B11 &lt; 100, -LN(-1/LN(G11/G10)-1), TREND(H$97:H$106, $B$97:$B$106, $B11:$B11,TRUE))</f>
        <v>-7.3542048739846191</v>
      </c>
      <c r="I11">
        <f t="shared" si="0"/>
        <v>98263</v>
      </c>
      <c r="K11">
        <f>HLOOKUP(CBSoverlevtafel!$K$3,CBStafelMan!$B$5:$CW$106, MATCH($A11,CBStafelMan!$A$5:$A$106,0),FALSE)</f>
        <v>98041</v>
      </c>
      <c r="L11">
        <f t="shared" si="4"/>
        <v>98041</v>
      </c>
      <c r="M11" s="54" cm="1">
        <f t="array" ref="M11">IF($B11 &lt; 100, -LN(-1/LN(L11/L10)-1), TREND(M$97:M$106, $B$97:$B$106, $B11:$B11,TRUE))</f>
        <v>-6.8775052088976256</v>
      </c>
      <c r="N11">
        <f>HLOOKUP(CBSoverlevtafel!$K$3,CBStafelVrouw!$B$5:$CW$106, MATCH($A11,CBStafelMan!$A$5:$A$106,0),FALSE)</f>
        <v>98485</v>
      </c>
      <c r="O11">
        <f t="shared" si="5"/>
        <v>98485</v>
      </c>
      <c r="P11" s="54" cm="1">
        <f t="array" ref="P11">IF($B11 &lt; 100, -LN(-1/LN(O11/O10)-1), TREND(P$97:P$106, $B$97:$B$106, $B11:$B11,TRUE))</f>
        <v>-7.3542048739846191</v>
      </c>
      <c r="Q11">
        <f t="shared" si="1"/>
        <v>98263</v>
      </c>
    </row>
    <row r="12" spans="1:17" x14ac:dyDescent="0.25">
      <c r="A12" t="s">
        <v>118</v>
      </c>
      <c r="B12">
        <v>5</v>
      </c>
      <c r="C12">
        <f>HLOOKUP(CBSoverlevtafel!$C$3,CBStafelMan!$B$5:$CW$106, MATCH($A12,CBStafelMan!$A$5:$A$106,0),FALSE)</f>
        <v>97972</v>
      </c>
      <c r="D12">
        <f t="shared" si="2"/>
        <v>97972</v>
      </c>
      <c r="E12" s="54" cm="1">
        <f t="array" ref="E12">IF($B12 &lt; 100, -LN(-1/LN(D12/D11)-1), TREND(E$97:E$106, $B$97:$B$106, $B12:$B12,TRUE))</f>
        <v>-7.2579782531665948</v>
      </c>
      <c r="F12">
        <f>HLOOKUP(CBSoverlevtafel!$C$3,CBStafelVrouw!$B$5:$CW$106, MATCH($A12,CBStafelMan!$A$5:$A$106,0),FALSE)</f>
        <v>98438</v>
      </c>
      <c r="G12">
        <f t="shared" si="3"/>
        <v>98438</v>
      </c>
      <c r="H12" s="54" cm="1">
        <f t="array" ref="H12">IF($B12 &lt; 100, -LN(-1/LN(G12/G11)-1), TREND(H$97:H$106, $B$97:$B$106, $B12:$B12,TRUE))</f>
        <v>-7.6467958092005341</v>
      </c>
      <c r="I12">
        <f t="shared" si="0"/>
        <v>98205</v>
      </c>
      <c r="K12">
        <f>HLOOKUP(CBSoverlevtafel!$K$3,CBStafelMan!$B$5:$CW$106, MATCH($A12,CBStafelMan!$A$5:$A$106,0),FALSE)</f>
        <v>97972</v>
      </c>
      <c r="L12">
        <f t="shared" si="4"/>
        <v>97972</v>
      </c>
      <c r="M12" s="54" cm="1">
        <f t="array" ref="M12">IF($B12 &lt; 100, -LN(-1/LN(L12/L11)-1), TREND(M$97:M$106, $B$97:$B$106, $B12:$B12,TRUE))</f>
        <v>-7.2579782531665948</v>
      </c>
      <c r="N12">
        <f>HLOOKUP(CBSoverlevtafel!$K$3,CBStafelVrouw!$B$5:$CW$106, MATCH($A12,CBStafelMan!$A$5:$A$106,0),FALSE)</f>
        <v>98438</v>
      </c>
      <c r="O12">
        <f t="shared" si="5"/>
        <v>98438</v>
      </c>
      <c r="P12" s="54" cm="1">
        <f t="array" ref="P12">IF($B12 &lt; 100, -LN(-1/LN(O12/O11)-1), TREND(P$97:P$106, $B$97:$B$106, $B12:$B12,TRUE))</f>
        <v>-7.6467958092005341</v>
      </c>
      <c r="Q12">
        <f t="shared" si="1"/>
        <v>98205</v>
      </c>
    </row>
    <row r="13" spans="1:17" x14ac:dyDescent="0.25">
      <c r="A13" t="s">
        <v>117</v>
      </c>
      <c r="B13">
        <v>6</v>
      </c>
      <c r="C13">
        <f>HLOOKUP(CBSoverlevtafel!$C$3,CBStafelMan!$B$5:$CW$106, MATCH($A13,CBStafelMan!$A$5:$A$106,0),FALSE)</f>
        <v>97902</v>
      </c>
      <c r="D13">
        <f t="shared" si="2"/>
        <v>97902</v>
      </c>
      <c r="E13" s="54" cm="1">
        <f t="array" ref="E13">IF($B13 &lt; 100, -LN(-1/LN(D13/D12)-1), TREND(E$97:E$106, $B$97:$B$106, $B13:$B13,TRUE))</f>
        <v>-7.2428694083916314</v>
      </c>
      <c r="F13">
        <f>HLOOKUP(CBSoverlevtafel!$C$3,CBStafelVrouw!$B$5:$CW$106, MATCH($A13,CBStafelMan!$A$5:$A$106,0),FALSE)</f>
        <v>98394</v>
      </c>
      <c r="G13">
        <f t="shared" si="3"/>
        <v>98394</v>
      </c>
      <c r="H13" s="54" cm="1">
        <f t="array" ref="H13">IF($B13 &lt; 100, -LN(-1/LN(G13/G12)-1), TREND(H$97:H$106, $B$97:$B$106, $B13:$B13,TRUE))</f>
        <v>-7.7123218391194452</v>
      </c>
      <c r="I13">
        <f t="shared" si="0"/>
        <v>98148</v>
      </c>
      <c r="K13">
        <f>HLOOKUP(CBSoverlevtafel!$K$3,CBStafelMan!$B$5:$CW$106, MATCH($A13,CBStafelMan!$A$5:$A$106,0),FALSE)</f>
        <v>97902</v>
      </c>
      <c r="L13">
        <f t="shared" si="4"/>
        <v>97902</v>
      </c>
      <c r="M13" s="54" cm="1">
        <f t="array" ref="M13">IF($B13 &lt; 100, -LN(-1/LN(L13/L12)-1), TREND(M$97:M$106, $B$97:$B$106, $B13:$B13,TRUE))</f>
        <v>-7.2428694083916314</v>
      </c>
      <c r="N13">
        <f>HLOOKUP(CBSoverlevtafel!$K$3,CBStafelVrouw!$B$5:$CW$106, MATCH($A13,CBStafelMan!$A$5:$A$106,0),FALSE)</f>
        <v>98394</v>
      </c>
      <c r="O13">
        <f t="shared" si="5"/>
        <v>98394</v>
      </c>
      <c r="P13" s="54" cm="1">
        <f t="array" ref="P13">IF($B13 &lt; 100, -LN(-1/LN(O13/O12)-1), TREND(P$97:P$106, $B$97:$B$106, $B13:$B13,TRUE))</f>
        <v>-7.7123218391194452</v>
      </c>
      <c r="Q13">
        <f t="shared" si="1"/>
        <v>98148</v>
      </c>
    </row>
    <row r="14" spans="1:17" x14ac:dyDescent="0.25">
      <c r="A14" t="s">
        <v>116</v>
      </c>
      <c r="B14">
        <v>7</v>
      </c>
      <c r="C14">
        <f>HLOOKUP(CBSoverlevtafel!$C$3,CBStafelMan!$B$5:$CW$106, MATCH($A14,CBStafelMan!$A$5:$A$106,0),FALSE)</f>
        <v>97839</v>
      </c>
      <c r="D14">
        <f t="shared" si="2"/>
        <v>97839</v>
      </c>
      <c r="E14" s="54" cm="1">
        <f t="array" ref="E14">IF($B14 &lt; 100, -LN(-1/LN(D14/D13)-1), TREND(E$97:E$106, $B$97:$B$106, $B14:$B14,TRUE))</f>
        <v>-7.3476217792554772</v>
      </c>
      <c r="F14">
        <f>HLOOKUP(CBSoverlevtafel!$C$3,CBStafelVrouw!$B$5:$CW$106, MATCH($A14,CBStafelMan!$A$5:$A$106,0),FALSE)</f>
        <v>98353</v>
      </c>
      <c r="G14">
        <f t="shared" si="3"/>
        <v>98353</v>
      </c>
      <c r="H14" s="54" cm="1">
        <f t="array" ref="H14">IF($B14 &lt; 100, -LN(-1/LN(G14/G13)-1), TREND(H$97:H$106, $B$97:$B$106, $B14:$B14,TRUE))</f>
        <v>-7.7825377908560656</v>
      </c>
      <c r="I14">
        <f t="shared" si="0"/>
        <v>98096</v>
      </c>
      <c r="K14">
        <f>HLOOKUP(CBSoverlevtafel!$K$3,CBStafelMan!$B$5:$CW$106, MATCH($A14,CBStafelMan!$A$5:$A$106,0),FALSE)</f>
        <v>97839</v>
      </c>
      <c r="L14">
        <f t="shared" si="4"/>
        <v>97839</v>
      </c>
      <c r="M14" s="54" cm="1">
        <f t="array" ref="M14">IF($B14 &lt; 100, -LN(-1/LN(L14/L13)-1), TREND(M$97:M$106, $B$97:$B$106, $B14:$B14,TRUE))</f>
        <v>-7.3476217792554772</v>
      </c>
      <c r="N14">
        <f>HLOOKUP(CBSoverlevtafel!$K$3,CBStafelVrouw!$B$5:$CW$106, MATCH($A14,CBStafelMan!$A$5:$A$106,0),FALSE)</f>
        <v>98353</v>
      </c>
      <c r="O14">
        <f t="shared" si="5"/>
        <v>98353</v>
      </c>
      <c r="P14" s="54" cm="1">
        <f t="array" ref="P14">IF($B14 &lt; 100, -LN(-1/LN(O14/O13)-1), TREND(P$97:P$106, $B$97:$B$106, $B14:$B14,TRUE))</f>
        <v>-7.7825377908560656</v>
      </c>
      <c r="Q14">
        <f t="shared" si="1"/>
        <v>98096</v>
      </c>
    </row>
    <row r="15" spans="1:17" x14ac:dyDescent="0.25">
      <c r="A15" t="s">
        <v>115</v>
      </c>
      <c r="B15">
        <v>8</v>
      </c>
      <c r="C15">
        <f>HLOOKUP(CBSoverlevtafel!$C$3,CBStafelMan!$B$5:$CW$106, MATCH($A15,CBStafelMan!$A$5:$A$106,0),FALSE)</f>
        <v>97787</v>
      </c>
      <c r="D15">
        <f t="shared" si="2"/>
        <v>97787</v>
      </c>
      <c r="E15" s="54" cm="1">
        <f t="array" ref="E15">IF($B15 &lt; 100, -LN(-1/LN(D15/D14)-1), TREND(E$97:E$106, $B$97:$B$106, $B15:$B15,TRUE))</f>
        <v>-7.5390372613395611</v>
      </c>
      <c r="F15">
        <f>HLOOKUP(CBSoverlevtafel!$C$3,CBStafelVrouw!$B$5:$CW$106, MATCH($A15,CBStafelMan!$A$5:$A$106,0),FALSE)</f>
        <v>98317</v>
      </c>
      <c r="G15">
        <f t="shared" si="3"/>
        <v>98317</v>
      </c>
      <c r="H15" s="54" cm="1">
        <f t="array" ref="H15">IF($B15 &lt; 100, -LN(-1/LN(G15/G14)-1), TREND(H$97:H$106, $B$97:$B$106, $B15:$B15,TRUE))</f>
        <v>-7.9122501835145176</v>
      </c>
      <c r="I15">
        <f t="shared" si="0"/>
        <v>98052</v>
      </c>
      <c r="K15">
        <f>HLOOKUP(CBSoverlevtafel!$K$3,CBStafelMan!$B$5:$CW$106, MATCH($A15,CBStafelMan!$A$5:$A$106,0),FALSE)</f>
        <v>97787</v>
      </c>
      <c r="L15">
        <f t="shared" si="4"/>
        <v>97787</v>
      </c>
      <c r="M15" s="54" cm="1">
        <f t="array" ref="M15">IF($B15 &lt; 100, -LN(-1/LN(L15/L14)-1), TREND(M$97:M$106, $B$97:$B$106, $B15:$B15,TRUE))</f>
        <v>-7.5390372613395611</v>
      </c>
      <c r="N15">
        <f>HLOOKUP(CBSoverlevtafel!$K$3,CBStafelVrouw!$B$5:$CW$106, MATCH($A15,CBStafelMan!$A$5:$A$106,0),FALSE)</f>
        <v>98317</v>
      </c>
      <c r="O15">
        <f t="shared" si="5"/>
        <v>98317</v>
      </c>
      <c r="P15" s="54" cm="1">
        <f t="array" ref="P15">IF($B15 &lt; 100, -LN(-1/LN(O15/O14)-1), TREND(P$97:P$106, $B$97:$B$106, $B15:$B15,TRUE))</f>
        <v>-7.9122501835145176</v>
      </c>
      <c r="Q15">
        <f t="shared" si="1"/>
        <v>98052</v>
      </c>
    </row>
    <row r="16" spans="1:17" x14ac:dyDescent="0.25">
      <c r="A16" t="s">
        <v>114</v>
      </c>
      <c r="B16">
        <v>9</v>
      </c>
      <c r="C16">
        <f>HLOOKUP(CBSoverlevtafel!$C$3,CBStafelMan!$B$5:$CW$106, MATCH($A16,CBStafelMan!$A$5:$A$106,0),FALSE)</f>
        <v>97735</v>
      </c>
      <c r="D16">
        <f t="shared" si="2"/>
        <v>97735</v>
      </c>
      <c r="E16" s="54" cm="1">
        <f t="array" ref="E16">IF($B16 &lt; 100, -LN(-1/LN(D16/D15)-1), TREND(E$97:E$106, $B$97:$B$106, $B16:$B16,TRUE))</f>
        <v>-7.5385052103478092</v>
      </c>
      <c r="F16">
        <f>HLOOKUP(CBSoverlevtafel!$C$3,CBStafelVrouw!$B$5:$CW$106, MATCH($A16,CBStafelMan!$A$5:$A$106,0),FALSE)</f>
        <v>98285</v>
      </c>
      <c r="G16">
        <f t="shared" si="3"/>
        <v>98285</v>
      </c>
      <c r="H16" s="54" cm="1">
        <f t="array" ref="H16">IF($B16 &lt; 100, -LN(-1/LN(G16/G15)-1), TREND(H$97:H$106, $B$97:$B$106, $B16:$B16,TRUE))</f>
        <v>-8.0297279836255218</v>
      </c>
      <c r="I16">
        <f t="shared" si="0"/>
        <v>98010</v>
      </c>
      <c r="K16">
        <f>HLOOKUP(CBSoverlevtafel!$K$3,CBStafelMan!$B$5:$CW$106, MATCH($A16,CBStafelMan!$A$5:$A$106,0),FALSE)</f>
        <v>97735</v>
      </c>
      <c r="L16">
        <f t="shared" si="4"/>
        <v>97735</v>
      </c>
      <c r="M16" s="54" cm="1">
        <f t="array" ref="M16">IF($B16 &lt; 100, -LN(-1/LN(L16/L15)-1), TREND(M$97:M$106, $B$97:$B$106, $B16:$B16,TRUE))</f>
        <v>-7.5385052103478092</v>
      </c>
      <c r="N16">
        <f>HLOOKUP(CBSoverlevtafel!$K$3,CBStafelVrouw!$B$5:$CW$106, MATCH($A16,CBStafelMan!$A$5:$A$106,0),FALSE)</f>
        <v>98285</v>
      </c>
      <c r="O16">
        <f t="shared" si="5"/>
        <v>98285</v>
      </c>
      <c r="P16" s="54" cm="1">
        <f t="array" ref="P16">IF($B16 &lt; 100, -LN(-1/LN(O16/O15)-1), TREND(P$97:P$106, $B$97:$B$106, $B16:$B16,TRUE))</f>
        <v>-8.0297279836255218</v>
      </c>
      <c r="Q16">
        <f t="shared" si="1"/>
        <v>98010</v>
      </c>
    </row>
    <row r="17" spans="1:17" x14ac:dyDescent="0.25">
      <c r="A17" t="s">
        <v>113</v>
      </c>
      <c r="B17">
        <v>10</v>
      </c>
      <c r="C17">
        <f>HLOOKUP(CBSoverlevtafel!$C$3,CBStafelMan!$B$5:$CW$106, MATCH($A17,CBStafelMan!$A$5:$A$106,0),FALSE)</f>
        <v>97697</v>
      </c>
      <c r="D17">
        <f t="shared" si="2"/>
        <v>97697</v>
      </c>
      <c r="E17" s="54" cm="1">
        <f t="array" ref="E17">IF($B17 &lt; 100, -LN(-1/LN(D17/D16)-1), TREND(E$97:E$106, $B$97:$B$106, $B17:$B17,TRUE))</f>
        <v>-7.8518454612207709</v>
      </c>
      <c r="F17">
        <f>HLOOKUP(CBSoverlevtafel!$C$3,CBStafelVrouw!$B$5:$CW$106, MATCH($A17,CBStafelMan!$A$5:$A$106,0),FALSE)</f>
        <v>98260</v>
      </c>
      <c r="G17">
        <f t="shared" si="3"/>
        <v>98260</v>
      </c>
      <c r="H17" s="54" cm="1">
        <f t="array" ref="H17">IF($B17 &lt; 100, -LN(-1/LN(G17/G16)-1), TREND(H$97:H$106, $B$97:$B$106, $B17:$B17,TRUE))</f>
        <v>-8.2763692538525824</v>
      </c>
      <c r="I17">
        <f t="shared" si="0"/>
        <v>97978.5</v>
      </c>
      <c r="K17">
        <f>HLOOKUP(CBSoverlevtafel!$K$3,CBStafelMan!$B$5:$CW$106, MATCH($A17,CBStafelMan!$A$5:$A$106,0),FALSE)</f>
        <v>97697</v>
      </c>
      <c r="L17">
        <f t="shared" si="4"/>
        <v>97697</v>
      </c>
      <c r="M17" s="54" cm="1">
        <f t="array" ref="M17">IF($B17 &lt; 100, -LN(-1/LN(L17/L16)-1), TREND(M$97:M$106, $B$97:$B$106, $B17:$B17,TRUE))</f>
        <v>-7.8518454612207709</v>
      </c>
      <c r="N17">
        <f>HLOOKUP(CBSoverlevtafel!$K$3,CBStafelVrouw!$B$5:$CW$106, MATCH($A17,CBStafelMan!$A$5:$A$106,0),FALSE)</f>
        <v>98260</v>
      </c>
      <c r="O17">
        <f t="shared" si="5"/>
        <v>98260</v>
      </c>
      <c r="P17" s="54" cm="1">
        <f t="array" ref="P17">IF($B17 &lt; 100, -LN(-1/LN(O17/O16)-1), TREND(P$97:P$106, $B$97:$B$106, $B17:$B17,TRUE))</f>
        <v>-8.2763692538525824</v>
      </c>
      <c r="Q17">
        <f t="shared" si="1"/>
        <v>97978.5</v>
      </c>
    </row>
    <row r="18" spans="1:17" x14ac:dyDescent="0.25">
      <c r="A18" t="s">
        <v>112</v>
      </c>
      <c r="B18">
        <v>11</v>
      </c>
      <c r="C18">
        <f>HLOOKUP(CBSoverlevtafel!$C$3,CBStafelMan!$B$5:$CW$106, MATCH($A18,CBStafelMan!$A$5:$A$106,0),FALSE)</f>
        <v>97665</v>
      </c>
      <c r="D18">
        <f t="shared" si="2"/>
        <v>97665</v>
      </c>
      <c r="E18" s="54" cm="1">
        <f t="array" ref="E18">IF($B18 &lt; 100, -LN(-1/LN(D18/D17)-1), TREND(E$97:E$106, $B$97:$B$106, $B18:$B18,TRUE))</f>
        <v>-8.023398783850892</v>
      </c>
      <c r="F18">
        <f>HLOOKUP(CBSoverlevtafel!$C$3,CBStafelVrouw!$B$5:$CW$106, MATCH($A18,CBStafelMan!$A$5:$A$106,0),FALSE)</f>
        <v>98238</v>
      </c>
      <c r="G18">
        <f t="shared" si="3"/>
        <v>98238</v>
      </c>
      <c r="H18" s="54" cm="1">
        <f t="array" ref="H18">IF($B18 &lt; 100, -LN(-1/LN(G18/G17)-1), TREND(H$97:H$106, $B$97:$B$106, $B18:$B18,TRUE))</f>
        <v>-8.403993948096959</v>
      </c>
      <c r="I18">
        <f t="shared" si="0"/>
        <v>97951.5</v>
      </c>
      <c r="K18">
        <f>HLOOKUP(CBSoverlevtafel!$K$3,CBStafelMan!$B$5:$CW$106, MATCH($A18,CBStafelMan!$A$5:$A$106,0),FALSE)</f>
        <v>97665</v>
      </c>
      <c r="L18">
        <f t="shared" si="4"/>
        <v>97665</v>
      </c>
      <c r="M18" s="54" cm="1">
        <f t="array" ref="M18">IF($B18 &lt; 100, -LN(-1/LN(L18/L17)-1), TREND(M$97:M$106, $B$97:$B$106, $B18:$B18,TRUE))</f>
        <v>-8.023398783850892</v>
      </c>
      <c r="N18">
        <f>HLOOKUP(CBSoverlevtafel!$K$3,CBStafelVrouw!$B$5:$CW$106, MATCH($A18,CBStafelMan!$A$5:$A$106,0),FALSE)</f>
        <v>98238</v>
      </c>
      <c r="O18">
        <f t="shared" si="5"/>
        <v>98238</v>
      </c>
      <c r="P18" s="54" cm="1">
        <f t="array" ref="P18">IF($B18 &lt; 100, -LN(-1/LN(O18/O17)-1), TREND(P$97:P$106, $B$97:$B$106, $B18:$B18,TRUE))</f>
        <v>-8.403993948096959</v>
      </c>
      <c r="Q18">
        <f t="shared" si="1"/>
        <v>97951.5</v>
      </c>
    </row>
    <row r="19" spans="1:17" x14ac:dyDescent="0.25">
      <c r="A19" t="s">
        <v>111</v>
      </c>
      <c r="B19">
        <v>12</v>
      </c>
      <c r="C19">
        <f>HLOOKUP(CBSoverlevtafel!$C$3,CBStafelMan!$B$5:$CW$106, MATCH($A19,CBStafelMan!$A$5:$A$106,0),FALSE)</f>
        <v>97637</v>
      </c>
      <c r="D19">
        <f t="shared" si="2"/>
        <v>97637</v>
      </c>
      <c r="E19" s="54" cm="1">
        <f t="array" ref="E19">IF($B19 &lt; 100, -LN(-1/LN(D19/D18)-1), TREND(E$97:E$106, $B$97:$B$106, $B19:$B19,TRUE))</f>
        <v>-8.1566638833477949</v>
      </c>
      <c r="F19">
        <f>HLOOKUP(CBSoverlevtafel!$C$3,CBStafelVrouw!$B$5:$CW$106, MATCH($A19,CBStafelMan!$A$5:$A$106,0),FALSE)</f>
        <v>98221</v>
      </c>
      <c r="G19">
        <f t="shared" si="3"/>
        <v>98221</v>
      </c>
      <c r="H19" s="54" cm="1">
        <f t="array" ref="H19">IF($B19 &lt; 100, -LN(-1/LN(G19/G18)-1), TREND(H$97:H$106, $B$97:$B$106, $B19:$B19,TRUE))</f>
        <v>-8.6616754309317407</v>
      </c>
      <c r="I19">
        <f t="shared" si="0"/>
        <v>97929</v>
      </c>
      <c r="K19">
        <f>HLOOKUP(CBSoverlevtafel!$K$3,CBStafelMan!$B$5:$CW$106, MATCH($A19,CBStafelMan!$A$5:$A$106,0),FALSE)</f>
        <v>97637</v>
      </c>
      <c r="L19">
        <f t="shared" si="4"/>
        <v>97637</v>
      </c>
      <c r="M19" s="54" cm="1">
        <f t="array" ref="M19">IF($B19 &lt; 100, -LN(-1/LN(L19/L18)-1), TREND(M$97:M$106, $B$97:$B$106, $B19:$B19,TRUE))</f>
        <v>-8.1566638833477949</v>
      </c>
      <c r="N19">
        <f>HLOOKUP(CBSoverlevtafel!$K$3,CBStafelVrouw!$B$5:$CW$106, MATCH($A19,CBStafelMan!$A$5:$A$106,0),FALSE)</f>
        <v>98221</v>
      </c>
      <c r="O19">
        <f t="shared" si="5"/>
        <v>98221</v>
      </c>
      <c r="P19" s="54" cm="1">
        <f t="array" ref="P19">IF($B19 &lt; 100, -LN(-1/LN(O19/O18)-1), TREND(P$97:P$106, $B$97:$B$106, $B19:$B19,TRUE))</f>
        <v>-8.6616754309317407</v>
      </c>
      <c r="Q19">
        <f t="shared" si="1"/>
        <v>97929</v>
      </c>
    </row>
    <row r="20" spans="1:17" x14ac:dyDescent="0.25">
      <c r="A20" t="s">
        <v>110</v>
      </c>
      <c r="B20">
        <v>13</v>
      </c>
      <c r="C20">
        <f>HLOOKUP(CBSoverlevtafel!$C$3,CBStafelMan!$B$5:$CW$106, MATCH($A20,CBStafelMan!$A$5:$A$106,0),FALSE)</f>
        <v>97610</v>
      </c>
      <c r="D20">
        <f t="shared" si="2"/>
        <v>97610</v>
      </c>
      <c r="E20" s="54" cm="1">
        <f t="array" ref="E20">IF($B20 &lt; 100, -LN(-1/LN(D20/D19)-1), TREND(E$97:E$106, $B$97:$B$106, $B20:$B20,TRUE))</f>
        <v>-8.1927600387219695</v>
      </c>
      <c r="F20">
        <f>HLOOKUP(CBSoverlevtafel!$C$3,CBStafelVrouw!$B$5:$CW$106, MATCH($A20,CBStafelMan!$A$5:$A$106,0),FALSE)</f>
        <v>98196</v>
      </c>
      <c r="G20">
        <f t="shared" si="3"/>
        <v>98196</v>
      </c>
      <c r="H20" s="54" cm="1">
        <f t="array" ref="H20">IF($B20 &lt; 100, -LN(-1/LN(G20/G19)-1), TREND(H$97:H$106, $B$97:$B$106, $B20:$B20,TRUE))</f>
        <v>-8.2757176255153571</v>
      </c>
      <c r="I20">
        <f t="shared" si="0"/>
        <v>97903</v>
      </c>
      <c r="K20">
        <f>HLOOKUP(CBSoverlevtafel!$K$3,CBStafelMan!$B$5:$CW$106, MATCH($A20,CBStafelMan!$A$5:$A$106,0),FALSE)</f>
        <v>97610</v>
      </c>
      <c r="L20">
        <f t="shared" si="4"/>
        <v>97610</v>
      </c>
      <c r="M20" s="54" cm="1">
        <f t="array" ref="M20">IF($B20 &lt; 100, -LN(-1/LN(L20/L19)-1), TREND(M$97:M$106, $B$97:$B$106, $B20:$B20,TRUE))</f>
        <v>-8.1927600387219695</v>
      </c>
      <c r="N20">
        <f>HLOOKUP(CBSoverlevtafel!$K$3,CBStafelVrouw!$B$5:$CW$106, MATCH($A20,CBStafelMan!$A$5:$A$106,0),FALSE)</f>
        <v>98196</v>
      </c>
      <c r="O20">
        <f t="shared" si="5"/>
        <v>98196</v>
      </c>
      <c r="P20" s="54" cm="1">
        <f t="array" ref="P20">IF($B20 &lt; 100, -LN(-1/LN(O20/O19)-1), TREND(P$97:P$106, $B$97:$B$106, $B20:$B20,TRUE))</f>
        <v>-8.2757176255153571</v>
      </c>
      <c r="Q20">
        <f t="shared" si="1"/>
        <v>97903</v>
      </c>
    </row>
    <row r="21" spans="1:17" x14ac:dyDescent="0.25">
      <c r="A21" t="s">
        <v>109</v>
      </c>
      <c r="B21">
        <v>14</v>
      </c>
      <c r="C21">
        <f>HLOOKUP(CBSoverlevtafel!$C$3,CBStafelMan!$B$5:$CW$106, MATCH($A21,CBStafelMan!$A$5:$A$106,0),FALSE)</f>
        <v>97570</v>
      </c>
      <c r="D21">
        <f t="shared" si="2"/>
        <v>97570</v>
      </c>
      <c r="E21" s="54" cm="1">
        <f t="array" ref="E21">IF($B21 &lt; 100, -LN(-1/LN(D21/D20)-1), TREND(E$97:E$106, $B$97:$B$106, $B21:$B21,TRUE))</f>
        <v>-7.799240877931684</v>
      </c>
      <c r="F21">
        <f>HLOOKUP(CBSoverlevtafel!$C$3,CBStafelVrouw!$B$5:$CW$106, MATCH($A21,CBStafelMan!$A$5:$A$106,0),FALSE)</f>
        <v>98169</v>
      </c>
      <c r="G21">
        <f t="shared" si="3"/>
        <v>98169</v>
      </c>
      <c r="H21" s="54" cm="1">
        <f t="array" ref="H21">IF($B21 &lt; 100, -LN(-1/LN(G21/G20)-1), TREND(H$97:H$106, $B$97:$B$106, $B21:$B21,TRUE))</f>
        <v>-8.1984713625051491</v>
      </c>
      <c r="I21">
        <f t="shared" si="0"/>
        <v>97869.5</v>
      </c>
      <c r="K21">
        <f>HLOOKUP(CBSoverlevtafel!$K$3,CBStafelMan!$B$5:$CW$106, MATCH($A21,CBStafelMan!$A$5:$A$106,0),FALSE)</f>
        <v>97570</v>
      </c>
      <c r="L21">
        <f t="shared" si="4"/>
        <v>97570</v>
      </c>
      <c r="M21" s="54" cm="1">
        <f t="array" ref="M21">IF($B21 &lt; 100, -LN(-1/LN(L21/L20)-1), TREND(M$97:M$106, $B$97:$B$106, $B21:$B21,TRUE))</f>
        <v>-7.799240877931684</v>
      </c>
      <c r="N21">
        <f>HLOOKUP(CBSoverlevtafel!$K$3,CBStafelVrouw!$B$5:$CW$106, MATCH($A21,CBStafelMan!$A$5:$A$106,0),FALSE)</f>
        <v>98169</v>
      </c>
      <c r="O21">
        <f t="shared" si="5"/>
        <v>98169</v>
      </c>
      <c r="P21" s="54" cm="1">
        <f t="array" ref="P21">IF($B21 &lt; 100, -LN(-1/LN(O21/O20)-1), TREND(P$97:P$106, $B$97:$B$106, $B21:$B21,TRUE))</f>
        <v>-8.1984713625051491</v>
      </c>
      <c r="Q21">
        <f t="shared" si="1"/>
        <v>97869.5</v>
      </c>
    </row>
    <row r="22" spans="1:17" x14ac:dyDescent="0.25">
      <c r="A22" t="s">
        <v>108</v>
      </c>
      <c r="B22">
        <v>15</v>
      </c>
      <c r="C22">
        <f>HLOOKUP(CBSoverlevtafel!$C$3,CBStafelMan!$B$5:$CW$106, MATCH($A22,CBStafelMan!$A$5:$A$106,0),FALSE)</f>
        <v>97544</v>
      </c>
      <c r="D22">
        <f t="shared" si="2"/>
        <v>97544</v>
      </c>
      <c r="E22" s="54" cm="1">
        <f t="array" ref="E22">IF($B22 &lt; 100, -LN(-1/LN(D22/D21)-1), TREND(E$97:E$106, $B$97:$B$106, $B22:$B22,TRUE))</f>
        <v>-8.229829011226645</v>
      </c>
      <c r="F22">
        <f>HLOOKUP(CBSoverlevtafel!$C$3,CBStafelVrouw!$B$5:$CW$106, MATCH($A22,CBStafelMan!$A$5:$A$106,0),FALSE)</f>
        <v>98145</v>
      </c>
      <c r="G22">
        <f t="shared" si="3"/>
        <v>98145</v>
      </c>
      <c r="H22" s="54" cm="1">
        <f t="array" ref="H22">IF($B22 &lt; 100, -LN(-1/LN(G22/G21)-1), TREND(H$97:H$106, $B$97:$B$106, $B22:$B22,TRUE))</f>
        <v>-8.3160251450928087</v>
      </c>
      <c r="I22">
        <f t="shared" si="0"/>
        <v>97844.5</v>
      </c>
      <c r="K22">
        <f>HLOOKUP(CBSoverlevtafel!$K$3,CBStafelMan!$B$5:$CW$106, MATCH($A22,CBStafelMan!$A$5:$A$106,0),FALSE)</f>
        <v>97544</v>
      </c>
      <c r="L22">
        <f t="shared" si="4"/>
        <v>97544</v>
      </c>
      <c r="M22" s="54" cm="1">
        <f t="array" ref="M22">IF($B22 &lt; 100, -LN(-1/LN(L22/L21)-1), TREND(M$97:M$106, $B$97:$B$106, $B22:$B22,TRUE))</f>
        <v>-8.229829011226645</v>
      </c>
      <c r="N22">
        <f>HLOOKUP(CBSoverlevtafel!$K$3,CBStafelVrouw!$B$5:$CW$106, MATCH($A22,CBStafelMan!$A$5:$A$106,0),FALSE)</f>
        <v>98145</v>
      </c>
      <c r="O22">
        <f t="shared" si="5"/>
        <v>98145</v>
      </c>
      <c r="P22" s="54" cm="1">
        <f t="array" ref="P22">IF($B22 &lt; 100, -LN(-1/LN(O22/O21)-1), TREND(P$97:P$106, $B$97:$B$106, $B22:$B22,TRUE))</f>
        <v>-8.3160251450928087</v>
      </c>
      <c r="Q22">
        <f t="shared" si="1"/>
        <v>97844.5</v>
      </c>
    </row>
    <row r="23" spans="1:17" x14ac:dyDescent="0.25">
      <c r="A23" t="s">
        <v>107</v>
      </c>
      <c r="B23">
        <v>16</v>
      </c>
      <c r="C23">
        <f>HLOOKUP(CBSoverlevtafel!$C$3,CBStafelMan!$B$5:$CW$106, MATCH($A23,CBStafelMan!$A$5:$A$106,0),FALSE)</f>
        <v>97516</v>
      </c>
      <c r="D23">
        <f t="shared" si="2"/>
        <v>97516</v>
      </c>
      <c r="E23" s="54" cm="1">
        <f t="array" ref="E23">IF($B23 &lt; 100, -LN(-1/LN(D23/D22)-1), TREND(E$97:E$106, $B$97:$B$106, $B23:$B23,TRUE))</f>
        <v>-8.1554236525504962</v>
      </c>
      <c r="F23">
        <f>HLOOKUP(CBSoverlevtafel!$C$3,CBStafelVrouw!$B$5:$CW$106, MATCH($A23,CBStafelMan!$A$5:$A$106,0),FALSE)</f>
        <v>98120</v>
      </c>
      <c r="G23">
        <f t="shared" si="3"/>
        <v>98120</v>
      </c>
      <c r="H23" s="54" cm="1">
        <f t="array" ref="H23">IF($B23 &lt; 100, -LN(-1/LN(G23/G22)-1), TREND(H$97:H$106, $B$97:$B$106, $B23:$B23,TRUE))</f>
        <v>-8.2749432649525545</v>
      </c>
      <c r="I23">
        <f t="shared" si="0"/>
        <v>97818</v>
      </c>
      <c r="K23">
        <f>HLOOKUP(CBSoverlevtafel!$K$3,CBStafelMan!$B$5:$CW$106, MATCH($A23,CBStafelMan!$A$5:$A$106,0),FALSE)</f>
        <v>97516</v>
      </c>
      <c r="L23">
        <f t="shared" si="4"/>
        <v>97516</v>
      </c>
      <c r="M23" s="54" cm="1">
        <f t="array" ref="M23">IF($B23 &lt; 100, -LN(-1/LN(L23/L22)-1), TREND(M$97:M$106, $B$97:$B$106, $B23:$B23,TRUE))</f>
        <v>-8.1554236525504962</v>
      </c>
      <c r="N23">
        <f>HLOOKUP(CBSoverlevtafel!$K$3,CBStafelVrouw!$B$5:$CW$106, MATCH($A23,CBStafelMan!$A$5:$A$106,0),FALSE)</f>
        <v>98120</v>
      </c>
      <c r="O23">
        <f t="shared" si="5"/>
        <v>98120</v>
      </c>
      <c r="P23" s="54" cm="1">
        <f t="array" ref="P23">IF($B23 &lt; 100, -LN(-1/LN(O23/O22)-1), TREND(P$97:P$106, $B$97:$B$106, $B23:$B23,TRUE))</f>
        <v>-8.2749432649525545</v>
      </c>
      <c r="Q23">
        <f t="shared" si="1"/>
        <v>97818</v>
      </c>
    </row>
    <row r="24" spans="1:17" x14ac:dyDescent="0.25">
      <c r="A24" t="s">
        <v>106</v>
      </c>
      <c r="B24">
        <v>17</v>
      </c>
      <c r="C24">
        <f>HLOOKUP(CBSoverlevtafel!$C$3,CBStafelMan!$B$5:$CW$106, MATCH($A24,CBStafelMan!$A$5:$A$106,0),FALSE)</f>
        <v>97468</v>
      </c>
      <c r="D24">
        <f t="shared" si="2"/>
        <v>97468</v>
      </c>
      <c r="E24" s="54" cm="1">
        <f t="array" ref="E24">IF($B24 &lt; 100, -LN(-1/LN(D24/D23)-1), TREND(E$97:E$106, $B$97:$B$106, $B24:$B24,TRUE))</f>
        <v>-7.6158321018858937</v>
      </c>
      <c r="F24">
        <f>HLOOKUP(CBSoverlevtafel!$C$3,CBStafelVrouw!$B$5:$CW$106, MATCH($A24,CBStafelMan!$A$5:$A$106,0),FALSE)</f>
        <v>98090</v>
      </c>
      <c r="G24">
        <f t="shared" si="3"/>
        <v>98090</v>
      </c>
      <c r="H24" s="54" cm="1">
        <f t="array" ref="H24">IF($B24 &lt; 100, -LN(-1/LN(G24/G23)-1), TREND(H$97:H$106, $B$97:$B$106, $B24:$B24,TRUE))</f>
        <v>-8.0922903816205896</v>
      </c>
      <c r="I24">
        <f t="shared" si="0"/>
        <v>97779</v>
      </c>
      <c r="K24">
        <f>HLOOKUP(CBSoverlevtafel!$K$3,CBStafelMan!$B$5:$CW$106, MATCH($A24,CBStafelMan!$A$5:$A$106,0),FALSE)</f>
        <v>97468</v>
      </c>
      <c r="L24">
        <f t="shared" si="4"/>
        <v>97468</v>
      </c>
      <c r="M24" s="54" cm="1">
        <f t="array" ref="M24">IF($B24 &lt; 100, -LN(-1/LN(L24/L23)-1), TREND(M$97:M$106, $B$97:$B$106, $B24:$B24,TRUE))</f>
        <v>-7.6158321018858937</v>
      </c>
      <c r="N24">
        <f>HLOOKUP(CBSoverlevtafel!$K$3,CBStafelVrouw!$B$5:$CW$106, MATCH($A24,CBStafelMan!$A$5:$A$106,0),FALSE)</f>
        <v>98090</v>
      </c>
      <c r="O24">
        <f t="shared" si="5"/>
        <v>98090</v>
      </c>
      <c r="P24" s="54" cm="1">
        <f t="array" ref="P24">IF($B24 &lt; 100, -LN(-1/LN(O24/O23)-1), TREND(P$97:P$106, $B$97:$B$106, $B24:$B24,TRUE))</f>
        <v>-8.0922903816205896</v>
      </c>
      <c r="Q24">
        <f t="shared" si="1"/>
        <v>97779</v>
      </c>
    </row>
    <row r="25" spans="1:17" x14ac:dyDescent="0.25">
      <c r="A25" t="s">
        <v>105</v>
      </c>
      <c r="B25">
        <v>18</v>
      </c>
      <c r="C25">
        <f>HLOOKUP(CBSoverlevtafel!$C$3,CBStafelMan!$B$5:$CW$106, MATCH($A25,CBStafelMan!$A$5:$A$106,0),FALSE)</f>
        <v>97403</v>
      </c>
      <c r="D25">
        <f t="shared" si="2"/>
        <v>97403</v>
      </c>
      <c r="E25" s="54" cm="1">
        <f t="array" ref="E25">IF($B25 &lt; 100, -LN(-1/LN(D25/D24)-1), TREND(E$97:E$106, $B$97:$B$106, $B25:$B25,TRUE))</f>
        <v>-7.3118912620050702</v>
      </c>
      <c r="F25">
        <f>HLOOKUP(CBSoverlevtafel!$C$3,CBStafelVrouw!$B$5:$CW$106, MATCH($A25,CBStafelMan!$A$5:$A$106,0),FALSE)</f>
        <v>98062</v>
      </c>
      <c r="G25">
        <f t="shared" si="3"/>
        <v>98062</v>
      </c>
      <c r="H25" s="54" cm="1">
        <f t="array" ref="H25">IF($B25 &lt; 100, -LN(-1/LN(G25/G24)-1), TREND(H$97:H$106, $B$97:$B$106, $B25:$B25,TRUE))</f>
        <v>-8.1610079166908314</v>
      </c>
      <c r="I25">
        <f t="shared" si="0"/>
        <v>97732.5</v>
      </c>
      <c r="K25">
        <f>HLOOKUP(CBSoverlevtafel!$K$3,CBStafelMan!$B$5:$CW$106, MATCH($A25,CBStafelMan!$A$5:$A$106,0),FALSE)</f>
        <v>97403</v>
      </c>
      <c r="L25">
        <f t="shared" si="4"/>
        <v>97403</v>
      </c>
      <c r="M25" s="54" cm="1">
        <f t="array" ref="M25">IF($B25 &lt; 100, -LN(-1/LN(L25/L24)-1), TREND(M$97:M$106, $B$97:$B$106, $B25:$B25,TRUE))</f>
        <v>-7.3118912620050702</v>
      </c>
      <c r="N25">
        <f>HLOOKUP(CBSoverlevtafel!$K$3,CBStafelVrouw!$B$5:$CW$106, MATCH($A25,CBStafelMan!$A$5:$A$106,0),FALSE)</f>
        <v>98062</v>
      </c>
      <c r="O25">
        <f t="shared" si="5"/>
        <v>98062</v>
      </c>
      <c r="P25" s="54" cm="1">
        <f t="array" ref="P25">IF($B25 &lt; 100, -LN(-1/LN(O25/O24)-1), TREND(P$97:P$106, $B$97:$B$106, $B25:$B25,TRUE))</f>
        <v>-8.1610079166908314</v>
      </c>
      <c r="Q25">
        <f t="shared" si="1"/>
        <v>97732.5</v>
      </c>
    </row>
    <row r="26" spans="1:17" x14ac:dyDescent="0.25">
      <c r="A26" t="s">
        <v>104</v>
      </c>
      <c r="B26">
        <v>19</v>
      </c>
      <c r="C26">
        <f>HLOOKUP(CBSoverlevtafel!$C$3,CBStafelMan!$B$5:$CW$106, MATCH($A26,CBStafelMan!$A$5:$A$106,0),FALSE)</f>
        <v>97329</v>
      </c>
      <c r="D26">
        <f t="shared" si="2"/>
        <v>97329</v>
      </c>
      <c r="E26" s="54" cm="1">
        <f t="array" ref="E26">IF($B26 &lt; 100, -LN(-1/LN(D26/D25)-1), TREND(E$97:E$106, $B$97:$B$106, $B26:$B26,TRUE))</f>
        <v>-7.1814069034790746</v>
      </c>
      <c r="F26">
        <f>HLOOKUP(CBSoverlevtafel!$C$3,CBStafelVrouw!$B$5:$CW$106, MATCH($A26,CBStafelMan!$A$5:$A$106,0),FALSE)</f>
        <v>98034</v>
      </c>
      <c r="G26">
        <f t="shared" si="3"/>
        <v>98034</v>
      </c>
      <c r="H26" s="54" cm="1">
        <f t="array" ref="H26">IF($B26 &lt; 100, -LN(-1/LN(G26/G25)-1), TREND(H$97:H$106, $B$97:$B$106, $B26:$B26,TRUE))</f>
        <v>-8.1607223014904005</v>
      </c>
      <c r="I26">
        <f t="shared" si="0"/>
        <v>97681.5</v>
      </c>
      <c r="K26">
        <f>HLOOKUP(CBSoverlevtafel!$K$3,CBStafelMan!$B$5:$CW$106, MATCH($A26,CBStafelMan!$A$5:$A$106,0),FALSE)</f>
        <v>97329</v>
      </c>
      <c r="L26">
        <f t="shared" si="4"/>
        <v>97329</v>
      </c>
      <c r="M26" s="54" cm="1">
        <f t="array" ref="M26">IF($B26 &lt; 100, -LN(-1/LN(L26/L25)-1), TREND(M$97:M$106, $B$97:$B$106, $B26:$B26,TRUE))</f>
        <v>-7.1814069034790746</v>
      </c>
      <c r="N26">
        <f>HLOOKUP(CBSoverlevtafel!$K$3,CBStafelVrouw!$B$5:$CW$106, MATCH($A26,CBStafelMan!$A$5:$A$106,0),FALSE)</f>
        <v>98034</v>
      </c>
      <c r="O26">
        <f t="shared" si="5"/>
        <v>98034</v>
      </c>
      <c r="P26" s="54" cm="1">
        <f t="array" ref="P26">IF($B26 &lt; 100, -LN(-1/LN(O26/O25)-1), TREND(P$97:P$106, $B$97:$B$106, $B26:$B26,TRUE))</f>
        <v>-8.1607223014904005</v>
      </c>
      <c r="Q26">
        <f t="shared" si="1"/>
        <v>97681.5</v>
      </c>
    </row>
    <row r="27" spans="1:17" x14ac:dyDescent="0.25">
      <c r="A27" t="s">
        <v>103</v>
      </c>
      <c r="B27">
        <v>20</v>
      </c>
      <c r="C27">
        <f>HLOOKUP(CBSoverlevtafel!$C$3,CBStafelMan!$B$5:$CW$106, MATCH($A27,CBStafelMan!$A$5:$A$106,0),FALSE)</f>
        <v>97266</v>
      </c>
      <c r="D27">
        <f t="shared" si="2"/>
        <v>97266</v>
      </c>
      <c r="E27" s="54" cm="1">
        <f t="array" ref="E27">IF($B27 &lt; 100, -LN(-1/LN(D27/D26)-1), TREND(E$97:E$106, $B$97:$B$106, $B27:$B27,TRUE))</f>
        <v>-7.341746104392322</v>
      </c>
      <c r="F27">
        <f>HLOOKUP(CBSoverlevtafel!$C$3,CBStafelVrouw!$B$5:$CW$106, MATCH($A27,CBStafelMan!$A$5:$A$106,0),FALSE)</f>
        <v>98005</v>
      </c>
      <c r="G27">
        <f t="shared" si="3"/>
        <v>98005</v>
      </c>
      <c r="H27" s="54" cm="1">
        <f t="array" ref="H27">IF($B27 &lt; 100, -LN(-1/LN(G27/G26)-1), TREND(H$97:H$106, $B$97:$B$106, $B27:$B27,TRUE))</f>
        <v>-8.1253299768952889</v>
      </c>
      <c r="I27">
        <f t="shared" si="0"/>
        <v>97635.5</v>
      </c>
      <c r="K27">
        <f>HLOOKUP(CBSoverlevtafel!$K$3,CBStafelMan!$B$5:$CW$106, MATCH($A27,CBStafelMan!$A$5:$A$106,0),FALSE)</f>
        <v>97266</v>
      </c>
      <c r="L27">
        <f t="shared" si="4"/>
        <v>97266</v>
      </c>
      <c r="M27" s="54" cm="1">
        <f t="array" ref="M27">IF($B27 &lt; 100, -LN(-1/LN(L27/L26)-1), TREND(M$97:M$106, $B$97:$B$106, $B27:$B27,TRUE))</f>
        <v>-7.341746104392322</v>
      </c>
      <c r="N27">
        <f>HLOOKUP(CBSoverlevtafel!$K$3,CBStafelVrouw!$B$5:$CW$106, MATCH($A27,CBStafelMan!$A$5:$A$106,0),FALSE)</f>
        <v>98005</v>
      </c>
      <c r="O27">
        <f t="shared" si="5"/>
        <v>98005</v>
      </c>
      <c r="P27" s="54" cm="1">
        <f t="array" ref="P27">IF($B27 &lt; 100, -LN(-1/LN(O27/O26)-1), TREND(P$97:P$106, $B$97:$B$106, $B27:$B27,TRUE))</f>
        <v>-8.1253299768952889</v>
      </c>
      <c r="Q27">
        <f t="shared" si="1"/>
        <v>97635.5</v>
      </c>
    </row>
    <row r="28" spans="1:17" x14ac:dyDescent="0.25">
      <c r="A28" t="s">
        <v>102</v>
      </c>
      <c r="B28">
        <v>21</v>
      </c>
      <c r="C28">
        <f>HLOOKUP(CBSoverlevtafel!$C$3,CBStafelMan!$B$5:$CW$106, MATCH($A28,CBStafelMan!$A$5:$A$106,0),FALSE)</f>
        <v>97191</v>
      </c>
      <c r="D28">
        <f t="shared" si="2"/>
        <v>97191</v>
      </c>
      <c r="E28" s="54" cm="1">
        <f t="array" ref="E28">IF($B28 &lt; 100, -LN(-1/LN(D28/D27)-1), TREND(E$97:E$106, $B$97:$B$106, $B28:$B28,TRUE))</f>
        <v>-7.1665593177594014</v>
      </c>
      <c r="F28">
        <f>HLOOKUP(CBSoverlevtafel!$C$3,CBStafelVrouw!$B$5:$CW$106, MATCH($A28,CBStafelMan!$A$5:$A$106,0),FALSE)</f>
        <v>97980</v>
      </c>
      <c r="G28">
        <f t="shared" si="3"/>
        <v>97980</v>
      </c>
      <c r="H28" s="54" cm="1">
        <f t="array" ref="H28">IF($B28 &lt; 100, -LN(-1/LN(G28/G27)-1), TREND(H$97:H$106, $B$97:$B$106, $B28:$B28,TRUE))</f>
        <v>-8.2735152397039613</v>
      </c>
      <c r="I28">
        <f t="shared" si="0"/>
        <v>97585.5</v>
      </c>
      <c r="K28">
        <f>HLOOKUP(CBSoverlevtafel!$K$3,CBStafelMan!$B$5:$CW$106, MATCH($A28,CBStafelMan!$A$5:$A$106,0),FALSE)</f>
        <v>97191</v>
      </c>
      <c r="L28">
        <f t="shared" si="4"/>
        <v>97191</v>
      </c>
      <c r="M28" s="54" cm="1">
        <f t="array" ref="M28">IF($B28 &lt; 100, -LN(-1/LN(L28/L27)-1), TREND(M$97:M$106, $B$97:$B$106, $B28:$B28,TRUE))</f>
        <v>-7.1665593177594014</v>
      </c>
      <c r="N28">
        <f>HLOOKUP(CBSoverlevtafel!$K$3,CBStafelVrouw!$B$5:$CW$106, MATCH($A28,CBStafelMan!$A$5:$A$106,0),FALSE)</f>
        <v>97980</v>
      </c>
      <c r="O28">
        <f t="shared" si="5"/>
        <v>97980</v>
      </c>
      <c r="P28" s="54" cm="1">
        <f t="array" ref="P28">IF($B28 &lt; 100, -LN(-1/LN(O28/O27)-1), TREND(P$97:P$106, $B$97:$B$106, $B28:$B28,TRUE))</f>
        <v>-8.2735152397039613</v>
      </c>
      <c r="Q28">
        <f t="shared" si="1"/>
        <v>97585.5</v>
      </c>
    </row>
    <row r="29" spans="1:17" x14ac:dyDescent="0.25">
      <c r="A29" t="s">
        <v>101</v>
      </c>
      <c r="B29">
        <v>22</v>
      </c>
      <c r="C29">
        <f>HLOOKUP(CBSoverlevtafel!$C$3,CBStafelMan!$B$5:$CW$106, MATCH($A29,CBStafelMan!$A$5:$A$106,0),FALSE)</f>
        <v>97119</v>
      </c>
      <c r="D29">
        <f t="shared" si="2"/>
        <v>97119</v>
      </c>
      <c r="E29" s="54" cm="1">
        <f t="array" ref="E29">IF($B29 &lt; 100, -LN(-1/LN(D29/D28)-1), TREND(E$97:E$106, $B$97:$B$106, $B29:$B29,TRUE))</f>
        <v>-7.2066553968945275</v>
      </c>
      <c r="F29">
        <f>HLOOKUP(CBSoverlevtafel!$C$3,CBStafelVrouw!$B$5:$CW$106, MATCH($A29,CBStafelMan!$A$5:$A$106,0),FALSE)</f>
        <v>97948</v>
      </c>
      <c r="G29">
        <f t="shared" si="3"/>
        <v>97948</v>
      </c>
      <c r="H29" s="54" cm="1">
        <f t="array" ref="H29">IF($B29 &lt; 100, -LN(-1/LN(G29/G28)-1), TREND(H$97:H$106, $B$97:$B$106, $B29:$B29,TRUE))</f>
        <v>-8.0262927275628257</v>
      </c>
      <c r="I29">
        <f t="shared" si="0"/>
        <v>97533.5</v>
      </c>
      <c r="K29">
        <f>HLOOKUP(CBSoverlevtafel!$K$3,CBStafelMan!$B$5:$CW$106, MATCH($A29,CBStafelMan!$A$5:$A$106,0),FALSE)</f>
        <v>97119</v>
      </c>
      <c r="L29">
        <f t="shared" si="4"/>
        <v>97119</v>
      </c>
      <c r="M29" s="54" cm="1">
        <f t="array" ref="M29">IF($B29 &lt; 100, -LN(-1/LN(L29/L28)-1), TREND(M$97:M$106, $B$97:$B$106, $B29:$B29,TRUE))</f>
        <v>-7.2066553968945275</v>
      </c>
      <c r="N29">
        <f>HLOOKUP(CBSoverlevtafel!$K$3,CBStafelVrouw!$B$5:$CW$106, MATCH($A29,CBStafelMan!$A$5:$A$106,0),FALSE)</f>
        <v>97948</v>
      </c>
      <c r="O29">
        <f t="shared" si="5"/>
        <v>97948</v>
      </c>
      <c r="P29" s="54" cm="1">
        <f t="array" ref="P29">IF($B29 &lt; 100, -LN(-1/LN(O29/O28)-1), TREND(P$97:P$106, $B$97:$B$106, $B29:$B29,TRUE))</f>
        <v>-8.0262927275628257</v>
      </c>
      <c r="Q29">
        <f t="shared" si="1"/>
        <v>97533.5</v>
      </c>
    </row>
    <row r="30" spans="1:17" x14ac:dyDescent="0.25">
      <c r="A30" t="s">
        <v>100</v>
      </c>
      <c r="B30">
        <v>23</v>
      </c>
      <c r="C30">
        <f>HLOOKUP(CBSoverlevtafel!$C$3,CBStafelMan!$B$5:$CW$106, MATCH($A30,CBStafelMan!$A$5:$A$106,0),FALSE)</f>
        <v>97039</v>
      </c>
      <c r="D30">
        <f t="shared" si="2"/>
        <v>97039</v>
      </c>
      <c r="E30" s="54" cm="1">
        <f t="array" ref="E30">IF($B30 &lt; 100, -LN(-1/LN(D30/D29)-1), TREND(E$97:E$106, $B$97:$B$106, $B30:$B30,TRUE))</f>
        <v>-7.1004292568424336</v>
      </c>
      <c r="F30">
        <f>HLOOKUP(CBSoverlevtafel!$C$3,CBStafelVrouw!$B$5:$CW$106, MATCH($A30,CBStafelMan!$A$5:$A$106,0),FALSE)</f>
        <v>97917</v>
      </c>
      <c r="G30">
        <f t="shared" si="3"/>
        <v>97917</v>
      </c>
      <c r="H30" s="54" cm="1">
        <f t="array" ref="H30">IF($B30 &lt; 100, -LN(-1/LN(G30/G29)-1), TREND(H$97:H$106, $B$97:$B$106, $B30:$B30,TRUE))</f>
        <v>-8.0577299373204241</v>
      </c>
      <c r="I30">
        <f t="shared" si="0"/>
        <v>97478</v>
      </c>
      <c r="K30">
        <f>HLOOKUP(CBSoverlevtafel!$K$3,CBStafelMan!$B$5:$CW$106, MATCH($A30,CBStafelMan!$A$5:$A$106,0),FALSE)</f>
        <v>97039</v>
      </c>
      <c r="L30">
        <f t="shared" si="4"/>
        <v>97039</v>
      </c>
      <c r="M30" s="54" cm="1">
        <f t="array" ref="M30">IF($B30 &lt; 100, -LN(-1/LN(L30/L29)-1), TREND(M$97:M$106, $B$97:$B$106, $B30:$B30,TRUE))</f>
        <v>-7.1004292568424336</v>
      </c>
      <c r="N30">
        <f>HLOOKUP(CBSoverlevtafel!$K$3,CBStafelVrouw!$B$5:$CW$106, MATCH($A30,CBStafelMan!$A$5:$A$106,0),FALSE)</f>
        <v>97917</v>
      </c>
      <c r="O30">
        <f t="shared" si="5"/>
        <v>97917</v>
      </c>
      <c r="P30" s="54" cm="1">
        <f t="array" ref="P30">IF($B30 &lt; 100, -LN(-1/LN(O30/O29)-1), TREND(P$97:P$106, $B$97:$B$106, $B30:$B30,TRUE))</f>
        <v>-8.0577299373204241</v>
      </c>
      <c r="Q30">
        <f t="shared" si="1"/>
        <v>97478</v>
      </c>
    </row>
    <row r="31" spans="1:17" x14ac:dyDescent="0.25">
      <c r="A31" t="s">
        <v>99</v>
      </c>
      <c r="B31">
        <v>24</v>
      </c>
      <c r="C31">
        <f>HLOOKUP(CBSoverlevtafel!$C$3,CBStafelMan!$B$5:$CW$106, MATCH($A31,CBStafelMan!$A$5:$A$106,0),FALSE)</f>
        <v>96958</v>
      </c>
      <c r="D31">
        <f t="shared" si="2"/>
        <v>96958</v>
      </c>
      <c r="E31" s="54" cm="1">
        <f t="array" ref="E31">IF($B31 &lt; 100, -LN(-1/LN(D31/D30)-1), TREND(E$97:E$106, $B$97:$B$106, $B31:$B31,TRUE))</f>
        <v>-7.0871661672960888</v>
      </c>
      <c r="F31">
        <f>HLOOKUP(CBSoverlevtafel!$C$3,CBStafelVrouw!$B$5:$CW$106, MATCH($A31,CBStafelMan!$A$5:$A$106,0),FALSE)</f>
        <v>97881</v>
      </c>
      <c r="G31">
        <f t="shared" si="3"/>
        <v>97881</v>
      </c>
      <c r="H31" s="54" cm="1">
        <f t="array" ref="H31">IF($B31 &lt; 100, -LN(-1/LN(G31/G30)-1), TREND(H$97:H$106, $B$97:$B$106, $B31:$B31,TRUE))</f>
        <v>-7.9078048706835338</v>
      </c>
      <c r="I31">
        <f t="shared" si="0"/>
        <v>97419.5</v>
      </c>
      <c r="K31">
        <f>HLOOKUP(CBSoverlevtafel!$K$3,CBStafelMan!$B$5:$CW$106, MATCH($A31,CBStafelMan!$A$5:$A$106,0),FALSE)</f>
        <v>96958</v>
      </c>
      <c r="L31">
        <f t="shared" si="4"/>
        <v>96958</v>
      </c>
      <c r="M31" s="54" cm="1">
        <f t="array" ref="M31">IF($B31 &lt; 100, -LN(-1/LN(L31/L30)-1), TREND(M$97:M$106, $B$97:$B$106, $B31:$B31,TRUE))</f>
        <v>-7.0871661672960888</v>
      </c>
      <c r="N31">
        <f>HLOOKUP(CBSoverlevtafel!$K$3,CBStafelVrouw!$B$5:$CW$106, MATCH($A31,CBStafelMan!$A$5:$A$106,0),FALSE)</f>
        <v>97881</v>
      </c>
      <c r="O31">
        <f t="shared" si="5"/>
        <v>97881</v>
      </c>
      <c r="P31" s="54" cm="1">
        <f t="array" ref="P31">IF($B31 &lt; 100, -LN(-1/LN(O31/O30)-1), TREND(P$97:P$106, $B$97:$B$106, $B31:$B31,TRUE))</f>
        <v>-7.9078048706835338</v>
      </c>
      <c r="Q31">
        <f t="shared" si="1"/>
        <v>97419.5</v>
      </c>
    </row>
    <row r="32" spans="1:17" x14ac:dyDescent="0.25">
      <c r="A32" t="s">
        <v>98</v>
      </c>
      <c r="B32">
        <v>25</v>
      </c>
      <c r="C32">
        <f>HLOOKUP(CBSoverlevtafel!$C$3,CBStafelMan!$B$5:$CW$106, MATCH($A32,CBStafelMan!$A$5:$A$106,0),FALSE)</f>
        <v>96876</v>
      </c>
      <c r="D32">
        <f t="shared" si="2"/>
        <v>96876</v>
      </c>
      <c r="E32" s="54" cm="1">
        <f t="array" ref="E32">IF($B32 &lt; 100, -LN(-1/LN(D32/D31)-1), TREND(E$97:E$106, $B$97:$B$106, $B32:$B32,TRUE))</f>
        <v>-7.0740444711920745</v>
      </c>
      <c r="F32">
        <f>HLOOKUP(CBSoverlevtafel!$C$3,CBStafelVrouw!$B$5:$CW$106, MATCH($A32,CBStafelMan!$A$5:$A$106,0),FALSE)</f>
        <v>97845</v>
      </c>
      <c r="G32">
        <f t="shared" si="3"/>
        <v>97845</v>
      </c>
      <c r="H32" s="54" cm="1">
        <f t="array" ref="H32">IF($B32 &lt; 100, -LN(-1/LN(G32/G31)-1), TREND(H$97:H$106, $B$97:$B$106, $B32:$B32,TRUE))</f>
        <v>-7.9074369418040549</v>
      </c>
      <c r="I32">
        <f t="shared" si="0"/>
        <v>97360.5</v>
      </c>
      <c r="K32">
        <f>HLOOKUP(CBSoverlevtafel!$K$3,CBStafelMan!$B$5:$CW$106, MATCH($A32,CBStafelMan!$A$5:$A$106,0),FALSE)</f>
        <v>96876</v>
      </c>
      <c r="L32">
        <f t="shared" si="4"/>
        <v>96876</v>
      </c>
      <c r="M32" s="54" cm="1">
        <f t="array" ref="M32">IF($B32 &lt; 100, -LN(-1/LN(L32/L31)-1), TREND(M$97:M$106, $B$97:$B$106, $B32:$B32,TRUE))</f>
        <v>-7.0740444711920745</v>
      </c>
      <c r="N32">
        <f>HLOOKUP(CBSoverlevtafel!$K$3,CBStafelVrouw!$B$5:$CW$106, MATCH($A32,CBStafelMan!$A$5:$A$106,0),FALSE)</f>
        <v>97845</v>
      </c>
      <c r="O32">
        <f t="shared" si="5"/>
        <v>97845</v>
      </c>
      <c r="P32" s="54" cm="1">
        <f t="array" ref="P32">IF($B32 &lt; 100, -LN(-1/LN(O32/O31)-1), TREND(P$97:P$106, $B$97:$B$106, $B32:$B32,TRUE))</f>
        <v>-7.9074369418040549</v>
      </c>
      <c r="Q32">
        <f t="shared" si="1"/>
        <v>97360.5</v>
      </c>
    </row>
    <row r="33" spans="1:17" x14ac:dyDescent="0.25">
      <c r="A33" t="s">
        <v>97</v>
      </c>
      <c r="B33">
        <v>26</v>
      </c>
      <c r="C33">
        <f>HLOOKUP(CBSoverlevtafel!$C$3,CBStafelMan!$B$5:$CW$106, MATCH($A33,CBStafelMan!$A$5:$A$106,0),FALSE)</f>
        <v>96807</v>
      </c>
      <c r="D33">
        <f t="shared" si="2"/>
        <v>96807</v>
      </c>
      <c r="E33" s="54" cm="1">
        <f t="array" ref="E33">IF($B33 &lt; 100, -LN(-1/LN(D33/D32)-1), TREND(E$97:E$106, $B$97:$B$106, $B33:$B33,TRUE))</f>
        <v>-7.2460115950615238</v>
      </c>
      <c r="F33">
        <f>HLOOKUP(CBSoverlevtafel!$C$3,CBStafelVrouw!$B$5:$CW$106, MATCH($A33,CBStafelMan!$A$5:$A$106,0),FALSE)</f>
        <v>97812</v>
      </c>
      <c r="G33">
        <f t="shared" si="3"/>
        <v>97812</v>
      </c>
      <c r="H33" s="54" cm="1">
        <f t="array" ref="H33">IF($B33 &lt; 100, -LN(-1/LN(G33/G32)-1), TREND(H$97:H$106, $B$97:$B$106, $B33:$B33,TRUE))</f>
        <v>-7.9941262717422319</v>
      </c>
      <c r="I33">
        <f t="shared" si="0"/>
        <v>97309.5</v>
      </c>
      <c r="K33">
        <f>HLOOKUP(CBSoverlevtafel!$K$3,CBStafelMan!$B$5:$CW$106, MATCH($A33,CBStafelMan!$A$5:$A$106,0),FALSE)</f>
        <v>96807</v>
      </c>
      <c r="L33">
        <f t="shared" si="4"/>
        <v>96807</v>
      </c>
      <c r="M33" s="54" cm="1">
        <f t="array" ref="M33">IF($B33 &lt; 100, -LN(-1/LN(L33/L32)-1), TREND(M$97:M$106, $B$97:$B$106, $B33:$B33,TRUE))</f>
        <v>-7.2460115950615238</v>
      </c>
      <c r="N33">
        <f>HLOOKUP(CBSoverlevtafel!$K$3,CBStafelVrouw!$B$5:$CW$106, MATCH($A33,CBStafelMan!$A$5:$A$106,0),FALSE)</f>
        <v>97812</v>
      </c>
      <c r="O33">
        <f t="shared" si="5"/>
        <v>97812</v>
      </c>
      <c r="P33" s="54" cm="1">
        <f t="array" ref="P33">IF($B33 &lt; 100, -LN(-1/LN(O33/O32)-1), TREND(P$97:P$106, $B$97:$B$106, $B33:$B33,TRUE))</f>
        <v>-7.9941262717422319</v>
      </c>
      <c r="Q33">
        <f t="shared" si="1"/>
        <v>97309.5</v>
      </c>
    </row>
    <row r="34" spans="1:17" x14ac:dyDescent="0.25">
      <c r="A34" t="s">
        <v>96</v>
      </c>
      <c r="B34">
        <v>27</v>
      </c>
      <c r="C34">
        <f>HLOOKUP(CBSoverlevtafel!$C$3,CBStafelMan!$B$5:$CW$106, MATCH($A34,CBStafelMan!$A$5:$A$106,0),FALSE)</f>
        <v>96734</v>
      </c>
      <c r="D34">
        <f t="shared" si="2"/>
        <v>96734</v>
      </c>
      <c r="E34" s="54" cm="1">
        <f t="array" ref="E34">IF($B34 &lt; 100, -LN(-1/LN(D34/D33)-1), TREND(E$97:E$106, $B$97:$B$106, $B34:$B34,TRUE))</f>
        <v>-7.1888833393470888</v>
      </c>
      <c r="F34">
        <f>HLOOKUP(CBSoverlevtafel!$C$3,CBStafelVrouw!$B$5:$CW$106, MATCH($A34,CBStafelMan!$A$5:$A$106,0),FALSE)</f>
        <v>97780</v>
      </c>
      <c r="G34">
        <f t="shared" si="3"/>
        <v>97780</v>
      </c>
      <c r="H34" s="54" cm="1">
        <f t="array" ref="H34">IF($B34 &lt; 100, -LN(-1/LN(G34/G33)-1), TREND(H$97:H$106, $B$97:$B$106, $B34:$B34,TRUE))</f>
        <v>-8.0245757783735687</v>
      </c>
      <c r="I34">
        <f t="shared" si="0"/>
        <v>97257</v>
      </c>
      <c r="K34">
        <f>HLOOKUP(CBSoverlevtafel!$K$3,CBStafelMan!$B$5:$CW$106, MATCH($A34,CBStafelMan!$A$5:$A$106,0),FALSE)</f>
        <v>96734</v>
      </c>
      <c r="L34">
        <f t="shared" si="4"/>
        <v>96734</v>
      </c>
      <c r="M34" s="54" cm="1">
        <f t="array" ref="M34">IF($B34 &lt; 100, -LN(-1/LN(L34/L33)-1), TREND(M$97:M$106, $B$97:$B$106, $B34:$B34,TRUE))</f>
        <v>-7.1888833393470888</v>
      </c>
      <c r="N34">
        <f>HLOOKUP(CBSoverlevtafel!$K$3,CBStafelVrouw!$B$5:$CW$106, MATCH($A34,CBStafelMan!$A$5:$A$106,0),FALSE)</f>
        <v>97780</v>
      </c>
      <c r="O34">
        <f t="shared" si="5"/>
        <v>97780</v>
      </c>
      <c r="P34" s="54" cm="1">
        <f t="array" ref="P34">IF($B34 &lt; 100, -LN(-1/LN(O34/O33)-1), TREND(P$97:P$106, $B$97:$B$106, $B34:$B34,TRUE))</f>
        <v>-8.0245757783735687</v>
      </c>
      <c r="Q34">
        <f t="shared" si="1"/>
        <v>97257</v>
      </c>
    </row>
    <row r="35" spans="1:17" x14ac:dyDescent="0.25">
      <c r="A35" t="s">
        <v>95</v>
      </c>
      <c r="B35">
        <v>28</v>
      </c>
      <c r="C35">
        <f>HLOOKUP(CBSoverlevtafel!$C$3,CBStafelMan!$B$5:$CW$106, MATCH($A35,CBStafelMan!$A$5:$A$106,0),FALSE)</f>
        <v>96662</v>
      </c>
      <c r="D35">
        <f t="shared" si="2"/>
        <v>96662</v>
      </c>
      <c r="E35" s="54" cm="1">
        <f t="array" ref="E35">IF($B35 &lt; 100, -LN(-1/LN(D35/D34)-1), TREND(E$97:E$106, $B$97:$B$106, $B35:$B35,TRUE))</f>
        <v>-7.2019369698734197</v>
      </c>
      <c r="F35">
        <f>HLOOKUP(CBSoverlevtafel!$C$3,CBStafelVrouw!$B$5:$CW$106, MATCH($A35,CBStafelMan!$A$5:$A$106,0),FALSE)</f>
        <v>97747</v>
      </c>
      <c r="G35">
        <f t="shared" si="3"/>
        <v>97747</v>
      </c>
      <c r="H35" s="54" cm="1">
        <f t="array" ref="H35">IF($B35 &lt; 100, -LN(-1/LN(G35/G34)-1), TREND(H$97:H$106, $B$97:$B$106, $B35:$B35,TRUE))</f>
        <v>-7.993461398491374</v>
      </c>
      <c r="I35">
        <f t="shared" si="0"/>
        <v>97204.5</v>
      </c>
      <c r="K35">
        <f>HLOOKUP(CBSoverlevtafel!$K$3,CBStafelMan!$B$5:$CW$106, MATCH($A35,CBStafelMan!$A$5:$A$106,0),FALSE)</f>
        <v>96662</v>
      </c>
      <c r="L35">
        <f t="shared" si="4"/>
        <v>96662</v>
      </c>
      <c r="M35" s="54" cm="1">
        <f t="array" ref="M35">IF($B35 &lt; 100, -LN(-1/LN(L35/L34)-1), TREND(M$97:M$106, $B$97:$B$106, $B35:$B35,TRUE))</f>
        <v>-7.2019369698734197</v>
      </c>
      <c r="N35">
        <f>HLOOKUP(CBSoverlevtafel!$K$3,CBStafelVrouw!$B$5:$CW$106, MATCH($A35,CBStafelMan!$A$5:$A$106,0),FALSE)</f>
        <v>97747</v>
      </c>
      <c r="O35">
        <f t="shared" si="5"/>
        <v>97747</v>
      </c>
      <c r="P35" s="54" cm="1">
        <f t="array" ref="P35">IF($B35 &lt; 100, -LN(-1/LN(O35/O34)-1), TREND(P$97:P$106, $B$97:$B$106, $B35:$B35,TRUE))</f>
        <v>-7.993461398491374</v>
      </c>
      <c r="Q35">
        <f t="shared" si="1"/>
        <v>97204.5</v>
      </c>
    </row>
    <row r="36" spans="1:17" x14ac:dyDescent="0.25">
      <c r="A36" t="s">
        <v>94</v>
      </c>
      <c r="B36">
        <v>29</v>
      </c>
      <c r="C36">
        <f>HLOOKUP(CBSoverlevtafel!$C$3,CBStafelMan!$B$5:$CW$106, MATCH($A36,CBStafelMan!$A$5:$A$106,0),FALSE)</f>
        <v>96596</v>
      </c>
      <c r="D36">
        <f t="shared" si="2"/>
        <v>96596</v>
      </c>
      <c r="E36" s="54" cm="1">
        <f t="array" ref="E36">IF($B36 &lt; 100, -LN(-1/LN(D36/D35)-1), TREND(E$97:E$106, $B$97:$B$106, $B36:$B36,TRUE))</f>
        <v>-7.288296143124386</v>
      </c>
      <c r="F36">
        <f>HLOOKUP(CBSoverlevtafel!$C$3,CBStafelVrouw!$B$5:$CW$106, MATCH($A36,CBStafelMan!$A$5:$A$106,0),FALSE)</f>
        <v>97717</v>
      </c>
      <c r="G36">
        <f t="shared" si="3"/>
        <v>97717</v>
      </c>
      <c r="H36" s="54" cm="1">
        <f t="array" ref="H36">IF($B36 &lt; 100, -LN(-1/LN(G36/G35)-1), TREND(H$97:H$106, $B$97:$B$106, $B36:$B36,TRUE))</f>
        <v>-8.0884799191338139</v>
      </c>
      <c r="I36">
        <f t="shared" si="0"/>
        <v>97156.5</v>
      </c>
      <c r="K36">
        <f>HLOOKUP(CBSoverlevtafel!$K$3,CBStafelMan!$B$5:$CW$106, MATCH($A36,CBStafelMan!$A$5:$A$106,0),FALSE)</f>
        <v>96596</v>
      </c>
      <c r="L36">
        <f t="shared" si="4"/>
        <v>96596</v>
      </c>
      <c r="M36" s="54" cm="1">
        <f t="array" ref="M36">IF($B36 &lt; 100, -LN(-1/LN(L36/L35)-1), TREND(M$97:M$106, $B$97:$B$106, $B36:$B36,TRUE))</f>
        <v>-7.288296143124386</v>
      </c>
      <c r="N36">
        <f>HLOOKUP(CBSoverlevtafel!$K$3,CBStafelVrouw!$B$5:$CW$106, MATCH($A36,CBStafelMan!$A$5:$A$106,0),FALSE)</f>
        <v>97717</v>
      </c>
      <c r="O36">
        <f t="shared" si="5"/>
        <v>97717</v>
      </c>
      <c r="P36" s="54" cm="1">
        <f t="array" ref="P36">IF($B36 &lt; 100, -LN(-1/LN(O36/O35)-1), TREND(P$97:P$106, $B$97:$B$106, $B36:$B36,TRUE))</f>
        <v>-8.0884799191338139</v>
      </c>
      <c r="Q36">
        <f t="shared" si="1"/>
        <v>97156.5</v>
      </c>
    </row>
    <row r="37" spans="1:17" x14ac:dyDescent="0.25">
      <c r="A37" t="s">
        <v>93</v>
      </c>
      <c r="B37">
        <v>30</v>
      </c>
      <c r="C37">
        <f>HLOOKUP(CBSoverlevtafel!$C$3,CBStafelMan!$B$5:$CW$106, MATCH($A37,CBStafelMan!$A$5:$A$106,0),FALSE)</f>
        <v>96520</v>
      </c>
      <c r="D37">
        <f t="shared" si="2"/>
        <v>96520</v>
      </c>
      <c r="E37" s="54" cm="1">
        <f t="array" ref="E37">IF($B37 &lt; 100, -LN(-1/LN(D37/D36)-1), TREND(E$97:E$106, $B$97:$B$106, $B37:$B37,TRUE))</f>
        <v>-7.1463783494780149</v>
      </c>
      <c r="F37">
        <f>HLOOKUP(CBSoverlevtafel!$C$3,CBStafelVrouw!$B$5:$CW$106, MATCH($A37,CBStafelMan!$A$5:$A$106,0),FALSE)</f>
        <v>97671</v>
      </c>
      <c r="G37">
        <f t="shared" si="3"/>
        <v>97671</v>
      </c>
      <c r="H37" s="54" cm="1">
        <f t="array" ref="H37">IF($B37 &lt; 100, -LN(-1/LN(G37/G36)-1), TREND(H$97:H$106, $B$97:$B$106, $B37:$B37,TRUE))</f>
        <v>-7.6604830398108676</v>
      </c>
      <c r="I37">
        <f t="shared" si="0"/>
        <v>97095.5</v>
      </c>
      <c r="K37">
        <f>HLOOKUP(CBSoverlevtafel!$K$3,CBStafelMan!$B$5:$CW$106, MATCH($A37,CBStafelMan!$A$5:$A$106,0),FALSE)</f>
        <v>96520</v>
      </c>
      <c r="L37">
        <f t="shared" si="4"/>
        <v>96520</v>
      </c>
      <c r="M37" s="54" cm="1">
        <f t="array" ref="M37">IF($B37 &lt; 100, -LN(-1/LN(L37/L36)-1), TREND(M$97:M$106, $B$97:$B$106, $B37:$B37,TRUE))</f>
        <v>-7.1463783494780149</v>
      </c>
      <c r="N37">
        <f>HLOOKUP(CBSoverlevtafel!$K$3,CBStafelVrouw!$B$5:$CW$106, MATCH($A37,CBStafelMan!$A$5:$A$106,0),FALSE)</f>
        <v>97671</v>
      </c>
      <c r="O37">
        <f t="shared" si="5"/>
        <v>97671</v>
      </c>
      <c r="P37" s="54" cm="1">
        <f t="array" ref="P37">IF($B37 &lt; 100, -LN(-1/LN(O37/O36)-1), TREND(P$97:P$106, $B$97:$B$106, $B37:$B37,TRUE))</f>
        <v>-7.6604830398108676</v>
      </c>
      <c r="Q37">
        <f t="shared" si="1"/>
        <v>97095.5</v>
      </c>
    </row>
    <row r="38" spans="1:17" x14ac:dyDescent="0.25">
      <c r="A38" t="s">
        <v>92</v>
      </c>
      <c r="B38">
        <v>31</v>
      </c>
      <c r="C38">
        <f>HLOOKUP(CBSoverlevtafel!$C$3,CBStafelMan!$B$5:$CW$106, MATCH($A38,CBStafelMan!$A$5:$A$106,0),FALSE)</f>
        <v>96445</v>
      </c>
      <c r="D38">
        <f t="shared" si="2"/>
        <v>96445</v>
      </c>
      <c r="E38" s="54" cm="1">
        <f t="array" ref="E38">IF($B38 &lt; 100, -LN(-1/LN(D38/D37)-1), TREND(E$97:E$106, $B$97:$B$106, $B38:$B38,TRUE))</f>
        <v>-7.1588511144715836</v>
      </c>
      <c r="F38">
        <f>HLOOKUP(CBSoverlevtafel!$C$3,CBStafelVrouw!$B$5:$CW$106, MATCH($A38,CBStafelMan!$A$5:$A$106,0),FALSE)</f>
        <v>97635</v>
      </c>
      <c r="G38">
        <f t="shared" si="3"/>
        <v>97635</v>
      </c>
      <c r="H38" s="54" cm="1">
        <f t="array" ref="H38">IF($B38 &lt; 100, -LN(-1/LN(G38/G37)-1), TREND(H$97:H$106, $B$97:$B$106, $B38:$B38,TRUE))</f>
        <v>-7.9052879877756608</v>
      </c>
      <c r="I38">
        <f t="shared" si="0"/>
        <v>97040</v>
      </c>
      <c r="K38">
        <f>HLOOKUP(CBSoverlevtafel!$K$3,CBStafelMan!$B$5:$CW$106, MATCH($A38,CBStafelMan!$A$5:$A$106,0),FALSE)</f>
        <v>96445</v>
      </c>
      <c r="L38">
        <f t="shared" si="4"/>
        <v>96445</v>
      </c>
      <c r="M38" s="54" cm="1">
        <f t="array" ref="M38">IF($B38 &lt; 100, -LN(-1/LN(L38/L37)-1), TREND(M$97:M$106, $B$97:$B$106, $B38:$B38,TRUE))</f>
        <v>-7.1588511144715836</v>
      </c>
      <c r="N38">
        <f>HLOOKUP(CBSoverlevtafel!$K$3,CBStafelVrouw!$B$5:$CW$106, MATCH($A38,CBStafelMan!$A$5:$A$106,0),FALSE)</f>
        <v>97635</v>
      </c>
      <c r="O38">
        <f t="shared" si="5"/>
        <v>97635</v>
      </c>
      <c r="P38" s="54" cm="1">
        <f t="array" ref="P38">IF($B38 &lt; 100, -LN(-1/LN(O38/O37)-1), TREND(P$97:P$106, $B$97:$B$106, $B38:$B38,TRUE))</f>
        <v>-7.9052879877756608</v>
      </c>
      <c r="Q38">
        <f t="shared" si="1"/>
        <v>97040</v>
      </c>
    </row>
    <row r="39" spans="1:17" x14ac:dyDescent="0.25">
      <c r="A39" t="s">
        <v>91</v>
      </c>
      <c r="B39">
        <v>32</v>
      </c>
      <c r="C39">
        <f>HLOOKUP(CBSoverlevtafel!$C$3,CBStafelMan!$B$5:$CW$106, MATCH($A39,CBStafelMan!$A$5:$A$106,0),FALSE)</f>
        <v>96368</v>
      </c>
      <c r="D39">
        <f t="shared" si="2"/>
        <v>96368</v>
      </c>
      <c r="E39" s="54" cm="1">
        <f t="array" ref="E39">IF($B39 &lt; 100, -LN(-1/LN(D39/D38)-1), TREND(E$97:E$106, $B$97:$B$106, $B39:$B39,TRUE))</f>
        <v>-7.1317244101907393</v>
      </c>
      <c r="F39">
        <f>HLOOKUP(CBSoverlevtafel!$C$3,CBStafelVrouw!$B$5:$CW$106, MATCH($A39,CBStafelMan!$A$5:$A$106,0),FALSE)</f>
        <v>97597</v>
      </c>
      <c r="G39">
        <f t="shared" si="3"/>
        <v>97597</v>
      </c>
      <c r="H39" s="54" cm="1">
        <f t="array" ref="H39">IF($B39 &lt; 100, -LN(-1/LN(G39/G38)-1), TREND(H$97:H$106, $B$97:$B$106, $B39:$B39,TRUE))</f>
        <v>-7.8508211647969866</v>
      </c>
      <c r="I39">
        <f t="shared" ref="I39:I70" si="6">AVERAGE(D39,G39)</f>
        <v>96982.5</v>
      </c>
      <c r="K39">
        <f>HLOOKUP(CBSoverlevtafel!$K$3,CBStafelMan!$B$5:$CW$106, MATCH($A39,CBStafelMan!$A$5:$A$106,0),FALSE)</f>
        <v>96368</v>
      </c>
      <c r="L39">
        <f t="shared" si="4"/>
        <v>96368</v>
      </c>
      <c r="M39" s="54" cm="1">
        <f t="array" ref="M39">IF($B39 &lt; 100, -LN(-1/LN(L39/L38)-1), TREND(M$97:M$106, $B$97:$B$106, $B39:$B39,TRUE))</f>
        <v>-7.1317244101907393</v>
      </c>
      <c r="N39">
        <f>HLOOKUP(CBSoverlevtafel!$K$3,CBStafelVrouw!$B$5:$CW$106, MATCH($A39,CBStafelMan!$A$5:$A$106,0),FALSE)</f>
        <v>97597</v>
      </c>
      <c r="O39">
        <f t="shared" si="5"/>
        <v>97597</v>
      </c>
      <c r="P39" s="54" cm="1">
        <f t="array" ref="P39">IF($B39 &lt; 100, -LN(-1/LN(O39/O38)-1), TREND(P$97:P$106, $B$97:$B$106, $B39:$B39,TRUE))</f>
        <v>-7.8508211647969866</v>
      </c>
      <c r="Q39">
        <f t="shared" ref="Q39:Q70" si="7">AVERAGE(L39,O39)</f>
        <v>96982.5</v>
      </c>
    </row>
    <row r="40" spans="1:17" x14ac:dyDescent="0.25">
      <c r="A40" t="s">
        <v>90</v>
      </c>
      <c r="B40">
        <v>33</v>
      </c>
      <c r="C40">
        <f>HLOOKUP(CBSoverlevtafel!$C$3,CBStafelMan!$B$5:$CW$106, MATCH($A40,CBStafelMan!$A$5:$A$106,0),FALSE)</f>
        <v>96290</v>
      </c>
      <c r="D40">
        <f t="shared" si="2"/>
        <v>96290</v>
      </c>
      <c r="E40" s="54" cm="1">
        <f t="array" ref="E40">IF($B40 &lt; 100, -LN(-1/LN(D40/D39)-1), TREND(E$97:E$106, $B$97:$B$106, $B40:$B40,TRUE))</f>
        <v>-7.118005760334678</v>
      </c>
      <c r="F40">
        <f>HLOOKUP(CBSoverlevtafel!$C$3,CBStafelVrouw!$B$5:$CW$106, MATCH($A40,CBStafelMan!$A$5:$A$106,0),FALSE)</f>
        <v>97549</v>
      </c>
      <c r="G40">
        <f t="shared" si="3"/>
        <v>97549</v>
      </c>
      <c r="H40" s="54" cm="1">
        <f t="array" ref="H40">IF($B40 &lt; 100, -LN(-1/LN(G40/G39)-1), TREND(H$97:H$106, $B$97:$B$106, $B40:$B40,TRUE))</f>
        <v>-7.6166630032899718</v>
      </c>
      <c r="I40">
        <f t="shared" si="6"/>
        <v>96919.5</v>
      </c>
      <c r="K40">
        <f>HLOOKUP(CBSoverlevtafel!$K$3,CBStafelMan!$B$5:$CW$106, MATCH($A40,CBStafelMan!$A$5:$A$106,0),FALSE)</f>
        <v>96290</v>
      </c>
      <c r="L40">
        <f t="shared" si="4"/>
        <v>96290</v>
      </c>
      <c r="M40" s="54" cm="1">
        <f t="array" ref="M40">IF($B40 &lt; 100, -LN(-1/LN(L40/L39)-1), TREND(M$97:M$106, $B$97:$B$106, $B40:$B40,TRUE))</f>
        <v>-7.118005760334678</v>
      </c>
      <c r="N40">
        <f>HLOOKUP(CBSoverlevtafel!$K$3,CBStafelVrouw!$B$5:$CW$106, MATCH($A40,CBStafelMan!$A$5:$A$106,0),FALSE)</f>
        <v>97549</v>
      </c>
      <c r="O40">
        <f t="shared" si="5"/>
        <v>97549</v>
      </c>
      <c r="P40" s="54" cm="1">
        <f t="array" ref="P40">IF($B40 &lt; 100, -LN(-1/LN(O40/O39)-1), TREND(P$97:P$106, $B$97:$B$106, $B40:$B40,TRUE))</f>
        <v>-7.6166630032899718</v>
      </c>
      <c r="Q40">
        <f t="shared" si="7"/>
        <v>96919.5</v>
      </c>
    </row>
    <row r="41" spans="1:17" x14ac:dyDescent="0.25">
      <c r="A41" t="s">
        <v>89</v>
      </c>
      <c r="B41">
        <v>34</v>
      </c>
      <c r="C41">
        <f>HLOOKUP(CBSoverlevtafel!$C$3,CBStafelMan!$B$5:$CW$106, MATCH($A41,CBStafelMan!$A$5:$A$106,0),FALSE)</f>
        <v>96211</v>
      </c>
      <c r="D41">
        <f t="shared" si="2"/>
        <v>96211</v>
      </c>
      <c r="E41" s="54" cm="1">
        <f t="array" ref="E41">IF($B41 &lt; 100, -LN(-1/LN(D41/D40)-1), TREND(E$97:E$106, $B$97:$B$106, $B41:$B41,TRUE))</f>
        <v>-7.1044404263120597</v>
      </c>
      <c r="F41">
        <f>HLOOKUP(CBSoverlevtafel!$C$3,CBStafelVrouw!$B$5:$CW$106, MATCH($A41,CBStafelMan!$A$5:$A$106,0),FALSE)</f>
        <v>97501</v>
      </c>
      <c r="G41">
        <f t="shared" si="3"/>
        <v>97501</v>
      </c>
      <c r="H41" s="54" cm="1">
        <f t="array" ref="H41">IF($B41 &lt; 100, -LN(-1/LN(G41/G40)-1), TREND(H$97:H$106, $B$97:$B$106, $B41:$B41,TRUE))</f>
        <v>-7.6161707006171238</v>
      </c>
      <c r="I41">
        <f t="shared" si="6"/>
        <v>96856</v>
      </c>
      <c r="K41">
        <f>HLOOKUP(CBSoverlevtafel!$K$3,CBStafelMan!$B$5:$CW$106, MATCH($A41,CBStafelMan!$A$5:$A$106,0),FALSE)</f>
        <v>96211</v>
      </c>
      <c r="L41">
        <f t="shared" si="4"/>
        <v>96211</v>
      </c>
      <c r="M41" s="54" cm="1">
        <f t="array" ref="M41">IF($B41 &lt; 100, -LN(-1/LN(L41/L40)-1), TREND(M$97:M$106, $B$97:$B$106, $B41:$B41,TRUE))</f>
        <v>-7.1044404263120597</v>
      </c>
      <c r="N41">
        <f>HLOOKUP(CBSoverlevtafel!$K$3,CBStafelVrouw!$B$5:$CW$106, MATCH($A41,CBStafelMan!$A$5:$A$106,0),FALSE)</f>
        <v>97501</v>
      </c>
      <c r="O41">
        <f t="shared" si="5"/>
        <v>97501</v>
      </c>
      <c r="P41" s="54" cm="1">
        <f t="array" ref="P41">IF($B41 &lt; 100, -LN(-1/LN(O41/O40)-1), TREND(P$97:P$106, $B$97:$B$106, $B41:$B41,TRUE))</f>
        <v>-7.6161707006171238</v>
      </c>
      <c r="Q41">
        <f t="shared" si="7"/>
        <v>96856</v>
      </c>
    </row>
    <row r="42" spans="1:17" x14ac:dyDescent="0.25">
      <c r="A42" t="s">
        <v>88</v>
      </c>
      <c r="B42">
        <v>35</v>
      </c>
      <c r="C42">
        <f>HLOOKUP(CBSoverlevtafel!$C$3,CBStafelMan!$B$5:$CW$106, MATCH($A42,CBStafelMan!$A$5:$A$106,0),FALSE)</f>
        <v>96138</v>
      </c>
      <c r="D42">
        <f t="shared" si="2"/>
        <v>96138</v>
      </c>
      <c r="E42" s="54" cm="1">
        <f t="array" ref="E42">IF($B42 &lt; 100, -LN(-1/LN(D42/D41)-1), TREND(E$97:E$106, $B$97:$B$106, $B42:$B42,TRUE))</f>
        <v>-7.1827007143812214</v>
      </c>
      <c r="F42">
        <f>HLOOKUP(CBSoverlevtafel!$C$3,CBStafelVrouw!$B$5:$CW$106, MATCH($A42,CBStafelMan!$A$5:$A$106,0),FALSE)</f>
        <v>97441</v>
      </c>
      <c r="G42">
        <f t="shared" si="3"/>
        <v>97441</v>
      </c>
      <c r="H42" s="54" cm="1">
        <f t="array" ref="H42">IF($B42 &lt; 100, -LN(-1/LN(G42/G41)-1), TREND(H$97:H$106, $B$97:$B$106, $B42:$B42,TRUE))</f>
        <v>-7.3923498257801832</v>
      </c>
      <c r="I42">
        <f t="shared" si="6"/>
        <v>96789.5</v>
      </c>
      <c r="K42">
        <f>HLOOKUP(CBSoverlevtafel!$K$3,CBStafelMan!$B$5:$CW$106, MATCH($A42,CBStafelMan!$A$5:$A$106,0),FALSE)</f>
        <v>96138</v>
      </c>
      <c r="L42">
        <f t="shared" si="4"/>
        <v>96138</v>
      </c>
      <c r="M42" s="54" cm="1">
        <f t="array" ref="M42">IF($B42 &lt; 100, -LN(-1/LN(L42/L41)-1), TREND(M$97:M$106, $B$97:$B$106, $B42:$B42,TRUE))</f>
        <v>-7.1827007143812214</v>
      </c>
      <c r="N42">
        <f>HLOOKUP(CBSoverlevtafel!$K$3,CBStafelVrouw!$B$5:$CW$106, MATCH($A42,CBStafelMan!$A$5:$A$106,0),FALSE)</f>
        <v>97441</v>
      </c>
      <c r="O42">
        <f t="shared" si="5"/>
        <v>97441</v>
      </c>
      <c r="P42" s="54" cm="1">
        <f t="array" ref="P42">IF($B42 &lt; 100, -LN(-1/LN(O42/O41)-1), TREND(P$97:P$106, $B$97:$B$106, $B42:$B42,TRUE))</f>
        <v>-7.3923498257801832</v>
      </c>
      <c r="Q42">
        <f t="shared" si="7"/>
        <v>96789.5</v>
      </c>
    </row>
    <row r="43" spans="1:17" x14ac:dyDescent="0.25">
      <c r="A43" t="s">
        <v>87</v>
      </c>
      <c r="B43">
        <v>36</v>
      </c>
      <c r="C43">
        <f>HLOOKUP(CBSoverlevtafel!$C$3,CBStafelMan!$B$5:$CW$106, MATCH($A43,CBStafelMan!$A$5:$A$106,0),FALSE)</f>
        <v>96063</v>
      </c>
      <c r="D43">
        <f t="shared" si="2"/>
        <v>96063</v>
      </c>
      <c r="E43" s="54" cm="1">
        <f t="array" ref="E43">IF($B43 &lt; 100, -LN(-1/LN(D43/D42)-1), TREND(E$97:E$106, $B$97:$B$106, $B43:$B43,TRUE))</f>
        <v>-7.1548808958456949</v>
      </c>
      <c r="F43">
        <f>HLOOKUP(CBSoverlevtafel!$C$3,CBStafelVrouw!$B$5:$CW$106, MATCH($A43,CBStafelMan!$A$5:$A$106,0),FALSE)</f>
        <v>97391</v>
      </c>
      <c r="G43">
        <f t="shared" si="3"/>
        <v>97391</v>
      </c>
      <c r="H43" s="54" cm="1">
        <f t="array" ref="H43">IF($B43 &lt; 100, -LN(-1/LN(G43/G42)-1), TREND(H$97:H$106, $B$97:$B$106, $B43:$B43,TRUE))</f>
        <v>-7.5742093253213456</v>
      </c>
      <c r="I43">
        <f t="shared" si="6"/>
        <v>96727</v>
      </c>
      <c r="K43">
        <f>HLOOKUP(CBSoverlevtafel!$K$3,CBStafelMan!$B$5:$CW$106, MATCH($A43,CBStafelMan!$A$5:$A$106,0),FALSE)</f>
        <v>96063</v>
      </c>
      <c r="L43">
        <f t="shared" si="4"/>
        <v>96063</v>
      </c>
      <c r="M43" s="54" cm="1">
        <f t="array" ref="M43">IF($B43 &lt; 100, -LN(-1/LN(L43/L42)-1), TREND(M$97:M$106, $B$97:$B$106, $B43:$B43,TRUE))</f>
        <v>-7.1548808958456949</v>
      </c>
      <c r="N43">
        <f>HLOOKUP(CBSoverlevtafel!$K$3,CBStafelVrouw!$B$5:$CW$106, MATCH($A43,CBStafelMan!$A$5:$A$106,0),FALSE)</f>
        <v>97391</v>
      </c>
      <c r="O43">
        <f t="shared" si="5"/>
        <v>97391</v>
      </c>
      <c r="P43" s="54" cm="1">
        <f t="array" ref="P43">IF($B43 &lt; 100, -LN(-1/LN(O43/O42)-1), TREND(P$97:P$106, $B$97:$B$106, $B43:$B43,TRUE))</f>
        <v>-7.5742093253213456</v>
      </c>
      <c r="Q43">
        <f t="shared" si="7"/>
        <v>96727</v>
      </c>
    </row>
    <row r="44" spans="1:17" x14ac:dyDescent="0.25">
      <c r="A44" t="s">
        <v>86</v>
      </c>
      <c r="B44">
        <v>37</v>
      </c>
      <c r="C44">
        <f>HLOOKUP(CBSoverlevtafel!$C$3,CBStafelMan!$B$5:$CW$106, MATCH($A44,CBStafelMan!$A$5:$A$106,0),FALSE)</f>
        <v>95979</v>
      </c>
      <c r="D44">
        <f t="shared" si="2"/>
        <v>95979</v>
      </c>
      <c r="E44" s="54" cm="1">
        <f t="array" ref="E44">IF($B44 &lt; 100, -LN(-1/LN(D44/D43)-1), TREND(E$97:E$106, $B$97:$B$106, $B44:$B44,TRUE))</f>
        <v>-7.0406301423503157</v>
      </c>
      <c r="F44">
        <f>HLOOKUP(CBSoverlevtafel!$C$3,CBStafelVrouw!$B$5:$CW$106, MATCH($A44,CBStafelMan!$A$5:$A$106,0),FALSE)</f>
        <v>97325</v>
      </c>
      <c r="G44">
        <f t="shared" si="3"/>
        <v>97325</v>
      </c>
      <c r="H44" s="54" cm="1">
        <f t="array" ref="H44">IF($B44 &lt; 100, -LN(-1/LN(G44/G43)-1), TREND(H$97:H$106, $B$97:$B$106, $B44:$B44,TRUE))</f>
        <v>-7.2958172645062334</v>
      </c>
      <c r="I44">
        <f t="shared" si="6"/>
        <v>96652</v>
      </c>
      <c r="K44">
        <f>HLOOKUP(CBSoverlevtafel!$K$3,CBStafelMan!$B$5:$CW$106, MATCH($A44,CBStafelMan!$A$5:$A$106,0),FALSE)</f>
        <v>95979</v>
      </c>
      <c r="L44">
        <f t="shared" si="4"/>
        <v>95979</v>
      </c>
      <c r="M44" s="54" cm="1">
        <f t="array" ref="M44">IF($B44 &lt; 100, -LN(-1/LN(L44/L43)-1), TREND(M$97:M$106, $B$97:$B$106, $B44:$B44,TRUE))</f>
        <v>-7.0406301423503157</v>
      </c>
      <c r="N44">
        <f>HLOOKUP(CBSoverlevtafel!$K$3,CBStafelVrouw!$B$5:$CW$106, MATCH($A44,CBStafelMan!$A$5:$A$106,0),FALSE)</f>
        <v>97325</v>
      </c>
      <c r="O44">
        <f t="shared" si="5"/>
        <v>97325</v>
      </c>
      <c r="P44" s="54" cm="1">
        <f t="array" ref="P44">IF($B44 &lt; 100, -LN(-1/LN(O44/O43)-1), TREND(P$97:P$106, $B$97:$B$106, $B44:$B44,TRUE))</f>
        <v>-7.2958172645062334</v>
      </c>
      <c r="Q44">
        <f t="shared" si="7"/>
        <v>96652</v>
      </c>
    </row>
    <row r="45" spans="1:17" x14ac:dyDescent="0.25">
      <c r="A45" t="s">
        <v>85</v>
      </c>
      <c r="B45">
        <v>38</v>
      </c>
      <c r="C45">
        <f>HLOOKUP(CBSoverlevtafel!$C$3,CBStafelMan!$B$5:$CW$106, MATCH($A45,CBStafelMan!$A$5:$A$106,0),FALSE)</f>
        <v>95879</v>
      </c>
      <c r="D45">
        <f t="shared" si="2"/>
        <v>95879</v>
      </c>
      <c r="E45" s="54" cm="1">
        <f t="array" ref="E45">IF($B45 &lt; 100, -LN(-1/LN(D45/D44)-1), TREND(E$97:E$106, $B$97:$B$106, $B45:$B45,TRUE))</f>
        <v>-6.8651503554988595</v>
      </c>
      <c r="F45">
        <f>HLOOKUP(CBSoverlevtafel!$C$3,CBStafelVrouw!$B$5:$CW$106, MATCH($A45,CBStafelMan!$A$5:$A$106,0),FALSE)</f>
        <v>97262</v>
      </c>
      <c r="G45">
        <f t="shared" si="3"/>
        <v>97262</v>
      </c>
      <c r="H45" s="54" cm="1">
        <f t="array" ref="H45">IF($B45 &lt; 100, -LN(-1/LN(G45/G44)-1), TREND(H$97:H$106, $B$97:$B$106, $B45:$B45,TRUE))</f>
        <v>-7.3417049658812976</v>
      </c>
      <c r="I45">
        <f t="shared" si="6"/>
        <v>96570.5</v>
      </c>
      <c r="K45">
        <f>HLOOKUP(CBSoverlevtafel!$K$3,CBStafelMan!$B$5:$CW$106, MATCH($A45,CBStafelMan!$A$5:$A$106,0),FALSE)</f>
        <v>95879</v>
      </c>
      <c r="L45">
        <f t="shared" si="4"/>
        <v>95879</v>
      </c>
      <c r="M45" s="54" cm="1">
        <f t="array" ref="M45">IF($B45 &lt; 100, -LN(-1/LN(L45/L44)-1), TREND(M$97:M$106, $B$97:$B$106, $B45:$B45,TRUE))</f>
        <v>-6.8651503554988595</v>
      </c>
      <c r="N45">
        <f>HLOOKUP(CBSoverlevtafel!$K$3,CBStafelVrouw!$B$5:$CW$106, MATCH($A45,CBStafelMan!$A$5:$A$106,0),FALSE)</f>
        <v>97262</v>
      </c>
      <c r="O45">
        <f t="shared" si="5"/>
        <v>97262</v>
      </c>
      <c r="P45" s="54" cm="1">
        <f t="array" ref="P45">IF($B45 &lt; 100, -LN(-1/LN(O45/O44)-1), TREND(P$97:P$106, $B$97:$B$106, $B45:$B45,TRUE))</f>
        <v>-7.3417049658812976</v>
      </c>
      <c r="Q45">
        <f t="shared" si="7"/>
        <v>96570.5</v>
      </c>
    </row>
    <row r="46" spans="1:17" x14ac:dyDescent="0.25">
      <c r="A46" t="s">
        <v>84</v>
      </c>
      <c r="B46">
        <v>39</v>
      </c>
      <c r="C46">
        <f>HLOOKUP(CBSoverlevtafel!$C$3,CBStafelMan!$B$5:$CW$106, MATCH($A46,CBStafelMan!$A$5:$A$106,0),FALSE)</f>
        <v>95796</v>
      </c>
      <c r="D46">
        <f t="shared" si="2"/>
        <v>95796</v>
      </c>
      <c r="E46" s="54" cm="1">
        <f t="array" ref="E46">IF($B46 &lt; 100, -LN(-1/LN(D46/D45)-1), TREND(E$97:E$106, $B$97:$B$106, $B46:$B46,TRUE))</f>
        <v>-7.0507022329733662</v>
      </c>
      <c r="F46">
        <f>HLOOKUP(CBSoverlevtafel!$C$3,CBStafelVrouw!$B$5:$CW$106, MATCH($A46,CBStafelMan!$A$5:$A$106,0),FALSE)</f>
        <v>97189</v>
      </c>
      <c r="G46">
        <f t="shared" si="3"/>
        <v>97189</v>
      </c>
      <c r="H46" s="54" cm="1">
        <f t="array" ref="H46">IF($B46 &lt; 100, -LN(-1/LN(G46/G45)-1), TREND(H$97:H$106, $B$97:$B$106, $B46:$B46,TRUE))</f>
        <v>-7.1935776997136571</v>
      </c>
      <c r="I46">
        <f t="shared" si="6"/>
        <v>96492.5</v>
      </c>
      <c r="K46">
        <f>HLOOKUP(CBSoverlevtafel!$K$3,CBStafelMan!$B$5:$CW$106, MATCH($A46,CBStafelMan!$A$5:$A$106,0),FALSE)</f>
        <v>95796</v>
      </c>
      <c r="L46">
        <f t="shared" si="4"/>
        <v>95796</v>
      </c>
      <c r="M46" s="54" cm="1">
        <f t="array" ref="M46">IF($B46 &lt; 100, -LN(-1/LN(L46/L45)-1), TREND(M$97:M$106, $B$97:$B$106, $B46:$B46,TRUE))</f>
        <v>-7.0507022329733662</v>
      </c>
      <c r="N46">
        <f>HLOOKUP(CBSoverlevtafel!$K$3,CBStafelVrouw!$B$5:$CW$106, MATCH($A46,CBStafelMan!$A$5:$A$106,0),FALSE)</f>
        <v>97189</v>
      </c>
      <c r="O46">
        <f t="shared" si="5"/>
        <v>97189</v>
      </c>
      <c r="P46" s="54" cm="1">
        <f t="array" ref="P46">IF($B46 &lt; 100, -LN(-1/LN(O46/O45)-1), TREND(P$97:P$106, $B$97:$B$106, $B46:$B46,TRUE))</f>
        <v>-7.1935776997136571</v>
      </c>
      <c r="Q46">
        <f t="shared" si="7"/>
        <v>96492.5</v>
      </c>
    </row>
    <row r="47" spans="1:17" x14ac:dyDescent="0.25">
      <c r="A47" t="s">
        <v>83</v>
      </c>
      <c r="B47">
        <v>40</v>
      </c>
      <c r="C47">
        <f>HLOOKUP(CBSoverlevtafel!$C$3,CBStafelMan!$B$5:$CW$106, MATCH($A47,CBStafelMan!$A$5:$A$106,0),FALSE)</f>
        <v>95697</v>
      </c>
      <c r="D47">
        <f t="shared" si="2"/>
        <v>95697</v>
      </c>
      <c r="E47" s="54" cm="1">
        <f t="array" ref="E47">IF($B47 &lt; 100, -LN(-1/LN(D47/D46)-1), TREND(E$97:E$106, $B$97:$B$106, $B47:$B47,TRUE))</f>
        <v>-6.8733048982494251</v>
      </c>
      <c r="F47">
        <f>HLOOKUP(CBSoverlevtafel!$C$3,CBStafelVrouw!$B$5:$CW$106, MATCH($A47,CBStafelMan!$A$5:$A$106,0),FALSE)</f>
        <v>97113</v>
      </c>
      <c r="G47">
        <f t="shared" si="3"/>
        <v>97113</v>
      </c>
      <c r="H47" s="54" cm="1">
        <f t="array" ref="H47">IF($B47 &lt; 100, -LN(-1/LN(G47/G46)-1), TREND(H$97:H$106, $B$97:$B$106, $B47:$B47,TRUE))</f>
        <v>-7.152505763275796</v>
      </c>
      <c r="I47">
        <f t="shared" si="6"/>
        <v>96405</v>
      </c>
      <c r="K47">
        <f>HLOOKUP(CBSoverlevtafel!$K$3,CBStafelMan!$B$5:$CW$106, MATCH($A47,CBStafelMan!$A$5:$A$106,0),FALSE)</f>
        <v>95697</v>
      </c>
      <c r="L47">
        <f t="shared" si="4"/>
        <v>95697</v>
      </c>
      <c r="M47" s="54" cm="1">
        <f t="array" ref="M47">IF($B47 &lt; 100, -LN(-1/LN(L47/L46)-1), TREND(M$97:M$106, $B$97:$B$106, $B47:$B47,TRUE))</f>
        <v>-6.8733048982494251</v>
      </c>
      <c r="N47">
        <f>HLOOKUP(CBSoverlevtafel!$K$3,CBStafelVrouw!$B$5:$CW$106, MATCH($A47,CBStafelMan!$A$5:$A$106,0),FALSE)</f>
        <v>97113</v>
      </c>
      <c r="O47">
        <f t="shared" si="5"/>
        <v>97113</v>
      </c>
      <c r="P47" s="54" cm="1">
        <f t="array" ref="P47">IF($B47 &lt; 100, -LN(-1/LN(O47/O46)-1), TREND(P$97:P$106, $B$97:$B$106, $B47:$B47,TRUE))</f>
        <v>-7.152505763275796</v>
      </c>
      <c r="Q47">
        <f t="shared" si="7"/>
        <v>96405</v>
      </c>
    </row>
    <row r="48" spans="1:17" x14ac:dyDescent="0.25">
      <c r="A48" t="s">
        <v>82</v>
      </c>
      <c r="B48">
        <v>41</v>
      </c>
      <c r="C48">
        <f>HLOOKUP(CBSoverlevtafel!$C$3,CBStafelMan!$B$5:$CW$106, MATCH($A48,CBStafelMan!$A$5:$A$106,0),FALSE)</f>
        <v>95591</v>
      </c>
      <c r="D48">
        <f t="shared" si="2"/>
        <v>95591</v>
      </c>
      <c r="E48" s="54" cm="1">
        <f t="array" ref="E48">IF($B48 &lt; 100, -LN(-1/LN(D48/D47)-1), TREND(E$97:E$106, $B$97:$B$106, $B48:$B48,TRUE))</f>
        <v>-6.8038401565024236</v>
      </c>
      <c r="F48">
        <f>HLOOKUP(CBSoverlevtafel!$C$3,CBStafelVrouw!$B$5:$CW$106, MATCH($A48,CBStafelMan!$A$5:$A$106,0),FALSE)</f>
        <v>97024</v>
      </c>
      <c r="G48">
        <f t="shared" si="3"/>
        <v>97024</v>
      </c>
      <c r="H48" s="54" cm="1">
        <f t="array" ref="H48">IF($B48 &lt; 100, -LN(-1/LN(G48/G47)-1), TREND(H$97:H$106, $B$97:$B$106, $B48:$B48,TRUE))</f>
        <v>-6.993618455091962</v>
      </c>
      <c r="I48">
        <f t="shared" si="6"/>
        <v>96307.5</v>
      </c>
      <c r="K48">
        <f>HLOOKUP(CBSoverlevtafel!$K$3,CBStafelMan!$B$5:$CW$106, MATCH($A48,CBStafelMan!$A$5:$A$106,0),FALSE)</f>
        <v>95591</v>
      </c>
      <c r="L48">
        <f t="shared" si="4"/>
        <v>95591</v>
      </c>
      <c r="M48" s="54" cm="1">
        <f t="array" ref="M48">IF($B48 &lt; 100, -LN(-1/LN(L48/L47)-1), TREND(M$97:M$106, $B$97:$B$106, $B48:$B48,TRUE))</f>
        <v>-6.8038401565024236</v>
      </c>
      <c r="N48">
        <f>HLOOKUP(CBSoverlevtafel!$K$3,CBStafelVrouw!$B$5:$CW$106, MATCH($A48,CBStafelMan!$A$5:$A$106,0),FALSE)</f>
        <v>97024</v>
      </c>
      <c r="O48">
        <f t="shared" si="5"/>
        <v>97024</v>
      </c>
      <c r="P48" s="54" cm="1">
        <f t="array" ref="P48">IF($B48 &lt; 100, -LN(-1/LN(O48/O47)-1), TREND(P$97:P$106, $B$97:$B$106, $B48:$B48,TRUE))</f>
        <v>-6.993618455091962</v>
      </c>
      <c r="Q48">
        <f t="shared" si="7"/>
        <v>96307.5</v>
      </c>
    </row>
    <row r="49" spans="1:17" x14ac:dyDescent="0.25">
      <c r="A49" t="s">
        <v>81</v>
      </c>
      <c r="B49">
        <v>42</v>
      </c>
      <c r="C49">
        <f>HLOOKUP(CBSoverlevtafel!$C$3,CBStafelMan!$B$5:$CW$106, MATCH($A49,CBStafelMan!$A$5:$A$106,0),FALSE)</f>
        <v>95480</v>
      </c>
      <c r="D49">
        <f t="shared" si="2"/>
        <v>95480</v>
      </c>
      <c r="E49" s="54" cm="1">
        <f t="array" ref="E49">IF($B49 &lt; 100, -LN(-1/LN(D49/D48)-1), TREND(E$97:E$106, $B$97:$B$106, $B49:$B49,TRUE))</f>
        <v>-6.7565603239439049</v>
      </c>
      <c r="F49">
        <f>HLOOKUP(CBSoverlevtafel!$C$3,CBStafelVrouw!$B$5:$CW$106, MATCH($A49,CBStafelMan!$A$5:$A$106,0),FALSE)</f>
        <v>96919</v>
      </c>
      <c r="G49">
        <f t="shared" si="3"/>
        <v>96919</v>
      </c>
      <c r="H49" s="54" cm="1">
        <f t="array" ref="H49">IF($B49 &lt; 100, -LN(-1/LN(G49/G48)-1), TREND(H$97:H$106, $B$97:$B$106, $B49:$B49,TRUE))</f>
        <v>-6.8271285729038915</v>
      </c>
      <c r="I49">
        <f t="shared" si="6"/>
        <v>96199.5</v>
      </c>
      <c r="K49">
        <f>HLOOKUP(CBSoverlevtafel!$K$3,CBStafelMan!$B$5:$CW$106, MATCH($A49,CBStafelMan!$A$5:$A$106,0),FALSE)</f>
        <v>95480</v>
      </c>
      <c r="L49">
        <f t="shared" si="4"/>
        <v>95480</v>
      </c>
      <c r="M49" s="54" cm="1">
        <f t="array" ref="M49">IF($B49 &lt; 100, -LN(-1/LN(L49/L48)-1), TREND(M$97:M$106, $B$97:$B$106, $B49:$B49,TRUE))</f>
        <v>-6.7565603239439049</v>
      </c>
      <c r="N49">
        <f>HLOOKUP(CBSoverlevtafel!$K$3,CBStafelVrouw!$B$5:$CW$106, MATCH($A49,CBStafelMan!$A$5:$A$106,0),FALSE)</f>
        <v>96919</v>
      </c>
      <c r="O49">
        <f t="shared" si="5"/>
        <v>96919</v>
      </c>
      <c r="P49" s="54" cm="1">
        <f t="array" ref="P49">IF($B49 &lt; 100, -LN(-1/LN(O49/O48)-1), TREND(P$97:P$106, $B$97:$B$106, $B49:$B49,TRUE))</f>
        <v>-6.8271285729038915</v>
      </c>
      <c r="Q49">
        <f t="shared" si="7"/>
        <v>96199.5</v>
      </c>
    </row>
    <row r="50" spans="1:17" x14ac:dyDescent="0.25">
      <c r="A50" t="s">
        <v>80</v>
      </c>
      <c r="B50">
        <v>43</v>
      </c>
      <c r="C50">
        <f>HLOOKUP(CBSoverlevtafel!$C$3,CBStafelMan!$B$5:$CW$106, MATCH($A50,CBStafelMan!$A$5:$A$106,0),FALSE)</f>
        <v>95381</v>
      </c>
      <c r="D50">
        <f t="shared" si="2"/>
        <v>95381</v>
      </c>
      <c r="E50" s="54" cm="1">
        <f t="array" ref="E50">IF($B50 &lt; 100, -LN(-1/LN(D50/D49)-1), TREND(E$97:E$106, $B$97:$B$106, $B50:$B50,TRUE))</f>
        <v>-6.8699956302680532</v>
      </c>
      <c r="F50">
        <f>HLOOKUP(CBSoverlevtafel!$C$3,CBStafelVrouw!$B$5:$CW$106, MATCH($A50,CBStafelMan!$A$5:$A$106,0),FALSE)</f>
        <v>96834</v>
      </c>
      <c r="G50">
        <f t="shared" si="3"/>
        <v>96834</v>
      </c>
      <c r="H50" s="54" cm="1">
        <f t="array" ref="H50">IF($B50 &lt; 100, -LN(-1/LN(G50/G49)-1), TREND(H$97:H$106, $B$97:$B$106, $B50:$B50,TRUE))</f>
        <v>-7.0376631387917543</v>
      </c>
      <c r="I50">
        <f t="shared" si="6"/>
        <v>96107.5</v>
      </c>
      <c r="K50">
        <f>HLOOKUP(CBSoverlevtafel!$K$3,CBStafelMan!$B$5:$CW$106, MATCH($A50,CBStafelMan!$A$5:$A$106,0),FALSE)</f>
        <v>95381</v>
      </c>
      <c r="L50">
        <f t="shared" si="4"/>
        <v>95381</v>
      </c>
      <c r="M50" s="54" cm="1">
        <f t="array" ref="M50">IF($B50 &lt; 100, -LN(-1/LN(L50/L49)-1), TREND(M$97:M$106, $B$97:$B$106, $B50:$B50,TRUE))</f>
        <v>-6.8699956302680532</v>
      </c>
      <c r="N50">
        <f>HLOOKUP(CBSoverlevtafel!$K$3,CBStafelVrouw!$B$5:$CW$106, MATCH($A50,CBStafelMan!$A$5:$A$106,0),FALSE)</f>
        <v>96834</v>
      </c>
      <c r="O50">
        <f t="shared" si="5"/>
        <v>96834</v>
      </c>
      <c r="P50" s="54" cm="1">
        <f t="array" ref="P50">IF($B50 &lt; 100, -LN(-1/LN(O50/O49)-1), TREND(P$97:P$106, $B$97:$B$106, $B50:$B50,TRUE))</f>
        <v>-7.0376631387917543</v>
      </c>
      <c r="Q50">
        <f t="shared" si="7"/>
        <v>96107.5</v>
      </c>
    </row>
    <row r="51" spans="1:17" x14ac:dyDescent="0.25">
      <c r="A51" t="s">
        <v>79</v>
      </c>
      <c r="B51">
        <v>44</v>
      </c>
      <c r="C51">
        <f>HLOOKUP(CBSoverlevtafel!$C$3,CBStafelMan!$B$5:$CW$106, MATCH($A51,CBStafelMan!$A$5:$A$106,0),FALSE)</f>
        <v>95242</v>
      </c>
      <c r="D51">
        <f t="shared" si="2"/>
        <v>95242</v>
      </c>
      <c r="E51" s="54" cm="1">
        <f t="array" ref="E51">IF($B51 &lt; 100, -LN(-1/LN(D51/D50)-1), TREND(E$97:E$106, $B$97:$B$106, $B51:$B51,TRUE))</f>
        <v>-6.5289722028755532</v>
      </c>
      <c r="F51">
        <f>HLOOKUP(CBSoverlevtafel!$C$3,CBStafelVrouw!$B$5:$CW$106, MATCH($A51,CBStafelMan!$A$5:$A$106,0),FALSE)</f>
        <v>96737</v>
      </c>
      <c r="G51">
        <f t="shared" si="3"/>
        <v>96737</v>
      </c>
      <c r="H51" s="54" cm="1">
        <f t="array" ref="H51">IF($B51 &lt; 100, -LN(-1/LN(G51/G50)-1), TREND(H$97:H$106, $B$97:$B$106, $B51:$B51,TRUE))</f>
        <v>-6.9045386875700441</v>
      </c>
      <c r="I51">
        <f t="shared" si="6"/>
        <v>95989.5</v>
      </c>
      <c r="K51">
        <f>HLOOKUP(CBSoverlevtafel!$K$3,CBStafelMan!$B$5:$CW$106, MATCH($A51,CBStafelMan!$A$5:$A$106,0),FALSE)</f>
        <v>95242</v>
      </c>
      <c r="L51">
        <f t="shared" si="4"/>
        <v>95242</v>
      </c>
      <c r="M51" s="54" cm="1">
        <f t="array" ref="M51">IF($B51 &lt; 100, -LN(-1/LN(L51/L50)-1), TREND(M$97:M$106, $B$97:$B$106, $B51:$B51,TRUE))</f>
        <v>-6.5289722028755532</v>
      </c>
      <c r="N51">
        <f>HLOOKUP(CBSoverlevtafel!$K$3,CBStafelVrouw!$B$5:$CW$106, MATCH($A51,CBStafelMan!$A$5:$A$106,0),FALSE)</f>
        <v>96737</v>
      </c>
      <c r="O51">
        <f t="shared" si="5"/>
        <v>96737</v>
      </c>
      <c r="P51" s="54" cm="1">
        <f t="array" ref="P51">IF($B51 &lt; 100, -LN(-1/LN(O51/O50)-1), TREND(P$97:P$106, $B$97:$B$106, $B51:$B51,TRUE))</f>
        <v>-6.9045386875700441</v>
      </c>
      <c r="Q51">
        <f t="shared" si="7"/>
        <v>95989.5</v>
      </c>
    </row>
    <row r="52" spans="1:17" x14ac:dyDescent="0.25">
      <c r="A52" t="s">
        <v>78</v>
      </c>
      <c r="B52">
        <v>45</v>
      </c>
      <c r="C52">
        <f>HLOOKUP(CBSoverlevtafel!$C$3,CBStafelMan!$B$5:$CW$106, MATCH($A52,CBStafelMan!$A$5:$A$106,0),FALSE)</f>
        <v>95093</v>
      </c>
      <c r="D52">
        <f t="shared" si="2"/>
        <v>95093</v>
      </c>
      <c r="E52" s="54" cm="1">
        <f t="array" ref="E52">IF($B52 &lt; 100, -LN(-1/LN(D52/D51)-1), TREND(E$97:E$106, $B$97:$B$106, $B52:$B52,TRUE))</f>
        <v>-6.4578803779257719</v>
      </c>
      <c r="F52">
        <f>HLOOKUP(CBSoverlevtafel!$C$3,CBStafelVrouw!$B$5:$CW$106, MATCH($A52,CBStafelMan!$A$5:$A$106,0),FALSE)</f>
        <v>96613</v>
      </c>
      <c r="G52">
        <f t="shared" si="3"/>
        <v>96613</v>
      </c>
      <c r="H52" s="54" cm="1">
        <f t="array" ref="H52">IF($B52 &lt; 100, -LN(-1/LN(G52/G51)-1), TREND(H$97:H$106, $B$97:$B$106, $B52:$B52,TRUE))</f>
        <v>-6.6575449422509045</v>
      </c>
      <c r="I52">
        <f t="shared" si="6"/>
        <v>95853</v>
      </c>
      <c r="K52">
        <f>HLOOKUP(CBSoverlevtafel!$K$3,CBStafelMan!$B$5:$CW$106, MATCH($A52,CBStafelMan!$A$5:$A$106,0),FALSE)</f>
        <v>95093</v>
      </c>
      <c r="L52">
        <f t="shared" si="4"/>
        <v>95093</v>
      </c>
      <c r="M52" s="54" cm="1">
        <f t="array" ref="M52">IF($B52 &lt; 100, -LN(-1/LN(L52/L51)-1), TREND(M$97:M$106, $B$97:$B$106, $B52:$B52,TRUE))</f>
        <v>-6.4578803779257719</v>
      </c>
      <c r="N52">
        <f>HLOOKUP(CBSoverlevtafel!$K$3,CBStafelVrouw!$B$5:$CW$106, MATCH($A52,CBStafelMan!$A$5:$A$106,0),FALSE)</f>
        <v>96613</v>
      </c>
      <c r="O52">
        <f t="shared" si="5"/>
        <v>96613</v>
      </c>
      <c r="P52" s="54" cm="1">
        <f t="array" ref="P52">IF($B52 &lt; 100, -LN(-1/LN(O52/O51)-1), TREND(P$97:P$106, $B$97:$B$106, $B52:$B52,TRUE))</f>
        <v>-6.6575449422509045</v>
      </c>
      <c r="Q52">
        <f t="shared" si="7"/>
        <v>95853</v>
      </c>
    </row>
    <row r="53" spans="1:17" x14ac:dyDescent="0.25">
      <c r="A53" t="s">
        <v>77</v>
      </c>
      <c r="B53">
        <v>46</v>
      </c>
      <c r="C53">
        <f>HLOOKUP(CBSoverlevtafel!$C$3,CBStafelMan!$B$5:$CW$106, MATCH($A53,CBStafelMan!$A$5:$A$106,0),FALSE)</f>
        <v>94939</v>
      </c>
      <c r="D53">
        <f t="shared" si="2"/>
        <v>94939</v>
      </c>
      <c r="E53" s="54" cm="1">
        <f t="array" ref="E53">IF($B53 &lt; 100, -LN(-1/LN(D53/D52)-1), TREND(E$97:E$106, $B$97:$B$106, $B53:$B53,TRUE))</f>
        <v>-6.4232256612319674</v>
      </c>
      <c r="F53">
        <f>HLOOKUP(CBSoverlevtafel!$C$3,CBStafelVrouw!$B$5:$CW$106, MATCH($A53,CBStafelMan!$A$5:$A$106,0),FALSE)</f>
        <v>96495</v>
      </c>
      <c r="G53">
        <f t="shared" si="3"/>
        <v>96495</v>
      </c>
      <c r="H53" s="54" cm="1">
        <f t="array" ref="H53">IF($B53 &lt; 100, -LN(-1/LN(G53/G52)-1), TREND(H$97:H$106, $B$97:$B$106, $B53:$B53,TRUE))</f>
        <v>-6.7059501057876147</v>
      </c>
      <c r="I53">
        <f t="shared" si="6"/>
        <v>95717</v>
      </c>
      <c r="K53">
        <f>HLOOKUP(CBSoverlevtafel!$K$3,CBStafelMan!$B$5:$CW$106, MATCH($A53,CBStafelMan!$A$5:$A$106,0),FALSE)</f>
        <v>94939</v>
      </c>
      <c r="L53">
        <f t="shared" si="4"/>
        <v>94939</v>
      </c>
      <c r="M53" s="54" cm="1">
        <f t="array" ref="M53">IF($B53 &lt; 100, -LN(-1/LN(L53/L52)-1), TREND(M$97:M$106, $B$97:$B$106, $B53:$B53,TRUE))</f>
        <v>-6.4232256612319674</v>
      </c>
      <c r="N53">
        <f>HLOOKUP(CBSoverlevtafel!$K$3,CBStafelVrouw!$B$5:$CW$106, MATCH($A53,CBStafelMan!$A$5:$A$106,0),FALSE)</f>
        <v>96495</v>
      </c>
      <c r="O53">
        <f t="shared" si="5"/>
        <v>96495</v>
      </c>
      <c r="P53" s="54" cm="1">
        <f t="array" ref="P53">IF($B53 &lt; 100, -LN(-1/LN(O53/O52)-1), TREND(P$97:P$106, $B$97:$B$106, $B53:$B53,TRUE))</f>
        <v>-6.7059501057876147</v>
      </c>
      <c r="Q53">
        <f t="shared" si="7"/>
        <v>95717</v>
      </c>
    </row>
    <row r="54" spans="1:17" x14ac:dyDescent="0.25">
      <c r="A54" t="s">
        <v>76</v>
      </c>
      <c r="B54">
        <v>47</v>
      </c>
      <c r="C54">
        <f>HLOOKUP(CBSoverlevtafel!$C$3,CBStafelMan!$B$5:$CW$106, MATCH($A54,CBStafelMan!$A$5:$A$106,0),FALSE)</f>
        <v>94775</v>
      </c>
      <c r="D54">
        <f t="shared" si="2"/>
        <v>94775</v>
      </c>
      <c r="E54" s="54" cm="1">
        <f t="array" ref="E54">IF($B54 &lt; 100, -LN(-1/LN(D54/D53)-1), TREND(E$97:E$106, $B$97:$B$106, $B54:$B54,TRUE))</f>
        <v>-6.3585286814552902</v>
      </c>
      <c r="F54">
        <f>HLOOKUP(CBSoverlevtafel!$C$3,CBStafelVrouw!$B$5:$CW$106, MATCH($A54,CBStafelMan!$A$5:$A$106,0),FALSE)</f>
        <v>96366</v>
      </c>
      <c r="G54">
        <f t="shared" si="3"/>
        <v>96366</v>
      </c>
      <c r="H54" s="54" cm="1">
        <f t="array" ref="H54">IF($B54 &lt; 100, -LN(-1/LN(G54/G53)-1), TREND(H$97:H$106, $B$97:$B$106, $B54:$B54,TRUE))</f>
        <v>-6.6154266202959731</v>
      </c>
      <c r="I54">
        <f t="shared" si="6"/>
        <v>95570.5</v>
      </c>
      <c r="K54">
        <f>HLOOKUP(CBSoverlevtafel!$K$3,CBStafelMan!$B$5:$CW$106, MATCH($A54,CBStafelMan!$A$5:$A$106,0),FALSE)</f>
        <v>94775</v>
      </c>
      <c r="L54">
        <f t="shared" si="4"/>
        <v>94775</v>
      </c>
      <c r="M54" s="54" cm="1">
        <f t="array" ref="M54">IF($B54 &lt; 100, -LN(-1/LN(L54/L53)-1), TREND(M$97:M$106, $B$97:$B$106, $B54:$B54,TRUE))</f>
        <v>-6.3585286814552902</v>
      </c>
      <c r="N54">
        <f>HLOOKUP(CBSoverlevtafel!$K$3,CBStafelVrouw!$B$5:$CW$106, MATCH($A54,CBStafelMan!$A$5:$A$106,0),FALSE)</f>
        <v>96366</v>
      </c>
      <c r="O54">
        <f t="shared" si="5"/>
        <v>96366</v>
      </c>
      <c r="P54" s="54" cm="1">
        <f t="array" ref="P54">IF($B54 &lt; 100, -LN(-1/LN(O54/O53)-1), TREND(P$97:P$106, $B$97:$B$106, $B54:$B54,TRUE))</f>
        <v>-6.6154266202959731</v>
      </c>
      <c r="Q54">
        <f t="shared" si="7"/>
        <v>95570.5</v>
      </c>
    </row>
    <row r="55" spans="1:17" x14ac:dyDescent="0.25">
      <c r="A55" t="s">
        <v>75</v>
      </c>
      <c r="B55">
        <v>48</v>
      </c>
      <c r="C55">
        <f>HLOOKUP(CBSoverlevtafel!$C$3,CBStafelMan!$B$5:$CW$106, MATCH($A55,CBStafelMan!$A$5:$A$106,0),FALSE)</f>
        <v>94594</v>
      </c>
      <c r="D55">
        <f t="shared" si="2"/>
        <v>94594</v>
      </c>
      <c r="E55" s="54" cm="1">
        <f t="array" ref="E55">IF($B55 &lt; 100, -LN(-1/LN(D55/D54)-1), TREND(E$97:E$106, $B$97:$B$106, $B55:$B55,TRUE))</f>
        <v>-6.2578948134622108</v>
      </c>
      <c r="F55">
        <f>HLOOKUP(CBSoverlevtafel!$C$3,CBStafelVrouw!$B$5:$CW$106, MATCH($A55,CBStafelMan!$A$5:$A$106,0),FALSE)</f>
        <v>96193</v>
      </c>
      <c r="G55">
        <f t="shared" si="3"/>
        <v>96193</v>
      </c>
      <c r="H55" s="54" cm="1">
        <f t="array" ref="H55">IF($B55 &lt; 100, -LN(-1/LN(G55/G54)-1), TREND(H$97:H$106, $B$97:$B$106, $B55:$B55,TRUE))</f>
        <v>-6.3199203665096819</v>
      </c>
      <c r="I55">
        <f t="shared" si="6"/>
        <v>95393.5</v>
      </c>
      <c r="K55">
        <f>HLOOKUP(CBSoverlevtafel!$K$3,CBStafelMan!$B$5:$CW$106, MATCH($A55,CBStafelMan!$A$5:$A$106,0),FALSE)</f>
        <v>94594</v>
      </c>
      <c r="L55">
        <f t="shared" si="4"/>
        <v>94594</v>
      </c>
      <c r="M55" s="54" cm="1">
        <f t="array" ref="M55">IF($B55 &lt; 100, -LN(-1/LN(L55/L54)-1), TREND(M$97:M$106, $B$97:$B$106, $B55:$B55,TRUE))</f>
        <v>-6.2578948134622108</v>
      </c>
      <c r="N55">
        <f>HLOOKUP(CBSoverlevtafel!$K$3,CBStafelVrouw!$B$5:$CW$106, MATCH($A55,CBStafelMan!$A$5:$A$106,0),FALSE)</f>
        <v>96193</v>
      </c>
      <c r="O55">
        <f t="shared" si="5"/>
        <v>96193</v>
      </c>
      <c r="P55" s="54" cm="1">
        <f t="array" ref="P55">IF($B55 &lt; 100, -LN(-1/LN(O55/O54)-1), TREND(P$97:P$106, $B$97:$B$106, $B55:$B55,TRUE))</f>
        <v>-6.3199203665096819</v>
      </c>
      <c r="Q55">
        <f t="shared" si="7"/>
        <v>95393.5</v>
      </c>
    </row>
    <row r="56" spans="1:17" x14ac:dyDescent="0.25">
      <c r="A56" t="s">
        <v>74</v>
      </c>
      <c r="B56">
        <v>49</v>
      </c>
      <c r="C56">
        <f>HLOOKUP(CBSoverlevtafel!$C$3,CBStafelMan!$B$5:$CW$106, MATCH($A56,CBStafelMan!$A$5:$A$106,0),FALSE)</f>
        <v>94405</v>
      </c>
      <c r="D56">
        <f t="shared" si="2"/>
        <v>94405</v>
      </c>
      <c r="E56" s="54" cm="1">
        <f t="array" ref="E56">IF($B56 &lt; 100, -LN(-1/LN(D56/D55)-1), TREND(E$97:E$106, $B$97:$B$106, $B56:$B56,TRUE))</f>
        <v>-6.2126004601239515</v>
      </c>
      <c r="F56">
        <f>HLOOKUP(CBSoverlevtafel!$C$3,CBStafelVrouw!$B$5:$CW$106, MATCH($A56,CBStafelMan!$A$5:$A$106,0),FALSE)</f>
        <v>96042</v>
      </c>
      <c r="G56">
        <f t="shared" si="3"/>
        <v>96042</v>
      </c>
      <c r="H56" s="54" cm="1">
        <f t="array" ref="H56">IF($B56 &lt; 100, -LN(-1/LN(G56/G55)-1), TREND(H$97:H$106, $B$97:$B$106, $B56:$B56,TRUE))</f>
        <v>-6.4544744084094852</v>
      </c>
      <c r="I56">
        <f t="shared" si="6"/>
        <v>95223.5</v>
      </c>
      <c r="K56">
        <f>HLOOKUP(CBSoverlevtafel!$K$3,CBStafelMan!$B$5:$CW$106, MATCH($A56,CBStafelMan!$A$5:$A$106,0),FALSE)</f>
        <v>94405</v>
      </c>
      <c r="L56">
        <f t="shared" si="4"/>
        <v>94405</v>
      </c>
      <c r="M56" s="54" cm="1">
        <f t="array" ref="M56">IF($B56 &lt; 100, -LN(-1/LN(L56/L55)-1), TREND(M$97:M$106, $B$97:$B$106, $B56:$B56,TRUE))</f>
        <v>-6.2126004601239515</v>
      </c>
      <c r="N56">
        <f>HLOOKUP(CBSoverlevtafel!$K$3,CBStafelVrouw!$B$5:$CW$106, MATCH($A56,CBStafelMan!$A$5:$A$106,0),FALSE)</f>
        <v>96042</v>
      </c>
      <c r="O56">
        <f t="shared" si="5"/>
        <v>96042</v>
      </c>
      <c r="P56" s="54" cm="1">
        <f t="array" ref="P56">IF($B56 &lt; 100, -LN(-1/LN(O56/O55)-1), TREND(P$97:P$106, $B$97:$B$106, $B56:$B56,TRUE))</f>
        <v>-6.4544744084094852</v>
      </c>
      <c r="Q56">
        <f t="shared" si="7"/>
        <v>95223.5</v>
      </c>
    </row>
    <row r="57" spans="1:17" x14ac:dyDescent="0.25">
      <c r="A57" t="s">
        <v>73</v>
      </c>
      <c r="B57">
        <v>50</v>
      </c>
      <c r="C57">
        <f>HLOOKUP(CBSoverlevtafel!$C$3,CBStafelMan!$B$5:$CW$106, MATCH($A57,CBStafelMan!$A$5:$A$106,0),FALSE)</f>
        <v>94195</v>
      </c>
      <c r="D57">
        <f t="shared" si="2"/>
        <v>94195</v>
      </c>
      <c r="E57" s="54" cm="1">
        <f t="array" ref="E57">IF($B57 &lt; 100, -LN(-1/LN(D57/D56)-1), TREND(E$97:E$106, $B$97:$B$106, $B57:$B57,TRUE))</f>
        <v>-6.1048991050906629</v>
      </c>
      <c r="F57">
        <f>HLOOKUP(CBSoverlevtafel!$C$3,CBStafelVrouw!$B$5:$CW$106, MATCH($A57,CBStafelMan!$A$5:$A$106,0),FALSE)</f>
        <v>95867</v>
      </c>
      <c r="G57">
        <f t="shared" si="3"/>
        <v>95867</v>
      </c>
      <c r="H57" s="54" cm="1">
        <f t="array" ref="H57">IF($B57 &lt; 100, -LN(-1/LN(G57/G56)-1), TREND(H$97:H$106, $B$97:$B$106, $B57:$B57,TRUE))</f>
        <v>-6.3050177019749691</v>
      </c>
      <c r="I57">
        <f t="shared" si="6"/>
        <v>95031</v>
      </c>
      <c r="K57">
        <f>HLOOKUP(CBSoverlevtafel!$K$3,CBStafelMan!$B$5:$CW$106, MATCH($A57,CBStafelMan!$A$5:$A$106,0),FALSE)</f>
        <v>94195</v>
      </c>
      <c r="L57">
        <f t="shared" si="4"/>
        <v>94195</v>
      </c>
      <c r="M57" s="54" cm="1">
        <f t="array" ref="M57">IF($B57 &lt; 100, -LN(-1/LN(L57/L56)-1), TREND(M$97:M$106, $B$97:$B$106, $B57:$B57,TRUE))</f>
        <v>-6.1048991050906629</v>
      </c>
      <c r="N57">
        <f>HLOOKUP(CBSoverlevtafel!$K$3,CBStafelVrouw!$B$5:$CW$106, MATCH($A57,CBStafelMan!$A$5:$A$106,0),FALSE)</f>
        <v>95867</v>
      </c>
      <c r="O57">
        <f t="shared" si="5"/>
        <v>95867</v>
      </c>
      <c r="P57" s="54" cm="1">
        <f t="array" ref="P57">IF($B57 &lt; 100, -LN(-1/LN(O57/O56)-1), TREND(P$97:P$106, $B$97:$B$106, $B57:$B57,TRUE))</f>
        <v>-6.3050177019749691</v>
      </c>
      <c r="Q57">
        <f t="shared" si="7"/>
        <v>95031</v>
      </c>
    </row>
    <row r="58" spans="1:17" x14ac:dyDescent="0.25">
      <c r="A58" t="s">
        <v>72</v>
      </c>
      <c r="B58">
        <v>51</v>
      </c>
      <c r="C58">
        <f>HLOOKUP(CBSoverlevtafel!$C$3,CBStafelMan!$B$5:$CW$106, MATCH($A58,CBStafelMan!$A$5:$A$106,0),FALSE)</f>
        <v>93955</v>
      </c>
      <c r="D58">
        <f t="shared" si="2"/>
        <v>93955</v>
      </c>
      <c r="E58" s="54" cm="1">
        <f t="array" ref="E58">IF($B58 &lt; 100, -LN(-1/LN(D58/D57)-1), TREND(E$97:E$106, $B$97:$B$106, $B58:$B58,TRUE))</f>
        <v>-5.9686537326294005</v>
      </c>
      <c r="F58">
        <f>HLOOKUP(CBSoverlevtafel!$C$3,CBStafelVrouw!$B$5:$CW$106, MATCH($A58,CBStafelMan!$A$5:$A$106,0),FALSE)</f>
        <v>95676</v>
      </c>
      <c r="G58">
        <f t="shared" si="3"/>
        <v>95676</v>
      </c>
      <c r="H58" s="54" cm="1">
        <f t="array" ref="H58">IF($B58 &lt; 100, -LN(-1/LN(G58/G57)-1), TREND(H$97:H$106, $B$97:$B$106, $B58:$B58,TRUE))</f>
        <v>-6.2154503431831891</v>
      </c>
      <c r="I58">
        <f t="shared" si="6"/>
        <v>94815.5</v>
      </c>
      <c r="K58">
        <f>HLOOKUP(CBSoverlevtafel!$K$3,CBStafelMan!$B$5:$CW$106, MATCH($A58,CBStafelMan!$A$5:$A$106,0),FALSE)</f>
        <v>93955</v>
      </c>
      <c r="L58">
        <f t="shared" si="4"/>
        <v>93955</v>
      </c>
      <c r="M58" s="54" cm="1">
        <f t="array" ref="M58">IF($B58 &lt; 100, -LN(-1/LN(L58/L57)-1), TREND(M$97:M$106, $B$97:$B$106, $B58:$B58,TRUE))</f>
        <v>-5.9686537326294005</v>
      </c>
      <c r="N58">
        <f>HLOOKUP(CBSoverlevtafel!$K$3,CBStafelVrouw!$B$5:$CW$106, MATCH($A58,CBStafelMan!$A$5:$A$106,0),FALSE)</f>
        <v>95676</v>
      </c>
      <c r="O58">
        <f t="shared" si="5"/>
        <v>95676</v>
      </c>
      <c r="P58" s="54" cm="1">
        <f t="array" ref="P58">IF($B58 &lt; 100, -LN(-1/LN(O58/O57)-1), TREND(P$97:P$106, $B$97:$B$106, $B58:$B58,TRUE))</f>
        <v>-6.2154503431831891</v>
      </c>
      <c r="Q58">
        <f t="shared" si="7"/>
        <v>94815.5</v>
      </c>
    </row>
    <row r="59" spans="1:17" x14ac:dyDescent="0.25">
      <c r="A59" t="s">
        <v>71</v>
      </c>
      <c r="B59">
        <v>52</v>
      </c>
      <c r="C59">
        <f>HLOOKUP(CBSoverlevtafel!$C$3,CBStafelMan!$B$5:$CW$106, MATCH($A59,CBStafelMan!$A$5:$A$106,0),FALSE)</f>
        <v>93728</v>
      </c>
      <c r="D59">
        <f t="shared" si="2"/>
        <v>93728</v>
      </c>
      <c r="E59" s="54" cm="1">
        <f t="array" ref="E59">IF($B59 &lt; 100, -LN(-1/LN(D59/D58)-1), TREND(E$97:E$106, $B$97:$B$106, $B59:$B59,TRUE))</f>
        <v>-6.0219900587145245</v>
      </c>
      <c r="F59">
        <f>HLOOKUP(CBSoverlevtafel!$C$3,CBStafelVrouw!$B$5:$CW$106, MATCH($A59,CBStafelMan!$A$5:$A$106,0),FALSE)</f>
        <v>95463</v>
      </c>
      <c r="G59">
        <f t="shared" si="3"/>
        <v>95463</v>
      </c>
      <c r="H59" s="54" cm="1">
        <f t="array" ref="H59">IF($B59 &lt; 100, -LN(-1/LN(G59/G58)-1), TREND(H$97:H$106, $B$97:$B$106, $B59:$B59,TRUE))</f>
        <v>-6.1040851980293365</v>
      </c>
      <c r="I59">
        <f t="shared" si="6"/>
        <v>94595.5</v>
      </c>
      <c r="K59">
        <f>HLOOKUP(CBSoverlevtafel!$K$3,CBStafelMan!$B$5:$CW$106, MATCH($A59,CBStafelMan!$A$5:$A$106,0),FALSE)</f>
        <v>93728</v>
      </c>
      <c r="L59">
        <f t="shared" si="4"/>
        <v>93728</v>
      </c>
      <c r="M59" s="54" cm="1">
        <f t="array" ref="M59">IF($B59 &lt; 100, -LN(-1/LN(L59/L58)-1), TREND(M$97:M$106, $B$97:$B$106, $B59:$B59,TRUE))</f>
        <v>-6.0219900587145245</v>
      </c>
      <c r="N59">
        <f>HLOOKUP(CBSoverlevtafel!$K$3,CBStafelVrouw!$B$5:$CW$106, MATCH($A59,CBStafelMan!$A$5:$A$106,0),FALSE)</f>
        <v>95463</v>
      </c>
      <c r="O59">
        <f t="shared" si="5"/>
        <v>95463</v>
      </c>
      <c r="P59" s="54" cm="1">
        <f t="array" ref="P59">IF($B59 &lt; 100, -LN(-1/LN(O59/O58)-1), TREND(P$97:P$106, $B$97:$B$106, $B59:$B59,TRUE))</f>
        <v>-6.1040851980293365</v>
      </c>
      <c r="Q59">
        <f t="shared" si="7"/>
        <v>94595.5</v>
      </c>
    </row>
    <row r="60" spans="1:17" x14ac:dyDescent="0.25">
      <c r="A60" t="s">
        <v>70</v>
      </c>
      <c r="B60">
        <v>53</v>
      </c>
      <c r="C60">
        <f>HLOOKUP(CBSoverlevtafel!$C$3,CBStafelMan!$B$5:$CW$106, MATCH($A60,CBStafelMan!$A$5:$A$106,0),FALSE)</f>
        <v>93476</v>
      </c>
      <c r="D60">
        <f t="shared" si="2"/>
        <v>93476</v>
      </c>
      <c r="E60" s="54" cm="1">
        <f t="array" ref="E60">IF($B60 &lt; 100, -LN(-1/LN(D60/D59)-1), TREND(E$97:E$106, $B$97:$B$106, $B60:$B60,TRUE))</f>
        <v>-5.9146814558098297</v>
      </c>
      <c r="F60">
        <f>HLOOKUP(CBSoverlevtafel!$C$3,CBStafelVrouw!$B$5:$CW$106, MATCH($A60,CBStafelMan!$A$5:$A$106,0),FALSE)</f>
        <v>95278</v>
      </c>
      <c r="G60">
        <f t="shared" si="3"/>
        <v>95278</v>
      </c>
      <c r="H60" s="54" cm="1">
        <f t="array" ref="H60">IF($B60 &lt; 100, -LN(-1/LN(G60/G59)-1), TREND(H$97:H$106, $B$97:$B$106, $B60:$B60,TRUE))</f>
        <v>-6.2432267589969808</v>
      </c>
      <c r="I60">
        <f t="shared" si="6"/>
        <v>94377</v>
      </c>
      <c r="K60">
        <f>HLOOKUP(CBSoverlevtafel!$K$3,CBStafelMan!$B$5:$CW$106, MATCH($A60,CBStafelMan!$A$5:$A$106,0),FALSE)</f>
        <v>93476</v>
      </c>
      <c r="L60">
        <f t="shared" si="4"/>
        <v>93476</v>
      </c>
      <c r="M60" s="54" cm="1">
        <f t="array" ref="M60">IF($B60 &lt; 100, -LN(-1/LN(L60/L59)-1), TREND(M$97:M$106, $B$97:$B$106, $B60:$B60,TRUE))</f>
        <v>-5.9146814558098297</v>
      </c>
      <c r="N60">
        <f>HLOOKUP(CBSoverlevtafel!$K$3,CBStafelVrouw!$B$5:$CW$106, MATCH($A60,CBStafelMan!$A$5:$A$106,0),FALSE)</f>
        <v>95278</v>
      </c>
      <c r="O60">
        <f t="shared" si="5"/>
        <v>95278</v>
      </c>
      <c r="P60" s="54" cm="1">
        <f t="array" ref="P60">IF($B60 &lt; 100, -LN(-1/LN(O60/O59)-1), TREND(P$97:P$106, $B$97:$B$106, $B60:$B60,TRUE))</f>
        <v>-6.2432267589969808</v>
      </c>
      <c r="Q60">
        <f t="shared" si="7"/>
        <v>94377</v>
      </c>
    </row>
    <row r="61" spans="1:17" x14ac:dyDescent="0.25">
      <c r="A61" t="s">
        <v>69</v>
      </c>
      <c r="B61">
        <v>54</v>
      </c>
      <c r="C61">
        <f>HLOOKUP(CBSoverlevtafel!$C$3,CBStafelMan!$B$5:$CW$106, MATCH($A61,CBStafelMan!$A$5:$A$106,0),FALSE)</f>
        <v>93215</v>
      </c>
      <c r="D61">
        <f t="shared" si="2"/>
        <v>93215</v>
      </c>
      <c r="E61" s="54" cm="1">
        <f t="array" ref="E61">IF($B61 &lt; 100, -LN(-1/LN(D61/D60)-1), TREND(E$97:E$106, $B$97:$B$106, $B61:$B61,TRUE))</f>
        <v>-5.876741901109007</v>
      </c>
      <c r="F61">
        <f>HLOOKUP(CBSoverlevtafel!$C$3,CBStafelVrouw!$B$5:$CW$106, MATCH($A61,CBStafelMan!$A$5:$A$106,0),FALSE)</f>
        <v>95062</v>
      </c>
      <c r="G61">
        <f t="shared" si="3"/>
        <v>95062</v>
      </c>
      <c r="H61" s="54" cm="1">
        <f t="array" ref="H61">IF($B61 &lt; 100, -LN(-1/LN(G61/G60)-1), TREND(H$97:H$106, $B$97:$B$106, $B61:$B61,TRUE))</f>
        <v>-6.0858690048620652</v>
      </c>
      <c r="I61">
        <f t="shared" si="6"/>
        <v>94138.5</v>
      </c>
      <c r="K61">
        <f>HLOOKUP(CBSoverlevtafel!$K$3,CBStafelMan!$B$5:$CW$106, MATCH($A61,CBStafelMan!$A$5:$A$106,0),FALSE)</f>
        <v>93215</v>
      </c>
      <c r="L61">
        <f t="shared" si="4"/>
        <v>93215</v>
      </c>
      <c r="M61" s="54" cm="1">
        <f t="array" ref="M61">IF($B61 &lt; 100, -LN(-1/LN(L61/L60)-1), TREND(M$97:M$106, $B$97:$B$106, $B61:$B61,TRUE))</f>
        <v>-5.876741901109007</v>
      </c>
      <c r="N61">
        <f>HLOOKUP(CBSoverlevtafel!$K$3,CBStafelVrouw!$B$5:$CW$106, MATCH($A61,CBStafelMan!$A$5:$A$106,0),FALSE)</f>
        <v>95062</v>
      </c>
      <c r="O61">
        <f t="shared" si="5"/>
        <v>95062</v>
      </c>
      <c r="P61" s="54" cm="1">
        <f t="array" ref="P61">IF($B61 &lt; 100, -LN(-1/LN(O61/O60)-1), TREND(P$97:P$106, $B$97:$B$106, $B61:$B61,TRUE))</f>
        <v>-6.0858690048620652</v>
      </c>
      <c r="Q61">
        <f t="shared" si="7"/>
        <v>94138.5</v>
      </c>
    </row>
    <row r="62" spans="1:17" x14ac:dyDescent="0.25">
      <c r="A62" t="s">
        <v>68</v>
      </c>
      <c r="B62">
        <v>55</v>
      </c>
      <c r="C62">
        <f>HLOOKUP(CBSoverlevtafel!$C$3,CBStafelMan!$B$5:$CW$106, MATCH($A62,CBStafelMan!$A$5:$A$106,0),FALSE)</f>
        <v>92924</v>
      </c>
      <c r="D62">
        <f t="shared" si="2"/>
        <v>92924</v>
      </c>
      <c r="E62" s="54" cm="1">
        <f t="array" ref="E62">IF($B62 &lt; 100, -LN(-1/LN(D62/D61)-1), TREND(E$97:E$106, $B$97:$B$106, $B62:$B62,TRUE))</f>
        <v>-5.7646461264845259</v>
      </c>
      <c r="F62">
        <f>HLOOKUP(CBSoverlevtafel!$C$3,CBStafelVrouw!$B$5:$CW$106, MATCH($A62,CBStafelMan!$A$5:$A$106,0),FALSE)</f>
        <v>94829</v>
      </c>
      <c r="G62">
        <f t="shared" si="3"/>
        <v>94829</v>
      </c>
      <c r="H62" s="54" cm="1">
        <f t="array" ref="H62">IF($B62 &lt; 100, -LN(-1/LN(G62/G61)-1), TREND(H$97:H$106, $B$97:$B$106, $B62:$B62,TRUE))</f>
        <v>-6.0075623095798729</v>
      </c>
      <c r="I62">
        <f t="shared" si="6"/>
        <v>93876.5</v>
      </c>
      <c r="K62">
        <f>HLOOKUP(CBSoverlevtafel!$K$3,CBStafelMan!$B$5:$CW$106, MATCH($A62,CBStafelMan!$A$5:$A$106,0),FALSE)</f>
        <v>92924</v>
      </c>
      <c r="L62">
        <f t="shared" si="4"/>
        <v>92924</v>
      </c>
      <c r="M62" s="54" cm="1">
        <f t="array" ref="M62">IF($B62 &lt; 100, -LN(-1/LN(L62/L61)-1), TREND(M$97:M$106, $B$97:$B$106, $B62:$B62,TRUE))</f>
        <v>-5.7646461264845259</v>
      </c>
      <c r="N62">
        <f>HLOOKUP(CBSoverlevtafel!$K$3,CBStafelVrouw!$B$5:$CW$106, MATCH($A62,CBStafelMan!$A$5:$A$106,0),FALSE)</f>
        <v>94829</v>
      </c>
      <c r="O62">
        <f t="shared" si="5"/>
        <v>94829</v>
      </c>
      <c r="P62" s="54" cm="1">
        <f t="array" ref="P62">IF($B62 &lt; 100, -LN(-1/LN(O62/O61)-1), TREND(P$97:P$106, $B$97:$B$106, $B62:$B62,TRUE))</f>
        <v>-6.0075623095798729</v>
      </c>
      <c r="Q62">
        <f t="shared" si="7"/>
        <v>93876.5</v>
      </c>
    </row>
    <row r="63" spans="1:17" x14ac:dyDescent="0.25">
      <c r="A63" t="s">
        <v>67</v>
      </c>
      <c r="B63">
        <v>56</v>
      </c>
      <c r="C63">
        <f>HLOOKUP(CBSoverlevtafel!$C$3,CBStafelMan!$B$5:$CW$106, MATCH($A63,CBStafelMan!$A$5:$A$106,0),FALSE)</f>
        <v>92576</v>
      </c>
      <c r="D63">
        <f t="shared" si="2"/>
        <v>92576</v>
      </c>
      <c r="E63" s="54" cm="1">
        <f t="array" ref="E63">IF($B63 &lt; 100, -LN(-1/LN(D63/D62)-1), TREND(E$97:E$106, $B$97:$B$106, $B63:$B63,TRUE))</f>
        <v>-5.5817002450838755</v>
      </c>
      <c r="F63">
        <f>HLOOKUP(CBSoverlevtafel!$C$3,CBStafelVrouw!$B$5:$CW$106, MATCH($A63,CBStafelMan!$A$5:$A$106,0),FALSE)</f>
        <v>94560</v>
      </c>
      <c r="G63">
        <f t="shared" si="3"/>
        <v>94560</v>
      </c>
      <c r="H63" s="54" cm="1">
        <f t="array" ref="H63">IF($B63 &lt; 100, -LN(-1/LN(G63/G62)-1), TREND(H$97:H$106, $B$97:$B$106, $B63:$B63,TRUE))</f>
        <v>-5.8608543887849107</v>
      </c>
      <c r="I63">
        <f t="shared" si="6"/>
        <v>93568</v>
      </c>
      <c r="K63">
        <f>HLOOKUP(CBSoverlevtafel!$K$3,CBStafelMan!$B$5:$CW$106, MATCH($A63,CBStafelMan!$A$5:$A$106,0),FALSE)</f>
        <v>92576</v>
      </c>
      <c r="L63">
        <f t="shared" si="4"/>
        <v>92576</v>
      </c>
      <c r="M63" s="54" cm="1">
        <f t="array" ref="M63">IF($B63 &lt; 100, -LN(-1/LN(L63/L62)-1), TREND(M$97:M$106, $B$97:$B$106, $B63:$B63,TRUE))</f>
        <v>-5.5817002450838755</v>
      </c>
      <c r="N63">
        <f>HLOOKUP(CBSoverlevtafel!$K$3,CBStafelVrouw!$B$5:$CW$106, MATCH($A63,CBStafelMan!$A$5:$A$106,0),FALSE)</f>
        <v>94560</v>
      </c>
      <c r="O63">
        <f t="shared" si="5"/>
        <v>94560</v>
      </c>
      <c r="P63" s="54" cm="1">
        <f t="array" ref="P63">IF($B63 &lt; 100, -LN(-1/LN(O63/O62)-1), TREND(P$97:P$106, $B$97:$B$106, $B63:$B63,TRUE))</f>
        <v>-5.8608543887849107</v>
      </c>
      <c r="Q63">
        <f t="shared" si="7"/>
        <v>93568</v>
      </c>
    </row>
    <row r="64" spans="1:17" x14ac:dyDescent="0.25">
      <c r="A64" t="s">
        <v>66</v>
      </c>
      <c r="B64">
        <v>57</v>
      </c>
      <c r="C64">
        <f>HLOOKUP(CBSoverlevtafel!$C$3,CBStafelMan!$B$5:$CW$106, MATCH($A64,CBStafelMan!$A$5:$A$106,0),FALSE)</f>
        <v>92202</v>
      </c>
      <c r="D64">
        <f t="shared" si="2"/>
        <v>92202</v>
      </c>
      <c r="E64" s="54" cm="1">
        <f t="array" ref="E64">IF($B64 &lt; 100, -LN(-1/LN(D64/D63)-1), TREND(E$97:E$106, $B$97:$B$106, $B64:$B64,TRUE))</f>
        <v>-5.5054497176583546</v>
      </c>
      <c r="F64">
        <f>HLOOKUP(CBSoverlevtafel!$C$3,CBStafelVrouw!$B$5:$CW$106, MATCH($A64,CBStafelMan!$A$5:$A$106,0),FALSE)</f>
        <v>94275</v>
      </c>
      <c r="G64">
        <f t="shared" si="3"/>
        <v>94275</v>
      </c>
      <c r="H64" s="54" cm="1">
        <f t="array" ref="H64">IF($B64 &lt; 100, -LN(-1/LN(G64/G63)-1), TREND(H$97:H$106, $B$97:$B$106, $B64:$B64,TRUE))</f>
        <v>-5.7999687013518226</v>
      </c>
      <c r="I64">
        <f t="shared" si="6"/>
        <v>93238.5</v>
      </c>
      <c r="K64">
        <f>HLOOKUP(CBSoverlevtafel!$K$3,CBStafelMan!$B$5:$CW$106, MATCH($A64,CBStafelMan!$A$5:$A$106,0),FALSE)</f>
        <v>92202</v>
      </c>
      <c r="L64">
        <f t="shared" si="4"/>
        <v>92202</v>
      </c>
      <c r="M64" s="54" cm="1">
        <f t="array" ref="M64">IF($B64 &lt; 100, -LN(-1/LN(L64/L63)-1), TREND(M$97:M$106, $B$97:$B$106, $B64:$B64,TRUE))</f>
        <v>-5.5054497176583546</v>
      </c>
      <c r="N64">
        <f>HLOOKUP(CBSoverlevtafel!$K$3,CBStafelVrouw!$B$5:$CW$106, MATCH($A64,CBStafelMan!$A$5:$A$106,0),FALSE)</f>
        <v>94275</v>
      </c>
      <c r="O64">
        <f t="shared" si="5"/>
        <v>94275</v>
      </c>
      <c r="P64" s="54" cm="1">
        <f t="array" ref="P64">IF($B64 &lt; 100, -LN(-1/LN(O64/O63)-1), TREND(P$97:P$106, $B$97:$B$106, $B64:$B64,TRUE))</f>
        <v>-5.7999687013518226</v>
      </c>
      <c r="Q64">
        <f t="shared" si="7"/>
        <v>93238.5</v>
      </c>
    </row>
    <row r="65" spans="1:17" x14ac:dyDescent="0.25">
      <c r="A65" t="s">
        <v>65</v>
      </c>
      <c r="B65">
        <v>58</v>
      </c>
      <c r="C65">
        <f>HLOOKUP(CBSoverlevtafel!$C$3,CBStafelMan!$B$5:$CW$106, MATCH($A65,CBStafelMan!$A$5:$A$106,0),FALSE)</f>
        <v>91794</v>
      </c>
      <c r="D65">
        <f t="shared" si="2"/>
        <v>91794</v>
      </c>
      <c r="E65" s="54" cm="1">
        <f t="array" ref="E65">IF($B65 &lt; 100, -LN(-1/LN(D65/D64)-1), TREND(E$97:E$106, $B$97:$B$106, $B65:$B65,TRUE))</f>
        <v>-5.4138085536754881</v>
      </c>
      <c r="F65">
        <f>HLOOKUP(CBSoverlevtafel!$C$3,CBStafelVrouw!$B$5:$CW$106, MATCH($A65,CBStafelMan!$A$5:$A$106,0),FALSE)</f>
        <v>93972</v>
      </c>
      <c r="G65">
        <f t="shared" si="3"/>
        <v>93972</v>
      </c>
      <c r="H65" s="54" cm="1">
        <f t="array" ref="H65">IF($B65 &lt; 100, -LN(-1/LN(G65/G64)-1), TREND(H$97:H$106, $B$97:$B$106, $B65:$B65,TRUE))</f>
        <v>-5.7354049893324328</v>
      </c>
      <c r="I65">
        <f t="shared" si="6"/>
        <v>92883</v>
      </c>
      <c r="K65">
        <f>HLOOKUP(CBSoverlevtafel!$K$3,CBStafelMan!$B$5:$CW$106, MATCH($A65,CBStafelMan!$A$5:$A$106,0),FALSE)</f>
        <v>91794</v>
      </c>
      <c r="L65">
        <f t="shared" si="4"/>
        <v>91794</v>
      </c>
      <c r="M65" s="54" cm="1">
        <f t="array" ref="M65">IF($B65 &lt; 100, -LN(-1/LN(L65/L64)-1), TREND(M$97:M$106, $B$97:$B$106, $B65:$B65,TRUE))</f>
        <v>-5.4138085536754881</v>
      </c>
      <c r="N65">
        <f>HLOOKUP(CBSoverlevtafel!$K$3,CBStafelVrouw!$B$5:$CW$106, MATCH($A65,CBStafelMan!$A$5:$A$106,0),FALSE)</f>
        <v>93972</v>
      </c>
      <c r="O65">
        <f t="shared" si="5"/>
        <v>93972</v>
      </c>
      <c r="P65" s="54" cm="1">
        <f t="array" ref="P65">IF($B65 &lt; 100, -LN(-1/LN(O65/O64)-1), TREND(P$97:P$106, $B$97:$B$106, $B65:$B65,TRUE))</f>
        <v>-5.7354049893324328</v>
      </c>
      <c r="Q65">
        <f t="shared" si="7"/>
        <v>92883</v>
      </c>
    </row>
    <row r="66" spans="1:17" x14ac:dyDescent="0.25">
      <c r="A66" t="s">
        <v>64</v>
      </c>
      <c r="B66">
        <v>59</v>
      </c>
      <c r="C66">
        <f>HLOOKUP(CBSoverlevtafel!$C$3,CBStafelMan!$B$5:$CW$106, MATCH($A66,CBStafelMan!$A$5:$A$106,0),FALSE)</f>
        <v>91351</v>
      </c>
      <c r="D66">
        <f t="shared" si="2"/>
        <v>91351</v>
      </c>
      <c r="E66" s="54" cm="1">
        <f t="array" ref="E66">IF($B66 &lt; 100, -LN(-1/LN(D66/D65)-1), TREND(E$97:E$106, $B$97:$B$106, $B66:$B66,TRUE))</f>
        <v>-5.3264651210009477</v>
      </c>
      <c r="F66">
        <f>HLOOKUP(CBSoverlevtafel!$C$3,CBStafelVrouw!$B$5:$CW$106, MATCH($A66,CBStafelMan!$A$5:$A$106,0),FALSE)</f>
        <v>93647</v>
      </c>
      <c r="G66">
        <f t="shared" si="3"/>
        <v>93647</v>
      </c>
      <c r="H66" s="54" cm="1">
        <f t="array" ref="H66">IF($B66 &lt; 100, -LN(-1/LN(G66/G65)-1), TREND(H$97:H$106, $B$97:$B$106, $B66:$B66,TRUE))</f>
        <v>-5.6617247401136659</v>
      </c>
      <c r="I66">
        <f t="shared" si="6"/>
        <v>92499</v>
      </c>
      <c r="K66">
        <f>HLOOKUP(CBSoverlevtafel!$K$3,CBStafelMan!$B$5:$CW$106, MATCH($A66,CBStafelMan!$A$5:$A$106,0),FALSE)</f>
        <v>91351</v>
      </c>
      <c r="L66">
        <f t="shared" si="4"/>
        <v>91351</v>
      </c>
      <c r="M66" s="54" cm="1">
        <f t="array" ref="M66">IF($B66 &lt; 100, -LN(-1/LN(L66/L65)-1), TREND(M$97:M$106, $B$97:$B$106, $B66:$B66,TRUE))</f>
        <v>-5.3264651210009477</v>
      </c>
      <c r="N66">
        <f>HLOOKUP(CBSoverlevtafel!$K$3,CBStafelVrouw!$B$5:$CW$106, MATCH($A66,CBStafelMan!$A$5:$A$106,0),FALSE)</f>
        <v>93647</v>
      </c>
      <c r="O66">
        <f t="shared" si="5"/>
        <v>93647</v>
      </c>
      <c r="P66" s="54" cm="1">
        <f t="array" ref="P66">IF($B66 &lt; 100, -LN(-1/LN(O66/O65)-1), TREND(P$97:P$106, $B$97:$B$106, $B66:$B66,TRUE))</f>
        <v>-5.6617247401136659</v>
      </c>
      <c r="Q66">
        <f t="shared" si="7"/>
        <v>92499</v>
      </c>
    </row>
    <row r="67" spans="1:17" x14ac:dyDescent="0.25">
      <c r="A67" t="s">
        <v>63</v>
      </c>
      <c r="B67">
        <v>60</v>
      </c>
      <c r="C67">
        <f>HLOOKUP(CBSoverlevtafel!$C$3,CBStafelMan!$B$5:$CW$106, MATCH($A67,CBStafelMan!$A$5:$A$106,0),FALSE)</f>
        <v>90870</v>
      </c>
      <c r="D67">
        <f t="shared" si="2"/>
        <v>90870</v>
      </c>
      <c r="E67" s="54" cm="1">
        <f t="array" ref="E67">IF($B67 &lt; 100, -LN(-1/LN(D67/D66)-1), TREND(E$97:E$106, $B$97:$B$106, $B67:$B67,TRUE))</f>
        <v>-5.2386654410697622</v>
      </c>
      <c r="F67">
        <f>HLOOKUP(CBSoverlevtafel!$C$3,CBStafelVrouw!$B$5:$CW$106, MATCH($A67,CBStafelMan!$A$5:$A$106,0),FALSE)</f>
        <v>93301</v>
      </c>
      <c r="G67">
        <f t="shared" si="3"/>
        <v>93301</v>
      </c>
      <c r="H67" s="54" cm="1">
        <f t="array" ref="H67">IF($B67 &lt; 100, -LN(-1/LN(G67/G66)-1), TREND(H$97:H$106, $B$97:$B$106, $B67:$B67,TRUE))</f>
        <v>-5.595290248828463</v>
      </c>
      <c r="I67">
        <f t="shared" si="6"/>
        <v>92085.5</v>
      </c>
      <c r="K67">
        <f>HLOOKUP(CBSoverlevtafel!$K$3,CBStafelMan!$B$5:$CW$106, MATCH($A67,CBStafelMan!$A$5:$A$106,0),FALSE)</f>
        <v>90870</v>
      </c>
      <c r="L67">
        <f t="shared" si="4"/>
        <v>90870</v>
      </c>
      <c r="M67" s="54" cm="1">
        <f t="array" ref="M67">IF($B67 &lt; 100, -LN(-1/LN(L67/L66)-1), TREND(M$97:M$106, $B$97:$B$106, $B67:$B67,TRUE))</f>
        <v>-5.2386654410697622</v>
      </c>
      <c r="N67">
        <f>HLOOKUP(CBSoverlevtafel!$K$3,CBStafelVrouw!$B$5:$CW$106, MATCH($A67,CBStafelMan!$A$5:$A$106,0),FALSE)</f>
        <v>93301</v>
      </c>
      <c r="O67">
        <f t="shared" si="5"/>
        <v>93301</v>
      </c>
      <c r="P67" s="54" cm="1">
        <f t="array" ref="P67">IF($B67 &lt; 100, -LN(-1/LN(O67/O66)-1), TREND(P$97:P$106, $B$97:$B$106, $B67:$B67,TRUE))</f>
        <v>-5.595290248828463</v>
      </c>
      <c r="Q67">
        <f t="shared" si="7"/>
        <v>92085.5</v>
      </c>
    </row>
    <row r="68" spans="1:17" x14ac:dyDescent="0.25">
      <c r="A68" t="s">
        <v>62</v>
      </c>
      <c r="B68">
        <v>61</v>
      </c>
      <c r="C68">
        <f>HLOOKUP(CBSoverlevtafel!$C$3,CBStafelMan!$B$5:$CW$106, MATCH($A68,CBStafelMan!$A$5:$A$106,0),FALSE)</f>
        <v>90349</v>
      </c>
      <c r="D68">
        <f t="shared" si="2"/>
        <v>90349</v>
      </c>
      <c r="E68" s="54" cm="1">
        <f t="array" ref="E68">IF($B68 &lt; 100, -LN(-1/LN(D68/D67)-1), TREND(E$97:E$106, $B$97:$B$106, $B68:$B68,TRUE))</f>
        <v>-5.1527949866338449</v>
      </c>
      <c r="F68">
        <f>HLOOKUP(CBSoverlevtafel!$C$3,CBStafelVrouw!$B$5:$CW$106, MATCH($A68,CBStafelMan!$A$5:$A$106,0),FALSE)</f>
        <v>92932</v>
      </c>
      <c r="G68">
        <f t="shared" si="3"/>
        <v>92932</v>
      </c>
      <c r="H68" s="54" cm="1">
        <f t="array" ref="H68">IF($B68 &lt; 100, -LN(-1/LN(G68/G67)-1), TREND(H$97:H$106, $B$97:$B$106, $B68:$B68,TRUE))</f>
        <v>-5.5268380680452971</v>
      </c>
      <c r="I68">
        <f t="shared" si="6"/>
        <v>91640.5</v>
      </c>
      <c r="K68">
        <f>HLOOKUP(CBSoverlevtafel!$K$3,CBStafelMan!$B$5:$CW$106, MATCH($A68,CBStafelMan!$A$5:$A$106,0),FALSE)</f>
        <v>90349</v>
      </c>
      <c r="L68">
        <f t="shared" si="4"/>
        <v>90349</v>
      </c>
      <c r="M68" s="54" cm="1">
        <f t="array" ref="M68">IF($B68 &lt; 100, -LN(-1/LN(L68/L67)-1), TREND(M$97:M$106, $B$97:$B$106, $B68:$B68,TRUE))</f>
        <v>-5.1527949866338449</v>
      </c>
      <c r="N68">
        <f>HLOOKUP(CBSoverlevtafel!$K$3,CBStafelVrouw!$B$5:$CW$106, MATCH($A68,CBStafelMan!$A$5:$A$106,0),FALSE)</f>
        <v>92932</v>
      </c>
      <c r="O68">
        <f t="shared" si="5"/>
        <v>92932</v>
      </c>
      <c r="P68" s="54" cm="1">
        <f t="array" ref="P68">IF($B68 &lt; 100, -LN(-1/LN(O68/O67)-1), TREND(P$97:P$106, $B$97:$B$106, $B68:$B68,TRUE))</f>
        <v>-5.5268380680452971</v>
      </c>
      <c r="Q68">
        <f t="shared" si="7"/>
        <v>91640.5</v>
      </c>
    </row>
    <row r="69" spans="1:17" x14ac:dyDescent="0.25">
      <c r="A69" t="s">
        <v>61</v>
      </c>
      <c r="B69">
        <v>62</v>
      </c>
      <c r="C69">
        <f>HLOOKUP(CBSoverlevtafel!$C$3,CBStafelMan!$B$5:$CW$106, MATCH($A69,CBStafelMan!$A$5:$A$106,0),FALSE)</f>
        <v>89787</v>
      </c>
      <c r="D69">
        <f t="shared" si="2"/>
        <v>89787</v>
      </c>
      <c r="E69" s="54" cm="1">
        <f t="array" ref="E69">IF($B69 &lt; 100, -LN(-1/LN(D69/D68)-1), TREND(E$97:E$106, $B$97:$B$106, $B69:$B69,TRUE))</f>
        <v>-5.0705558263233579</v>
      </c>
      <c r="F69">
        <f>HLOOKUP(CBSoverlevtafel!$C$3,CBStafelVrouw!$B$5:$CW$106, MATCH($A69,CBStafelMan!$A$5:$A$106,0),FALSE)</f>
        <v>92540</v>
      </c>
      <c r="G69">
        <f t="shared" si="3"/>
        <v>92540</v>
      </c>
      <c r="H69" s="54" cm="1">
        <f t="array" ref="H69">IF($B69 &lt; 100, -LN(-1/LN(G69/G68)-1), TREND(H$97:H$106, $B$97:$B$106, $B69:$B69,TRUE))</f>
        <v>-5.4620126781824174</v>
      </c>
      <c r="I69">
        <f t="shared" si="6"/>
        <v>91163.5</v>
      </c>
      <c r="K69">
        <f>HLOOKUP(CBSoverlevtafel!$K$3,CBStafelMan!$B$5:$CW$106, MATCH($A69,CBStafelMan!$A$5:$A$106,0),FALSE)</f>
        <v>89787</v>
      </c>
      <c r="L69">
        <f t="shared" si="4"/>
        <v>89787</v>
      </c>
      <c r="M69" s="54" cm="1">
        <f t="array" ref="M69">IF($B69 &lt; 100, -LN(-1/LN(L69/L68)-1), TREND(M$97:M$106, $B$97:$B$106, $B69:$B69,TRUE))</f>
        <v>-5.0705558263233579</v>
      </c>
      <c r="N69">
        <f>HLOOKUP(CBSoverlevtafel!$K$3,CBStafelVrouw!$B$5:$CW$106, MATCH($A69,CBStafelMan!$A$5:$A$106,0),FALSE)</f>
        <v>92540</v>
      </c>
      <c r="O69">
        <f t="shared" si="5"/>
        <v>92540</v>
      </c>
      <c r="P69" s="54" cm="1">
        <f t="array" ref="P69">IF($B69 &lt; 100, -LN(-1/LN(O69/O68)-1), TREND(P$97:P$106, $B$97:$B$106, $B69:$B69,TRUE))</f>
        <v>-5.4620126781824174</v>
      </c>
      <c r="Q69">
        <f t="shared" si="7"/>
        <v>91163.5</v>
      </c>
    </row>
    <row r="70" spans="1:17" x14ac:dyDescent="0.25">
      <c r="A70" t="s">
        <v>60</v>
      </c>
      <c r="B70">
        <v>63</v>
      </c>
      <c r="C70">
        <f>HLOOKUP(CBSoverlevtafel!$C$3,CBStafelMan!$B$5:$CW$106, MATCH($A70,CBStafelMan!$A$5:$A$106,0),FALSE)</f>
        <v>89182</v>
      </c>
      <c r="D70">
        <f t="shared" si="2"/>
        <v>89182</v>
      </c>
      <c r="E70" s="54" cm="1">
        <f t="array" ref="E70">IF($B70 &lt; 100, -LN(-1/LN(D70/D69)-1), TREND(E$97:E$106, $B$97:$B$106, $B70:$B70,TRUE))</f>
        <v>-4.9898045055552966</v>
      </c>
      <c r="F70">
        <f>HLOOKUP(CBSoverlevtafel!$C$3,CBStafelVrouw!$B$5:$CW$106, MATCH($A70,CBStafelMan!$A$5:$A$106,0),FALSE)</f>
        <v>92126</v>
      </c>
      <c r="G70">
        <f t="shared" si="3"/>
        <v>92126</v>
      </c>
      <c r="H70" s="54" cm="1">
        <f t="array" ref="H70">IF($B70 &lt; 100, -LN(-1/LN(G70/G69)-1), TREND(H$97:H$106, $B$97:$B$106, $B70:$B70,TRUE))</f>
        <v>-5.4027953767135397</v>
      </c>
      <c r="I70">
        <f t="shared" si="6"/>
        <v>90654</v>
      </c>
      <c r="K70">
        <f>HLOOKUP(CBSoverlevtafel!$K$3,CBStafelMan!$B$5:$CW$106, MATCH($A70,CBStafelMan!$A$5:$A$106,0),FALSE)</f>
        <v>89182</v>
      </c>
      <c r="L70">
        <f t="shared" si="4"/>
        <v>89182</v>
      </c>
      <c r="M70" s="54" cm="1">
        <f t="array" ref="M70">IF($B70 &lt; 100, -LN(-1/LN(L70/L69)-1), TREND(M$97:M$106, $B$97:$B$106, $B70:$B70,TRUE))</f>
        <v>-4.9898045055552966</v>
      </c>
      <c r="N70">
        <f>HLOOKUP(CBSoverlevtafel!$K$3,CBStafelVrouw!$B$5:$CW$106, MATCH($A70,CBStafelMan!$A$5:$A$106,0),FALSE)</f>
        <v>92126</v>
      </c>
      <c r="O70">
        <f t="shared" si="5"/>
        <v>92126</v>
      </c>
      <c r="P70" s="54" cm="1">
        <f t="array" ref="P70">IF($B70 &lt; 100, -LN(-1/LN(O70/O69)-1), TREND(P$97:P$106, $B$97:$B$106, $B70:$B70,TRUE))</f>
        <v>-5.4027953767135397</v>
      </c>
      <c r="Q70">
        <f t="shared" si="7"/>
        <v>90654</v>
      </c>
    </row>
    <row r="71" spans="1:17" x14ac:dyDescent="0.25">
      <c r="A71" t="s">
        <v>59</v>
      </c>
      <c r="B71">
        <v>64</v>
      </c>
      <c r="C71">
        <f>HLOOKUP(CBSoverlevtafel!$C$3,CBStafelMan!$B$5:$CW$106, MATCH($A71,CBStafelMan!$A$5:$A$106,0),FALSE)</f>
        <v>88531</v>
      </c>
      <c r="D71">
        <f t="shared" si="2"/>
        <v>88531</v>
      </c>
      <c r="E71" s="54" cm="1">
        <f t="array" ref="E71">IF($B71 &lt; 100, -LN(-1/LN(D71/D70)-1), TREND(E$97:E$106, $B$97:$B$106, $B71:$B71,TRUE))</f>
        <v>-4.908910450043984</v>
      </c>
      <c r="F71">
        <f>HLOOKUP(CBSoverlevtafel!$C$3,CBStafelVrouw!$B$5:$CW$106, MATCH($A71,CBStafelMan!$A$5:$A$106,0),FALSE)</f>
        <v>91690</v>
      </c>
      <c r="G71">
        <f t="shared" si="3"/>
        <v>91690</v>
      </c>
      <c r="H71" s="54" cm="1">
        <f t="array" ref="H71">IF($B71 &lt; 100, -LN(-1/LN(G71/G70)-1), TREND(H$97:H$106, $B$97:$B$106, $B71:$B71,TRUE))</f>
        <v>-5.3461440658492796</v>
      </c>
      <c r="I71">
        <f t="shared" ref="I71:I102" si="8">AVERAGE(D71,G71)</f>
        <v>90110.5</v>
      </c>
      <c r="K71">
        <f>HLOOKUP(CBSoverlevtafel!$K$3,CBStafelMan!$B$5:$CW$106, MATCH($A71,CBStafelMan!$A$5:$A$106,0),FALSE)</f>
        <v>88531</v>
      </c>
      <c r="L71">
        <f t="shared" si="4"/>
        <v>88531</v>
      </c>
      <c r="M71" s="54" cm="1">
        <f t="array" ref="M71">IF($B71 &lt; 100, -LN(-1/LN(L71/L70)-1), TREND(M$97:M$106, $B$97:$B$106, $B71:$B71,TRUE))</f>
        <v>-4.908910450043984</v>
      </c>
      <c r="N71">
        <f>HLOOKUP(CBSoverlevtafel!$K$3,CBStafelVrouw!$B$5:$CW$106, MATCH($A71,CBStafelMan!$A$5:$A$106,0),FALSE)</f>
        <v>91690</v>
      </c>
      <c r="O71">
        <f t="shared" si="5"/>
        <v>91690</v>
      </c>
      <c r="P71" s="54" cm="1">
        <f t="array" ref="P71">IF($B71 &lt; 100, -LN(-1/LN(O71/O70)-1), TREND(P$97:P$106, $B$97:$B$106, $B71:$B71,TRUE))</f>
        <v>-5.3461440658492796</v>
      </c>
      <c r="Q71">
        <f t="shared" ref="Q71:Q102" si="9">AVERAGE(L71,O71)</f>
        <v>90110.5</v>
      </c>
    </row>
    <row r="72" spans="1:17" x14ac:dyDescent="0.25">
      <c r="A72" t="s">
        <v>58</v>
      </c>
      <c r="B72">
        <v>65</v>
      </c>
      <c r="C72">
        <f>HLOOKUP(CBSoverlevtafel!$C$3,CBStafelMan!$B$5:$CW$106, MATCH($A72,CBStafelMan!$A$5:$A$106,0),FALSE)</f>
        <v>87830</v>
      </c>
      <c r="D72">
        <f t="shared" ref="D72:D106" si="10">IF(C72 &lt;&gt;".",C72,)</f>
        <v>87830</v>
      </c>
      <c r="E72" s="54" cm="1">
        <f t="array" ref="E72">IF($B72 &lt; 100, -LN(-1/LN(D72/D71)-1), TREND(E$97:E$106, $B$97:$B$106, $B72:$B72,TRUE))</f>
        <v>-4.8266465635608355</v>
      </c>
      <c r="F72">
        <f>HLOOKUP(CBSoverlevtafel!$C$3,CBStafelVrouw!$B$5:$CW$106, MATCH($A72,CBStafelMan!$A$5:$A$106,0),FALSE)</f>
        <v>91234</v>
      </c>
      <c r="G72">
        <f t="shared" ref="G72:G104" si="11">IF(F72 &lt;&gt;".",F72,)</f>
        <v>91234</v>
      </c>
      <c r="H72" s="54" cm="1">
        <f t="array" ref="H72">IF($B72 &lt; 100, -LN(-1/LN(G72/G71)-1), TREND(H$97:H$106, $B$97:$B$106, $B72:$B72,TRUE))</f>
        <v>-5.2961858260775267</v>
      </c>
      <c r="I72">
        <f t="shared" si="8"/>
        <v>89532</v>
      </c>
      <c r="K72">
        <f>HLOOKUP(CBSoverlevtafel!$K$3,CBStafelMan!$B$5:$CW$106, MATCH($A72,CBStafelMan!$A$5:$A$106,0),FALSE)</f>
        <v>87830</v>
      </c>
      <c r="L72">
        <f t="shared" ref="L72:L104" si="12">IF(K72 &lt;&gt;".",K72,)</f>
        <v>87830</v>
      </c>
      <c r="M72" s="54" cm="1">
        <f t="array" ref="M72">IF($B72 &lt; 100, -LN(-1/LN(L72/L71)-1), TREND(M$97:M$106, $B$97:$B$106, $B72:$B72,TRUE))</f>
        <v>-4.8266465635608355</v>
      </c>
      <c r="N72">
        <f>HLOOKUP(CBSoverlevtafel!$K$3,CBStafelVrouw!$B$5:$CW$106, MATCH($A72,CBStafelMan!$A$5:$A$106,0),FALSE)</f>
        <v>91234</v>
      </c>
      <c r="O72">
        <f t="shared" ref="O72:O104" si="13">IF(N72 &lt;&gt;".",N72,)</f>
        <v>91234</v>
      </c>
      <c r="P72" s="54" cm="1">
        <f t="array" ref="P72">IF($B72 &lt; 100, -LN(-1/LN(O72/O71)-1), TREND(P$97:P$106, $B$97:$B$106, $B72:$B72,TRUE))</f>
        <v>-5.2961858260775267</v>
      </c>
      <c r="Q72">
        <f t="shared" si="9"/>
        <v>89532</v>
      </c>
    </row>
    <row r="73" spans="1:17" x14ac:dyDescent="0.25">
      <c r="A73" t="s">
        <v>57</v>
      </c>
      <c r="B73">
        <v>66</v>
      </c>
      <c r="C73">
        <f>HLOOKUP(CBSoverlevtafel!$C$3,CBStafelMan!$B$5:$CW$106, MATCH($A73,CBStafelMan!$A$5:$A$106,0),FALSE)</f>
        <v>87079</v>
      </c>
      <c r="D73">
        <f t="shared" si="10"/>
        <v>87079</v>
      </c>
      <c r="E73" s="54" cm="1">
        <f t="array" ref="E73">IF($B73 &lt; 100, -LN(-1/LN(D73/D72)-1), TREND(E$97:E$106, $B$97:$B$106, $B73:$B73,TRUE))</f>
        <v>-4.7488376808254085</v>
      </c>
      <c r="F73">
        <f>HLOOKUP(CBSoverlevtafel!$C$3,CBStafelVrouw!$B$5:$CW$106, MATCH($A73,CBStafelMan!$A$5:$A$106,0),FALSE)</f>
        <v>90760</v>
      </c>
      <c r="G73">
        <f t="shared" si="11"/>
        <v>90760</v>
      </c>
      <c r="H73" s="54" cm="1">
        <f t="array" ref="H73">IF($B73 &lt; 100, -LN(-1/LN(G73/G72)-1), TREND(H$97:H$106, $B$97:$B$106, $B73:$B73,TRUE))</f>
        <v>-5.2521496463960222</v>
      </c>
      <c r="I73">
        <f t="shared" si="8"/>
        <v>88919.5</v>
      </c>
      <c r="K73">
        <f>HLOOKUP(CBSoverlevtafel!$K$3,CBStafelMan!$B$5:$CW$106, MATCH($A73,CBStafelMan!$A$5:$A$106,0),FALSE)</f>
        <v>87079</v>
      </c>
      <c r="L73">
        <f t="shared" si="12"/>
        <v>87079</v>
      </c>
      <c r="M73" s="54" cm="1">
        <f t="array" ref="M73">IF($B73 &lt; 100, -LN(-1/LN(L73/L72)-1), TREND(M$97:M$106, $B$97:$B$106, $B73:$B73,TRUE))</f>
        <v>-4.7488376808254085</v>
      </c>
      <c r="N73">
        <f>HLOOKUP(CBSoverlevtafel!$K$3,CBStafelVrouw!$B$5:$CW$106, MATCH($A73,CBStafelMan!$A$5:$A$106,0),FALSE)</f>
        <v>90760</v>
      </c>
      <c r="O73">
        <f t="shared" si="13"/>
        <v>90760</v>
      </c>
      <c r="P73" s="54" cm="1">
        <f t="array" ref="P73">IF($B73 &lt; 100, -LN(-1/LN(O73/O72)-1), TREND(P$97:P$106, $B$97:$B$106, $B73:$B73,TRUE))</f>
        <v>-5.2521496463960222</v>
      </c>
      <c r="Q73">
        <f t="shared" si="9"/>
        <v>88919.5</v>
      </c>
    </row>
    <row r="74" spans="1:17" x14ac:dyDescent="0.25">
      <c r="A74" t="s">
        <v>56</v>
      </c>
      <c r="B74">
        <v>67</v>
      </c>
      <c r="C74">
        <f>HLOOKUP(CBSoverlevtafel!$C$3,CBStafelMan!$B$5:$CW$106, MATCH($A74,CBStafelMan!$A$5:$A$106,0),FALSE)</f>
        <v>86273</v>
      </c>
      <c r="D74">
        <f t="shared" si="10"/>
        <v>86273</v>
      </c>
      <c r="E74" s="54" cm="1">
        <f t="array" ref="E74">IF($B74 &lt; 100, -LN(-1/LN(D74/D73)-1), TREND(E$97:E$106, $B$97:$B$106, $B74:$B74,TRUE))</f>
        <v>-4.6684987875066</v>
      </c>
      <c r="F74">
        <f>HLOOKUP(CBSoverlevtafel!$C$3,CBStafelVrouw!$B$5:$CW$106, MATCH($A74,CBStafelMan!$A$5:$A$106,0),FALSE)</f>
        <v>90268</v>
      </c>
      <c r="G74">
        <f t="shared" si="11"/>
        <v>90268</v>
      </c>
      <c r="H74" s="54" cm="1">
        <f t="array" ref="H74">IF($B74 &lt; 100, -LN(-1/LN(G74/G73)-1), TREND(H$97:H$106, $B$97:$B$106, $B74:$B74,TRUE))</f>
        <v>-5.209328171761717</v>
      </c>
      <c r="I74">
        <f t="shared" si="8"/>
        <v>88270.5</v>
      </c>
      <c r="K74">
        <f>HLOOKUP(CBSoverlevtafel!$K$3,CBStafelMan!$B$5:$CW$106, MATCH($A74,CBStafelMan!$A$5:$A$106,0),FALSE)</f>
        <v>86273</v>
      </c>
      <c r="L74">
        <f t="shared" si="12"/>
        <v>86273</v>
      </c>
      <c r="M74" s="54" cm="1">
        <f t="array" ref="M74">IF($B74 &lt; 100, -LN(-1/LN(L74/L73)-1), TREND(M$97:M$106, $B$97:$B$106, $B74:$B74,TRUE))</f>
        <v>-4.6684987875066</v>
      </c>
      <c r="N74">
        <f>HLOOKUP(CBSoverlevtafel!$K$3,CBStafelVrouw!$B$5:$CW$106, MATCH($A74,CBStafelMan!$A$5:$A$106,0),FALSE)</f>
        <v>90268</v>
      </c>
      <c r="O74">
        <f t="shared" si="13"/>
        <v>90268</v>
      </c>
      <c r="P74" s="54" cm="1">
        <f t="array" ref="P74">IF($B74 &lt; 100, -LN(-1/LN(O74/O73)-1), TREND(P$97:P$106, $B$97:$B$106, $B74:$B74,TRUE))</f>
        <v>-5.209328171761717</v>
      </c>
      <c r="Q74">
        <f t="shared" si="9"/>
        <v>88270.5</v>
      </c>
    </row>
    <row r="75" spans="1:17" x14ac:dyDescent="0.25">
      <c r="A75" t="s">
        <v>55</v>
      </c>
      <c r="B75">
        <v>68</v>
      </c>
      <c r="C75">
        <f>HLOOKUP(CBSoverlevtafel!$C$3,CBStafelMan!$B$5:$CW$106, MATCH($A75,CBStafelMan!$A$5:$A$106,0),FALSE)</f>
        <v>85413</v>
      </c>
      <c r="D75">
        <f t="shared" si="10"/>
        <v>85413</v>
      </c>
      <c r="E75" s="54" cm="1">
        <f t="array" ref="E75">IF($B75 &lt; 100, -LN(-1/LN(D75/D74)-1), TREND(E$97:E$106, $B$97:$B$106, $B75:$B75,TRUE))</f>
        <v>-4.5932656776474543</v>
      </c>
      <c r="F75">
        <f>HLOOKUP(CBSoverlevtafel!$C$3,CBStafelVrouw!$B$5:$CW$106, MATCH($A75,CBStafelMan!$A$5:$A$106,0),FALSE)</f>
        <v>89757</v>
      </c>
      <c r="G75">
        <f t="shared" si="11"/>
        <v>89757</v>
      </c>
      <c r="H75" s="54" cm="1">
        <f t="array" ref="H75">IF($B75 &lt; 100, -LN(-1/LN(G75/G74)-1), TREND(H$97:H$106, $B$97:$B$106, $B75:$B75,TRUE))</f>
        <v>-5.1656383726682629</v>
      </c>
      <c r="I75">
        <f t="shared" si="8"/>
        <v>87585</v>
      </c>
      <c r="K75">
        <f>HLOOKUP(CBSoverlevtafel!$K$3,CBStafelMan!$B$5:$CW$106, MATCH($A75,CBStafelMan!$A$5:$A$106,0),FALSE)</f>
        <v>85413</v>
      </c>
      <c r="L75">
        <f t="shared" si="12"/>
        <v>85413</v>
      </c>
      <c r="M75" s="54" cm="1">
        <f t="array" ref="M75">IF($B75 &lt; 100, -LN(-1/LN(L75/L74)-1), TREND(M$97:M$106, $B$97:$B$106, $B75:$B75,TRUE))</f>
        <v>-4.5932656776474543</v>
      </c>
      <c r="N75">
        <f>HLOOKUP(CBSoverlevtafel!$K$3,CBStafelVrouw!$B$5:$CW$106, MATCH($A75,CBStafelMan!$A$5:$A$106,0),FALSE)</f>
        <v>89757</v>
      </c>
      <c r="O75">
        <f t="shared" si="13"/>
        <v>89757</v>
      </c>
      <c r="P75" s="54" cm="1">
        <f t="array" ref="P75">IF($B75 &lt; 100, -LN(-1/LN(O75/O74)-1), TREND(P$97:P$106, $B$97:$B$106, $B75:$B75,TRUE))</f>
        <v>-5.1656383726682629</v>
      </c>
      <c r="Q75">
        <f t="shared" si="9"/>
        <v>87585</v>
      </c>
    </row>
    <row r="76" spans="1:17" x14ac:dyDescent="0.25">
      <c r="A76" t="s">
        <v>54</v>
      </c>
      <c r="B76">
        <v>69</v>
      </c>
      <c r="C76">
        <f>HLOOKUP(CBSoverlevtafel!$C$3,CBStafelMan!$B$5:$CW$106, MATCH($A76,CBStafelMan!$A$5:$A$106,0),FALSE)</f>
        <v>84497</v>
      </c>
      <c r="D76">
        <f t="shared" si="10"/>
        <v>84497</v>
      </c>
      <c r="E76" s="54" cm="1">
        <f t="array" ref="E76">IF($B76 &lt; 100, -LN(-1/LN(D76/D75)-1), TREND(E$97:E$106, $B$97:$B$106, $B76:$B76,TRUE))</f>
        <v>-4.5190100974504341</v>
      </c>
      <c r="F76">
        <f>HLOOKUP(CBSoverlevtafel!$C$3,CBStafelVrouw!$B$5:$CW$106, MATCH($A76,CBStafelMan!$A$5:$A$106,0),FALSE)</f>
        <v>89218</v>
      </c>
      <c r="G76">
        <f t="shared" si="11"/>
        <v>89218</v>
      </c>
      <c r="H76" s="54" cm="1">
        <f t="array" ref="H76">IF($B76 &lt; 100, -LN(-1/LN(G76/G75)-1), TREND(H$97:H$106, $B$97:$B$106, $B76:$B76,TRUE))</f>
        <v>-5.1060942170721617</v>
      </c>
      <c r="I76">
        <f t="shared" si="8"/>
        <v>86857.5</v>
      </c>
      <c r="K76">
        <f>HLOOKUP(CBSoverlevtafel!$K$3,CBStafelMan!$B$5:$CW$106, MATCH($A76,CBStafelMan!$A$5:$A$106,0),FALSE)</f>
        <v>84497</v>
      </c>
      <c r="L76">
        <f t="shared" si="12"/>
        <v>84497</v>
      </c>
      <c r="M76" s="54" cm="1">
        <f t="array" ref="M76">IF($B76 &lt; 100, -LN(-1/LN(L76/L75)-1), TREND(M$97:M$106, $B$97:$B$106, $B76:$B76,TRUE))</f>
        <v>-4.5190100974504341</v>
      </c>
      <c r="N76">
        <f>HLOOKUP(CBSoverlevtafel!$K$3,CBStafelVrouw!$B$5:$CW$106, MATCH($A76,CBStafelMan!$A$5:$A$106,0),FALSE)</f>
        <v>89218</v>
      </c>
      <c r="O76">
        <f t="shared" si="13"/>
        <v>89218</v>
      </c>
      <c r="P76" s="54" cm="1">
        <f t="array" ref="P76">IF($B76 &lt; 100, -LN(-1/LN(O76/O75)-1), TREND(P$97:P$106, $B$97:$B$106, $B76:$B76,TRUE))</f>
        <v>-5.1060942170721617</v>
      </c>
      <c r="Q76">
        <f t="shared" si="9"/>
        <v>86857.5</v>
      </c>
    </row>
    <row r="77" spans="1:17" x14ac:dyDescent="0.25">
      <c r="A77" t="s">
        <v>53</v>
      </c>
      <c r="B77">
        <v>70</v>
      </c>
      <c r="C77">
        <f>HLOOKUP(CBSoverlevtafel!$C$3,CBStafelMan!$B$5:$CW$106, MATCH($A77,CBStafelMan!$A$5:$A$106,0),FALSE)</f>
        <v>83523</v>
      </c>
      <c r="D77">
        <f t="shared" si="10"/>
        <v>83523</v>
      </c>
      <c r="E77" s="54" cm="1">
        <f t="array" ref="E77">IF($B77 &lt; 100, -LN(-1/LN(D77/D76)-1), TREND(E$97:E$106, $B$97:$B$106, $B77:$B77,TRUE))</f>
        <v>-4.445606891021181</v>
      </c>
      <c r="F77">
        <f>HLOOKUP(CBSoverlevtafel!$C$3,CBStafelVrouw!$B$5:$CW$106, MATCH($A77,CBStafelMan!$A$5:$A$106,0),FALSE)</f>
        <v>88640</v>
      </c>
      <c r="G77">
        <f t="shared" si="11"/>
        <v>88640</v>
      </c>
      <c r="H77" s="54" cm="1">
        <f t="array" ref="H77">IF($B77 &lt; 100, -LN(-1/LN(G77/G76)-1), TREND(H$97:H$106, $B$97:$B$106, $B77:$B77,TRUE))</f>
        <v>-5.0294953842194081</v>
      </c>
      <c r="I77">
        <f t="shared" si="8"/>
        <v>86081.5</v>
      </c>
      <c r="K77">
        <f>HLOOKUP(CBSoverlevtafel!$K$3,CBStafelMan!$B$5:$CW$106, MATCH($A77,CBStafelMan!$A$5:$A$106,0),FALSE)</f>
        <v>83523</v>
      </c>
      <c r="L77">
        <f t="shared" si="12"/>
        <v>83523</v>
      </c>
      <c r="M77" s="54" cm="1">
        <f t="array" ref="M77">IF($B77 &lt; 100, -LN(-1/LN(L77/L76)-1), TREND(M$97:M$106, $B$97:$B$106, $B77:$B77,TRUE))</f>
        <v>-4.445606891021181</v>
      </c>
      <c r="N77">
        <f>HLOOKUP(CBSoverlevtafel!$K$3,CBStafelVrouw!$B$5:$CW$106, MATCH($A77,CBStafelMan!$A$5:$A$106,0),FALSE)</f>
        <v>88640</v>
      </c>
      <c r="O77">
        <f t="shared" si="13"/>
        <v>88640</v>
      </c>
      <c r="P77" s="54" cm="1">
        <f t="array" ref="P77">IF($B77 &lt; 100, -LN(-1/LN(O77/O76)-1), TREND(P$97:P$106, $B$97:$B$106, $B77:$B77,TRUE))</f>
        <v>-5.0294953842194081</v>
      </c>
      <c r="Q77">
        <f t="shared" si="9"/>
        <v>86081.5</v>
      </c>
    </row>
    <row r="78" spans="1:17" x14ac:dyDescent="0.25">
      <c r="A78" t="s">
        <v>52</v>
      </c>
      <c r="B78">
        <v>71</v>
      </c>
      <c r="C78">
        <f>HLOOKUP(CBSoverlevtafel!$C$3,CBStafelMan!$B$5:$CW$106, MATCH($A78,CBStafelMan!$A$5:$A$106,0),FALSE)</f>
        <v>82487</v>
      </c>
      <c r="D78">
        <f t="shared" si="10"/>
        <v>82487</v>
      </c>
      <c r="E78" s="54" cm="1">
        <f t="array" ref="E78">IF($B78 &lt; 100, -LN(-1/LN(D78/D77)-1), TREND(E$97:E$106, $B$97:$B$106, $B78:$B78,TRUE))</f>
        <v>-4.3709608372251969</v>
      </c>
      <c r="F78">
        <f>HLOOKUP(CBSoverlevtafel!$C$3,CBStafelVrouw!$B$5:$CW$106, MATCH($A78,CBStafelMan!$A$5:$A$106,0),FALSE)</f>
        <v>88017</v>
      </c>
      <c r="G78">
        <f t="shared" si="11"/>
        <v>88017</v>
      </c>
      <c r="H78" s="54" cm="1">
        <f t="array" ref="H78">IF($B78 &lt; 100, -LN(-1/LN(G78/G77)-1), TREND(H$97:H$106, $B$97:$B$106, $B78:$B78,TRUE))</f>
        <v>-4.9471891962781633</v>
      </c>
      <c r="I78">
        <f t="shared" si="8"/>
        <v>85252</v>
      </c>
      <c r="K78">
        <f>HLOOKUP(CBSoverlevtafel!$K$3,CBStafelMan!$B$5:$CW$106, MATCH($A78,CBStafelMan!$A$5:$A$106,0),FALSE)</f>
        <v>82487</v>
      </c>
      <c r="L78">
        <f t="shared" si="12"/>
        <v>82487</v>
      </c>
      <c r="M78" s="54" cm="1">
        <f t="array" ref="M78">IF($B78 &lt; 100, -LN(-1/LN(L78/L77)-1), TREND(M$97:M$106, $B$97:$B$106, $B78:$B78,TRUE))</f>
        <v>-4.3709608372251969</v>
      </c>
      <c r="N78">
        <f>HLOOKUP(CBSoverlevtafel!$K$3,CBStafelVrouw!$B$5:$CW$106, MATCH($A78,CBStafelMan!$A$5:$A$106,0),FALSE)</f>
        <v>88017</v>
      </c>
      <c r="O78">
        <f t="shared" si="13"/>
        <v>88017</v>
      </c>
      <c r="P78" s="54" cm="1">
        <f t="array" ref="P78">IF($B78 &lt; 100, -LN(-1/LN(O78/O77)-1), TREND(P$97:P$106, $B$97:$B$106, $B78:$B78,TRUE))</f>
        <v>-4.9471891962781633</v>
      </c>
      <c r="Q78">
        <f t="shared" si="9"/>
        <v>85252</v>
      </c>
    </row>
    <row r="79" spans="1:17" x14ac:dyDescent="0.25">
      <c r="A79" t="s">
        <v>51</v>
      </c>
      <c r="B79">
        <v>72</v>
      </c>
      <c r="C79">
        <f>HLOOKUP(CBSoverlevtafel!$C$3,CBStafelMan!$B$5:$CW$106, MATCH($A79,CBStafelMan!$A$5:$A$106,0),FALSE)</f>
        <v>81381</v>
      </c>
      <c r="D79">
        <f t="shared" si="10"/>
        <v>81381</v>
      </c>
      <c r="E79" s="54" cm="1">
        <f t="array" ref="E79">IF($B79 &lt; 100, -LN(-1/LN(D79/D78)-1), TREND(E$97:E$106, $B$97:$B$106, $B79:$B79,TRUE))</f>
        <v>-4.2915581444634414</v>
      </c>
      <c r="F79">
        <f>HLOOKUP(CBSoverlevtafel!$C$3,CBStafelVrouw!$B$5:$CW$106, MATCH($A79,CBStafelMan!$A$5:$A$106,0),FALSE)</f>
        <v>87344</v>
      </c>
      <c r="G79">
        <f t="shared" si="11"/>
        <v>87344</v>
      </c>
      <c r="H79" s="54" cm="1">
        <f t="array" ref="H79">IF($B79 &lt; 100, -LN(-1/LN(G79/G78)-1), TREND(H$97:H$106, $B$97:$B$106, $B79:$B79,TRUE))</f>
        <v>-4.861999323602868</v>
      </c>
      <c r="I79">
        <f t="shared" si="8"/>
        <v>84362.5</v>
      </c>
      <c r="K79">
        <f>HLOOKUP(CBSoverlevtafel!$K$3,CBStafelMan!$B$5:$CW$106, MATCH($A79,CBStafelMan!$A$5:$A$106,0),FALSE)</f>
        <v>81381</v>
      </c>
      <c r="L79">
        <f t="shared" si="12"/>
        <v>81381</v>
      </c>
      <c r="M79" s="54" cm="1">
        <f t="array" ref="M79">IF($B79 &lt; 100, -LN(-1/LN(L79/L78)-1), TREND(M$97:M$106, $B$97:$B$106, $B79:$B79,TRUE))</f>
        <v>-4.2915581444634414</v>
      </c>
      <c r="N79">
        <f>HLOOKUP(CBSoverlevtafel!$K$3,CBStafelVrouw!$B$5:$CW$106, MATCH($A79,CBStafelMan!$A$5:$A$106,0),FALSE)</f>
        <v>87344</v>
      </c>
      <c r="O79">
        <f t="shared" si="13"/>
        <v>87344</v>
      </c>
      <c r="P79" s="54" cm="1">
        <f t="array" ref="P79">IF($B79 &lt; 100, -LN(-1/LN(O79/O78)-1), TREND(P$97:P$106, $B$97:$B$106, $B79:$B79,TRUE))</f>
        <v>-4.861999323602868</v>
      </c>
      <c r="Q79">
        <f t="shared" si="9"/>
        <v>84362.5</v>
      </c>
    </row>
    <row r="80" spans="1:17" x14ac:dyDescent="0.25">
      <c r="A80" t="s">
        <v>50</v>
      </c>
      <c r="B80">
        <v>73</v>
      </c>
      <c r="C80">
        <f>HLOOKUP(CBSoverlevtafel!$C$3,CBStafelMan!$B$5:$CW$106, MATCH($A80,CBStafelMan!$A$5:$A$106,0),FALSE)</f>
        <v>80200</v>
      </c>
      <c r="D80">
        <f t="shared" si="10"/>
        <v>80200</v>
      </c>
      <c r="E80" s="54" cm="1">
        <f t="array" ref="E80">IF($B80 &lt; 100, -LN(-1/LN(D80/D79)-1), TREND(E$97:E$106, $B$97:$B$106, $B80:$B80,TRUE))</f>
        <v>-4.2107538233619417</v>
      </c>
      <c r="F80">
        <f>HLOOKUP(CBSoverlevtafel!$C$3,CBStafelVrouw!$B$5:$CW$106, MATCH($A80,CBStafelMan!$A$5:$A$106,0),FALSE)</f>
        <v>86614</v>
      </c>
      <c r="G80">
        <f t="shared" si="11"/>
        <v>86614</v>
      </c>
      <c r="H80" s="54" cm="1">
        <f t="array" ref="H80">IF($B80 &lt; 100, -LN(-1/LN(G80/G79)-1), TREND(H$97:H$106, $B$97:$B$106, $B80:$B80,TRUE))</f>
        <v>-4.7719432867862048</v>
      </c>
      <c r="I80">
        <f t="shared" si="8"/>
        <v>83407</v>
      </c>
      <c r="K80">
        <f>HLOOKUP(CBSoverlevtafel!$K$3,CBStafelMan!$B$5:$CW$106, MATCH($A80,CBStafelMan!$A$5:$A$106,0),FALSE)</f>
        <v>80200</v>
      </c>
      <c r="L80">
        <f t="shared" si="12"/>
        <v>80200</v>
      </c>
      <c r="M80" s="54" cm="1">
        <f t="array" ref="M80">IF($B80 &lt; 100, -LN(-1/LN(L80/L79)-1), TREND(M$97:M$106, $B$97:$B$106, $B80:$B80,TRUE))</f>
        <v>-4.2107538233619417</v>
      </c>
      <c r="N80">
        <f>HLOOKUP(CBSoverlevtafel!$K$3,CBStafelVrouw!$B$5:$CW$106, MATCH($A80,CBStafelMan!$A$5:$A$106,0),FALSE)</f>
        <v>86614</v>
      </c>
      <c r="O80">
        <f t="shared" si="13"/>
        <v>86614</v>
      </c>
      <c r="P80" s="54" cm="1">
        <f t="array" ref="P80">IF($B80 &lt; 100, -LN(-1/LN(O80/O79)-1), TREND(P$97:P$106, $B$97:$B$106, $B80:$B80,TRUE))</f>
        <v>-4.7719432867862048</v>
      </c>
      <c r="Q80">
        <f t="shared" si="9"/>
        <v>83407</v>
      </c>
    </row>
    <row r="81" spans="1:17" x14ac:dyDescent="0.25">
      <c r="A81" t="s">
        <v>49</v>
      </c>
      <c r="B81">
        <v>74</v>
      </c>
      <c r="C81">
        <f>HLOOKUP(CBSoverlevtafel!$C$3,CBStafelMan!$B$5:$CW$106, MATCH($A81,CBStafelMan!$A$5:$A$106,0),FALSE)</f>
        <v>78932</v>
      </c>
      <c r="D81">
        <f t="shared" si="10"/>
        <v>78932</v>
      </c>
      <c r="E81" s="54" cm="1">
        <f t="array" ref="E81">IF($B81 &lt; 100, -LN(-1/LN(D81/D80)-1), TREND(E$97:E$106, $B$97:$B$106, $B81:$B81,TRUE))</f>
        <v>-4.1230596963139492</v>
      </c>
      <c r="F81">
        <f>HLOOKUP(CBSoverlevtafel!$C$3,CBStafelVrouw!$B$5:$CW$106, MATCH($A81,CBStafelMan!$A$5:$A$106,0),FALSE)</f>
        <v>85815</v>
      </c>
      <c r="G81">
        <f t="shared" si="11"/>
        <v>85815</v>
      </c>
      <c r="H81" s="54" cm="1">
        <f t="array" ref="H81">IF($B81 &lt; 100, -LN(-1/LN(G81/G80)-1), TREND(H$97:H$106, $B$97:$B$106, $B81:$B81,TRUE))</f>
        <v>-4.6719146920107182</v>
      </c>
      <c r="I81">
        <f t="shared" si="8"/>
        <v>82373.5</v>
      </c>
      <c r="K81">
        <f>HLOOKUP(CBSoverlevtafel!$K$3,CBStafelMan!$B$5:$CW$106, MATCH($A81,CBStafelMan!$A$5:$A$106,0),FALSE)</f>
        <v>78932</v>
      </c>
      <c r="L81">
        <f t="shared" si="12"/>
        <v>78932</v>
      </c>
      <c r="M81" s="54" cm="1">
        <f t="array" ref="M81">IF($B81 &lt; 100, -LN(-1/LN(L81/L80)-1), TREND(M$97:M$106, $B$97:$B$106, $B81:$B81,TRUE))</f>
        <v>-4.1230596963139492</v>
      </c>
      <c r="N81">
        <f>HLOOKUP(CBSoverlevtafel!$K$3,CBStafelVrouw!$B$5:$CW$106, MATCH($A81,CBStafelMan!$A$5:$A$106,0),FALSE)</f>
        <v>85815</v>
      </c>
      <c r="O81">
        <f t="shared" si="13"/>
        <v>85815</v>
      </c>
      <c r="P81" s="54" cm="1">
        <f t="array" ref="P81">IF($B81 &lt; 100, -LN(-1/LN(O81/O80)-1), TREND(P$97:P$106, $B$97:$B$106, $B81:$B81,TRUE))</f>
        <v>-4.6719146920107182</v>
      </c>
      <c r="Q81">
        <f t="shared" si="9"/>
        <v>82373.5</v>
      </c>
    </row>
    <row r="82" spans="1:17" x14ac:dyDescent="0.25">
      <c r="A82" t="s">
        <v>48</v>
      </c>
      <c r="B82">
        <v>75</v>
      </c>
      <c r="C82">
        <f>HLOOKUP(CBSoverlevtafel!$C$3,CBStafelMan!$B$5:$CW$106, MATCH($A82,CBStafelMan!$A$5:$A$106,0),FALSE)</f>
        <v>77567</v>
      </c>
      <c r="D82">
        <f t="shared" si="10"/>
        <v>77567</v>
      </c>
      <c r="E82" s="54" cm="1">
        <f t="array" ref="E82">IF($B82 &lt; 100, -LN(-1/LN(D82/D81)-1), TREND(E$97:E$106, $B$97:$B$106, $B82:$B82,TRUE))</f>
        <v>-4.0311240576787375</v>
      </c>
      <c r="F82">
        <f>HLOOKUP(CBSoverlevtafel!$C$3,CBStafelVrouw!$B$5:$CW$106, MATCH($A82,CBStafelMan!$A$5:$A$106,0),FALSE)</f>
        <v>84936</v>
      </c>
      <c r="G82">
        <f t="shared" si="11"/>
        <v>84936</v>
      </c>
      <c r="H82" s="54" cm="1">
        <f t="array" ref="H82">IF($B82 &lt; 100, -LN(-1/LN(G82/G81)-1), TREND(H$97:H$106, $B$97:$B$106, $B82:$B82,TRUE))</f>
        <v>-4.5656715692460352</v>
      </c>
      <c r="I82">
        <f t="shared" si="8"/>
        <v>81251.5</v>
      </c>
      <c r="K82">
        <f>HLOOKUP(CBSoverlevtafel!$K$3,CBStafelMan!$B$5:$CW$106, MATCH($A82,CBStafelMan!$A$5:$A$106,0),FALSE)</f>
        <v>77567</v>
      </c>
      <c r="L82">
        <f t="shared" si="12"/>
        <v>77567</v>
      </c>
      <c r="M82" s="54" cm="1">
        <f t="array" ref="M82">IF($B82 &lt; 100, -LN(-1/LN(L82/L81)-1), TREND(M$97:M$106, $B$97:$B$106, $B82:$B82,TRUE))</f>
        <v>-4.0311240576787375</v>
      </c>
      <c r="N82">
        <f>HLOOKUP(CBSoverlevtafel!$K$3,CBStafelVrouw!$B$5:$CW$106, MATCH($A82,CBStafelMan!$A$5:$A$106,0),FALSE)</f>
        <v>84936</v>
      </c>
      <c r="O82">
        <f t="shared" si="13"/>
        <v>84936</v>
      </c>
      <c r="P82" s="54" cm="1">
        <f t="array" ref="P82">IF($B82 &lt; 100, -LN(-1/LN(O82/O81)-1), TREND(P$97:P$106, $B$97:$B$106, $B82:$B82,TRUE))</f>
        <v>-4.5656715692460352</v>
      </c>
      <c r="Q82">
        <f t="shared" si="9"/>
        <v>81251.5</v>
      </c>
    </row>
    <row r="83" spans="1:17" x14ac:dyDescent="0.25">
      <c r="A83" t="s">
        <v>47</v>
      </c>
      <c r="B83">
        <v>76</v>
      </c>
      <c r="C83">
        <f>HLOOKUP(CBSoverlevtafel!$C$3,CBStafelMan!$B$5:$CW$106, MATCH($A83,CBStafelMan!$A$5:$A$106,0),FALSE)</f>
        <v>76098</v>
      </c>
      <c r="D83">
        <f t="shared" si="10"/>
        <v>76098</v>
      </c>
      <c r="E83" s="54" cm="1">
        <f t="array" ref="E83">IF($B83 &lt; 100, -LN(-1/LN(D83/D82)-1), TREND(E$97:E$106, $B$97:$B$106, $B83:$B83,TRUE))</f>
        <v>-3.9377101177228808</v>
      </c>
      <c r="F83">
        <f>HLOOKUP(CBSoverlevtafel!$C$3,CBStafelVrouw!$B$5:$CW$106, MATCH($A83,CBStafelMan!$A$5:$A$106,0),FALSE)</f>
        <v>83969</v>
      </c>
      <c r="G83">
        <f t="shared" si="11"/>
        <v>83969</v>
      </c>
      <c r="H83" s="54" cm="1">
        <f t="array" ref="H83">IF($B83 &lt; 100, -LN(-1/LN(G83/G82)-1), TREND(H$97:H$106, $B$97:$B$106, $B83:$B83,TRUE))</f>
        <v>-4.4582186952691503</v>
      </c>
      <c r="I83">
        <f t="shared" si="8"/>
        <v>80033.5</v>
      </c>
      <c r="K83">
        <f>HLOOKUP(CBSoverlevtafel!$K$3,CBStafelMan!$B$5:$CW$106, MATCH($A83,CBStafelMan!$A$5:$A$106,0),FALSE)</f>
        <v>76098</v>
      </c>
      <c r="L83">
        <f t="shared" si="12"/>
        <v>76098</v>
      </c>
      <c r="M83" s="54" cm="1">
        <f t="array" ref="M83">IF($B83 &lt; 100, -LN(-1/LN(L83/L82)-1), TREND(M$97:M$106, $B$97:$B$106, $B83:$B83,TRUE))</f>
        <v>-3.9377101177228808</v>
      </c>
      <c r="N83">
        <f>HLOOKUP(CBSoverlevtafel!$K$3,CBStafelVrouw!$B$5:$CW$106, MATCH($A83,CBStafelMan!$A$5:$A$106,0),FALSE)</f>
        <v>83969</v>
      </c>
      <c r="O83">
        <f t="shared" si="13"/>
        <v>83969</v>
      </c>
      <c r="P83" s="54" cm="1">
        <f t="array" ref="P83">IF($B83 &lt; 100, -LN(-1/LN(O83/O82)-1), TREND(P$97:P$106, $B$97:$B$106, $B83:$B83,TRUE))</f>
        <v>-4.4582186952691503</v>
      </c>
      <c r="Q83">
        <f t="shared" si="9"/>
        <v>80033.5</v>
      </c>
    </row>
    <row r="84" spans="1:17" x14ac:dyDescent="0.25">
      <c r="A84" t="s">
        <v>46</v>
      </c>
      <c r="B84">
        <v>77</v>
      </c>
      <c r="C84">
        <f>HLOOKUP(CBSoverlevtafel!$C$3,CBStafelMan!$B$5:$CW$106, MATCH($A84,CBStafelMan!$A$5:$A$106,0),FALSE)</f>
        <v>74518</v>
      </c>
      <c r="D84">
        <f t="shared" si="10"/>
        <v>74518</v>
      </c>
      <c r="E84" s="54" cm="1">
        <f t="array" ref="E84">IF($B84 &lt; 100, -LN(-1/LN(D84/D83)-1), TREND(E$97:E$106, $B$97:$B$106, $B84:$B84,TRUE))</f>
        <v>-3.8429203288922174</v>
      </c>
      <c r="F84">
        <f>HLOOKUP(CBSoverlevtafel!$C$3,CBStafelVrouw!$B$5:$CW$106, MATCH($A84,CBStafelMan!$A$5:$A$106,0),FALSE)</f>
        <v>82902</v>
      </c>
      <c r="G84">
        <f t="shared" si="11"/>
        <v>82902</v>
      </c>
      <c r="H84" s="54" cm="1">
        <f t="array" ref="H84">IF($B84 &lt; 100, -LN(-1/LN(G84/G83)-1), TREND(H$97:H$106, $B$97:$B$106, $B84:$B84,TRUE))</f>
        <v>-4.3463383047353474</v>
      </c>
      <c r="I84">
        <f t="shared" si="8"/>
        <v>78710</v>
      </c>
      <c r="K84">
        <f>HLOOKUP(CBSoverlevtafel!$K$3,CBStafelMan!$B$5:$CW$106, MATCH($A84,CBStafelMan!$A$5:$A$106,0),FALSE)</f>
        <v>74518</v>
      </c>
      <c r="L84">
        <f t="shared" si="12"/>
        <v>74518</v>
      </c>
      <c r="M84" s="54" cm="1">
        <f t="array" ref="M84">IF($B84 &lt; 100, -LN(-1/LN(L84/L83)-1), TREND(M$97:M$106, $B$97:$B$106, $B84:$B84,TRUE))</f>
        <v>-3.8429203288922174</v>
      </c>
      <c r="N84">
        <f>HLOOKUP(CBSoverlevtafel!$K$3,CBStafelVrouw!$B$5:$CW$106, MATCH($A84,CBStafelMan!$A$5:$A$106,0),FALSE)</f>
        <v>82902</v>
      </c>
      <c r="O84">
        <f t="shared" si="13"/>
        <v>82902</v>
      </c>
      <c r="P84" s="54" cm="1">
        <f t="array" ref="P84">IF($B84 &lt; 100, -LN(-1/LN(O84/O83)-1), TREND(P$97:P$106, $B$97:$B$106, $B84:$B84,TRUE))</f>
        <v>-4.3463383047353474</v>
      </c>
      <c r="Q84">
        <f t="shared" si="9"/>
        <v>78710</v>
      </c>
    </row>
    <row r="85" spans="1:17" x14ac:dyDescent="0.25">
      <c r="A85" t="s">
        <v>45</v>
      </c>
      <c r="B85">
        <v>78</v>
      </c>
      <c r="C85">
        <f>HLOOKUP(CBSoverlevtafel!$C$3,CBStafelMan!$B$5:$CW$106, MATCH($A85,CBStafelMan!$A$5:$A$106,0),FALSE)</f>
        <v>72819</v>
      </c>
      <c r="D85">
        <f t="shared" si="10"/>
        <v>72819</v>
      </c>
      <c r="E85" s="54" cm="1">
        <f t="array" ref="E85">IF($B85 &lt; 100, -LN(-1/LN(D85/D84)-1), TREND(E$97:E$106, $B$97:$B$106, $B85:$B85,TRUE))</f>
        <v>-3.7461572021576561</v>
      </c>
      <c r="F85">
        <f>HLOOKUP(CBSoverlevtafel!$C$3,CBStafelVrouw!$B$5:$CW$106, MATCH($A85,CBStafelMan!$A$5:$A$106,0),FALSE)</f>
        <v>81721</v>
      </c>
      <c r="G85">
        <f t="shared" si="11"/>
        <v>81721</v>
      </c>
      <c r="H85" s="54" cm="1">
        <f t="array" ref="H85">IF($B85 &lt; 100, -LN(-1/LN(G85/G84)-1), TREND(H$97:H$106, $B$97:$B$106, $B85:$B85,TRUE))</f>
        <v>-4.2296800267366592</v>
      </c>
      <c r="I85">
        <f t="shared" si="8"/>
        <v>77270</v>
      </c>
      <c r="K85">
        <f>HLOOKUP(CBSoverlevtafel!$K$3,CBStafelMan!$B$5:$CW$106, MATCH($A85,CBStafelMan!$A$5:$A$106,0),FALSE)</f>
        <v>72819</v>
      </c>
      <c r="L85">
        <f t="shared" si="12"/>
        <v>72819</v>
      </c>
      <c r="M85" s="54" cm="1">
        <f t="array" ref="M85">IF($B85 &lt; 100, -LN(-1/LN(L85/L84)-1), TREND(M$97:M$106, $B$97:$B$106, $B85:$B85,TRUE))</f>
        <v>-3.7461572021576561</v>
      </c>
      <c r="N85">
        <f>HLOOKUP(CBSoverlevtafel!$K$3,CBStafelVrouw!$B$5:$CW$106, MATCH($A85,CBStafelMan!$A$5:$A$106,0),FALSE)</f>
        <v>81721</v>
      </c>
      <c r="O85">
        <f t="shared" si="13"/>
        <v>81721</v>
      </c>
      <c r="P85" s="54" cm="1">
        <f t="array" ref="P85">IF($B85 &lt; 100, -LN(-1/LN(O85/O84)-1), TREND(P$97:P$106, $B$97:$B$106, $B85:$B85,TRUE))</f>
        <v>-4.2296800267366592</v>
      </c>
      <c r="Q85">
        <f t="shared" si="9"/>
        <v>77270</v>
      </c>
    </row>
    <row r="86" spans="1:17" x14ac:dyDescent="0.25">
      <c r="A86" t="s">
        <v>44</v>
      </c>
      <c r="B86">
        <v>79</v>
      </c>
      <c r="C86">
        <f>HLOOKUP(CBSoverlevtafel!$C$3,CBStafelMan!$B$5:$CW$106, MATCH($A86,CBStafelMan!$A$5:$A$106,0),FALSE)</f>
        <v>70982</v>
      </c>
      <c r="D86">
        <f t="shared" si="10"/>
        <v>70982</v>
      </c>
      <c r="E86" s="54" cm="1">
        <f t="array" ref="E86">IF($B86 &lt; 100, -LN(-1/LN(D86/D85)-1), TREND(E$97:E$106, $B$97:$B$106, $B86:$B86,TRUE))</f>
        <v>-3.6412123404603665</v>
      </c>
      <c r="F86">
        <f>HLOOKUP(CBSoverlevtafel!$C$3,CBStafelVrouw!$B$5:$CW$106, MATCH($A86,CBStafelMan!$A$5:$A$106,0),FALSE)</f>
        <v>80417</v>
      </c>
      <c r="G86">
        <f t="shared" si="11"/>
        <v>80417</v>
      </c>
      <c r="H86" s="54" cm="1">
        <f t="array" ref="H86">IF($B86 &lt; 100, -LN(-1/LN(G86/G85)-1), TREND(H$97:H$106, $B$97:$B$106, $B86:$B86,TRUE))</f>
        <v>-4.1136264343825335</v>
      </c>
      <c r="I86">
        <f t="shared" si="8"/>
        <v>75699.5</v>
      </c>
      <c r="K86">
        <f>HLOOKUP(CBSoverlevtafel!$K$3,CBStafelMan!$B$5:$CW$106, MATCH($A86,CBStafelMan!$A$5:$A$106,0),FALSE)</f>
        <v>70982</v>
      </c>
      <c r="L86">
        <f t="shared" si="12"/>
        <v>70982</v>
      </c>
      <c r="M86" s="54" cm="1">
        <f t="array" ref="M86">IF($B86 &lt; 100, -LN(-1/LN(L86/L85)-1), TREND(M$97:M$106, $B$97:$B$106, $B86:$B86,TRUE))</f>
        <v>-3.6412123404603665</v>
      </c>
      <c r="N86">
        <f>HLOOKUP(CBSoverlevtafel!$K$3,CBStafelVrouw!$B$5:$CW$106, MATCH($A86,CBStafelMan!$A$5:$A$106,0),FALSE)</f>
        <v>80417</v>
      </c>
      <c r="O86">
        <f t="shared" si="13"/>
        <v>80417</v>
      </c>
      <c r="P86" s="54" cm="1">
        <f t="array" ref="P86">IF($B86 &lt; 100, -LN(-1/LN(O86/O85)-1), TREND(P$97:P$106, $B$97:$B$106, $B86:$B86,TRUE))</f>
        <v>-4.1136264343825335</v>
      </c>
      <c r="Q86">
        <f t="shared" si="9"/>
        <v>75699.5</v>
      </c>
    </row>
    <row r="87" spans="1:17" x14ac:dyDescent="0.25">
      <c r="A87" t="s">
        <v>43</v>
      </c>
      <c r="B87">
        <v>80</v>
      </c>
      <c r="C87">
        <f>HLOOKUP(CBSoverlevtafel!$C$3,CBStafelMan!$B$5:$CW$106, MATCH($A87,CBStafelMan!$A$5:$A$106,0),FALSE)</f>
        <v>68983</v>
      </c>
      <c r="D87">
        <f t="shared" si="10"/>
        <v>68983</v>
      </c>
      <c r="E87" s="54" cm="1">
        <f t="array" ref="E87">IF($B87 &lt; 100, -LN(-1/LN(D87/D86)-1), TREND(E$97:E$106, $B$97:$B$106, $B87:$B87,TRUE))</f>
        <v>-3.5265479744199464</v>
      </c>
      <c r="F87">
        <f>HLOOKUP(CBSoverlevtafel!$C$3,CBStafelVrouw!$B$5:$CW$106, MATCH($A87,CBStafelMan!$A$5:$A$106,0),FALSE)</f>
        <v>78973</v>
      </c>
      <c r="G87">
        <f t="shared" si="11"/>
        <v>78973</v>
      </c>
      <c r="H87" s="54" cm="1">
        <f t="array" ref="H87">IF($B87 &lt; 100, -LN(-1/LN(G87/G86)-1), TREND(H$97:H$106, $B$97:$B$106, $B87:$B87,TRUE))</f>
        <v>-3.9924767041471125</v>
      </c>
      <c r="I87">
        <f t="shared" si="8"/>
        <v>73978</v>
      </c>
      <c r="K87">
        <f>HLOOKUP(CBSoverlevtafel!$K$3,CBStafelMan!$B$5:$CW$106, MATCH($A87,CBStafelMan!$A$5:$A$106,0),FALSE)</f>
        <v>68983</v>
      </c>
      <c r="L87">
        <f t="shared" si="12"/>
        <v>68983</v>
      </c>
      <c r="M87" s="54" cm="1">
        <f t="array" ref="M87">IF($B87 &lt; 100, -LN(-1/LN(L87/L86)-1), TREND(M$97:M$106, $B$97:$B$106, $B87:$B87,TRUE))</f>
        <v>-3.5265479744199464</v>
      </c>
      <c r="N87">
        <f>HLOOKUP(CBSoverlevtafel!$K$3,CBStafelVrouw!$B$5:$CW$106, MATCH($A87,CBStafelMan!$A$5:$A$106,0),FALSE)</f>
        <v>78973</v>
      </c>
      <c r="O87">
        <f t="shared" si="13"/>
        <v>78973</v>
      </c>
      <c r="P87" s="54" cm="1">
        <f t="array" ref="P87">IF($B87 &lt; 100, -LN(-1/LN(O87/O86)-1), TREND(P$97:P$106, $B$97:$B$106, $B87:$B87,TRUE))</f>
        <v>-3.9924767041471125</v>
      </c>
      <c r="Q87">
        <f t="shared" si="9"/>
        <v>73978</v>
      </c>
    </row>
    <row r="88" spans="1:17" x14ac:dyDescent="0.25">
      <c r="A88" t="s">
        <v>42</v>
      </c>
      <c r="B88">
        <v>81</v>
      </c>
      <c r="C88">
        <f>HLOOKUP(CBSoverlevtafel!$C$3,CBStafelMan!$B$5:$CW$106, MATCH($A88,CBStafelMan!$A$5:$A$106,0),FALSE)</f>
        <v>66806</v>
      </c>
      <c r="D88">
        <f t="shared" si="10"/>
        <v>66806</v>
      </c>
      <c r="E88" s="54" cm="1">
        <f t="array" ref="E88">IF($B88 &lt; 100, -LN(-1/LN(D88/D87)-1), TREND(E$97:E$106, $B$97:$B$106, $B88:$B88,TRUE))</f>
        <v>-3.4073289444026669</v>
      </c>
      <c r="F88">
        <f>HLOOKUP(CBSoverlevtafel!$C$3,CBStafelVrouw!$B$5:$CW$106, MATCH($A88,CBStafelMan!$A$5:$A$106,0),FALSE)</f>
        <v>77367</v>
      </c>
      <c r="G88">
        <f t="shared" si="11"/>
        <v>77367</v>
      </c>
      <c r="H88" s="54" cm="1">
        <f t="array" ref="H88">IF($B88 &lt; 100, -LN(-1/LN(G88/G87)-1), TREND(H$97:H$106, $B$97:$B$106, $B88:$B88,TRUE))</f>
        <v>-3.8643444627475714</v>
      </c>
      <c r="I88">
        <f t="shared" si="8"/>
        <v>72086.5</v>
      </c>
      <c r="K88">
        <f>HLOOKUP(CBSoverlevtafel!$K$3,CBStafelMan!$B$5:$CW$106, MATCH($A88,CBStafelMan!$A$5:$A$106,0),FALSE)</f>
        <v>66806</v>
      </c>
      <c r="L88">
        <f t="shared" si="12"/>
        <v>66806</v>
      </c>
      <c r="M88" s="54" cm="1">
        <f t="array" ref="M88">IF($B88 &lt; 100, -LN(-1/LN(L88/L87)-1), TREND(M$97:M$106, $B$97:$B$106, $B88:$B88,TRUE))</f>
        <v>-3.4073289444026669</v>
      </c>
      <c r="N88">
        <f>HLOOKUP(CBSoverlevtafel!$K$3,CBStafelVrouw!$B$5:$CW$106, MATCH($A88,CBStafelMan!$A$5:$A$106,0),FALSE)</f>
        <v>77367</v>
      </c>
      <c r="O88">
        <f t="shared" si="13"/>
        <v>77367</v>
      </c>
      <c r="P88" s="54" cm="1">
        <f t="array" ref="P88">IF($B88 &lt; 100, -LN(-1/LN(O88/O87)-1), TREND(P$97:P$106, $B$97:$B$106, $B88:$B88,TRUE))</f>
        <v>-3.8643444627475714</v>
      </c>
      <c r="Q88">
        <f t="shared" si="9"/>
        <v>72086.5</v>
      </c>
    </row>
    <row r="89" spans="1:17" x14ac:dyDescent="0.25">
      <c r="A89" t="s">
        <v>41</v>
      </c>
      <c r="B89">
        <v>82</v>
      </c>
      <c r="C89">
        <f>HLOOKUP(CBSoverlevtafel!$C$3,CBStafelMan!$B$5:$CW$106, MATCH($A89,CBStafelMan!$A$5:$A$106,0),FALSE)</f>
        <v>64434</v>
      </c>
      <c r="D89">
        <f t="shared" si="10"/>
        <v>64434</v>
      </c>
      <c r="E89" s="54" cm="1">
        <f t="array" ref="E89">IF($B89 &lt; 100, -LN(-1/LN(D89/D88)-1), TREND(E$97:E$106, $B$97:$B$106, $B89:$B89,TRUE))</f>
        <v>-3.2832170386807551</v>
      </c>
      <c r="F89">
        <f>HLOOKUP(CBSoverlevtafel!$C$3,CBStafelVrouw!$B$5:$CW$106, MATCH($A89,CBStafelMan!$A$5:$A$106,0),FALSE)</f>
        <v>75571</v>
      </c>
      <c r="G89">
        <f t="shared" si="11"/>
        <v>75571</v>
      </c>
      <c r="H89" s="54" cm="1">
        <f t="array" ref="H89">IF($B89 &lt; 100, -LN(-1/LN(G89/G88)-1), TREND(H$97:H$106, $B$97:$B$106, $B89:$B89,TRUE))</f>
        <v>-3.727509534157516</v>
      </c>
      <c r="I89">
        <f t="shared" si="8"/>
        <v>70002.5</v>
      </c>
      <c r="K89">
        <f>HLOOKUP(CBSoverlevtafel!$K$3,CBStafelMan!$B$5:$CW$106, MATCH($A89,CBStafelMan!$A$5:$A$106,0),FALSE)</f>
        <v>64434</v>
      </c>
      <c r="L89">
        <f t="shared" si="12"/>
        <v>64434</v>
      </c>
      <c r="M89" s="54" cm="1">
        <f t="array" ref="M89">IF($B89 &lt; 100, -LN(-1/LN(L89/L88)-1), TREND(M$97:M$106, $B$97:$B$106, $B89:$B89,TRUE))</f>
        <v>-3.2832170386807551</v>
      </c>
      <c r="N89">
        <f>HLOOKUP(CBSoverlevtafel!$K$3,CBStafelVrouw!$B$5:$CW$106, MATCH($A89,CBStafelMan!$A$5:$A$106,0),FALSE)</f>
        <v>75571</v>
      </c>
      <c r="O89">
        <f t="shared" si="13"/>
        <v>75571</v>
      </c>
      <c r="P89" s="54" cm="1">
        <f t="array" ref="P89">IF($B89 &lt; 100, -LN(-1/LN(O89/O88)-1), TREND(P$97:P$106, $B$97:$B$106, $B89:$B89,TRUE))</f>
        <v>-3.727509534157516</v>
      </c>
      <c r="Q89">
        <f t="shared" si="9"/>
        <v>70002.5</v>
      </c>
    </row>
    <row r="90" spans="1:17" x14ac:dyDescent="0.25">
      <c r="A90" t="s">
        <v>40</v>
      </c>
      <c r="B90">
        <v>83</v>
      </c>
      <c r="C90">
        <f>HLOOKUP(CBSoverlevtafel!$C$3,CBStafelMan!$B$5:$CW$106, MATCH($A90,CBStafelMan!$A$5:$A$106,0),FALSE)</f>
        <v>61853</v>
      </c>
      <c r="D90">
        <f t="shared" si="10"/>
        <v>61853</v>
      </c>
      <c r="E90" s="54" cm="1">
        <f t="array" ref="E90">IF($B90 &lt; 100, -LN(-1/LN(D90/D89)-1), TREND(E$97:E$106, $B$97:$B$106, $B90:$B90,TRUE))</f>
        <v>-3.1553537770684139</v>
      </c>
      <c r="F90">
        <f>HLOOKUP(CBSoverlevtafel!$C$3,CBStafelVrouw!$B$5:$CW$106, MATCH($A90,CBStafelMan!$A$5:$A$106,0),FALSE)</f>
        <v>73554</v>
      </c>
      <c r="G90">
        <f t="shared" si="11"/>
        <v>73554</v>
      </c>
      <c r="H90" s="54" cm="1">
        <f t="array" ref="H90">IF($B90 &lt; 100, -LN(-1/LN(G90/G89)-1), TREND(H$97:H$106, $B$97:$B$106, $B90:$B90,TRUE))</f>
        <v>-3.5825400114629882</v>
      </c>
      <c r="I90">
        <f t="shared" si="8"/>
        <v>67703.5</v>
      </c>
      <c r="K90">
        <f>HLOOKUP(CBSoverlevtafel!$K$3,CBStafelMan!$B$5:$CW$106, MATCH($A90,CBStafelMan!$A$5:$A$106,0),FALSE)</f>
        <v>61853</v>
      </c>
      <c r="L90">
        <f t="shared" si="12"/>
        <v>61853</v>
      </c>
      <c r="M90" s="54" cm="1">
        <f t="array" ref="M90">IF($B90 &lt; 100, -LN(-1/LN(L90/L89)-1), TREND(M$97:M$106, $B$97:$B$106, $B90:$B90,TRUE))</f>
        <v>-3.1553537770684139</v>
      </c>
      <c r="N90">
        <f>HLOOKUP(CBSoverlevtafel!$K$3,CBStafelVrouw!$B$5:$CW$106, MATCH($A90,CBStafelMan!$A$5:$A$106,0),FALSE)</f>
        <v>73554</v>
      </c>
      <c r="O90">
        <f t="shared" si="13"/>
        <v>73554</v>
      </c>
      <c r="P90" s="54" cm="1">
        <f t="array" ref="P90">IF($B90 &lt; 100, -LN(-1/LN(O90/O89)-1), TREND(P$97:P$106, $B$97:$B$106, $B90:$B90,TRUE))</f>
        <v>-3.5825400114629882</v>
      </c>
      <c r="Q90">
        <f t="shared" si="9"/>
        <v>67703.5</v>
      </c>
    </row>
    <row r="91" spans="1:17" x14ac:dyDescent="0.25">
      <c r="A91" t="s">
        <v>39</v>
      </c>
      <c r="B91">
        <v>84</v>
      </c>
      <c r="C91">
        <f>HLOOKUP(CBSoverlevtafel!$C$3,CBStafelMan!$B$5:$CW$106, MATCH($A91,CBStafelMan!$A$5:$A$106,0),FALSE)</f>
        <v>59030</v>
      </c>
      <c r="D91">
        <f t="shared" si="10"/>
        <v>59030</v>
      </c>
      <c r="E91" s="54" cm="1">
        <f t="array" ref="E91">IF($B91 &lt; 100, -LN(-1/LN(D91/D90)-1), TREND(E$97:E$106, $B$97:$B$106, $B91:$B91,TRUE))</f>
        <v>-3.0158528047208435</v>
      </c>
      <c r="F91">
        <f>HLOOKUP(CBSoverlevtafel!$C$3,CBStafelVrouw!$B$5:$CW$106, MATCH($A91,CBStafelMan!$A$5:$A$106,0),FALSE)</f>
        <v>71287</v>
      </c>
      <c r="G91">
        <f t="shared" si="11"/>
        <v>71287</v>
      </c>
      <c r="H91" s="54" cm="1">
        <f t="array" ref="H91">IF($B91 &lt; 100, -LN(-1/LN(G91/G90)-1), TREND(H$97:H$106, $B$97:$B$106, $B91:$B91,TRUE))</f>
        <v>-3.4321440210339258</v>
      </c>
      <c r="I91">
        <f t="shared" si="8"/>
        <v>65158.5</v>
      </c>
      <c r="K91">
        <f>HLOOKUP(CBSoverlevtafel!$K$3,CBStafelMan!$B$5:$CW$106, MATCH($A91,CBStafelMan!$A$5:$A$106,0),FALSE)</f>
        <v>59030</v>
      </c>
      <c r="L91">
        <f t="shared" si="12"/>
        <v>59030</v>
      </c>
      <c r="M91" s="54" cm="1">
        <f t="array" ref="M91">IF($B91 &lt; 100, -LN(-1/LN(L91/L90)-1), TREND(M$97:M$106, $B$97:$B$106, $B91:$B91,TRUE))</f>
        <v>-3.0158528047208435</v>
      </c>
      <c r="N91">
        <f>HLOOKUP(CBSoverlevtafel!$K$3,CBStafelVrouw!$B$5:$CW$106, MATCH($A91,CBStafelMan!$A$5:$A$106,0),FALSE)</f>
        <v>71287</v>
      </c>
      <c r="O91">
        <f t="shared" si="13"/>
        <v>71287</v>
      </c>
      <c r="P91" s="54" cm="1">
        <f t="array" ref="P91">IF($B91 &lt; 100, -LN(-1/LN(O91/O90)-1), TREND(P$97:P$106, $B$97:$B$106, $B91:$B91,TRUE))</f>
        <v>-3.4321440210339258</v>
      </c>
      <c r="Q91">
        <f t="shared" si="9"/>
        <v>65158.5</v>
      </c>
    </row>
    <row r="92" spans="1:17" x14ac:dyDescent="0.25">
      <c r="A92" t="s">
        <v>38</v>
      </c>
      <c r="B92">
        <v>85</v>
      </c>
      <c r="C92">
        <f>HLOOKUP(CBSoverlevtafel!$C$3,CBStafelMan!$B$5:$CW$106, MATCH($A92,CBStafelMan!$A$5:$A$106,0),FALSE)</f>
        <v>55934</v>
      </c>
      <c r="D92">
        <f t="shared" si="10"/>
        <v>55934</v>
      </c>
      <c r="E92" s="54" cm="1">
        <f t="array" ref="E92">IF($B92 &lt; 100, -LN(-1/LN(D92/D91)-1), TREND(E$97:E$106, $B$97:$B$106, $B92:$B92,TRUE))</f>
        <v>-2.865740223646609</v>
      </c>
      <c r="F92">
        <f>HLOOKUP(CBSoverlevtafel!$C$3,CBStafelVrouw!$B$5:$CW$106, MATCH($A92,CBStafelMan!$A$5:$A$106,0),FALSE)</f>
        <v>68742</v>
      </c>
      <c r="G92">
        <f t="shared" si="11"/>
        <v>68742</v>
      </c>
      <c r="H92" s="54" cm="1">
        <f t="array" ref="H92">IF($B92 &lt; 100, -LN(-1/LN(G92/G91)-1), TREND(H$97:H$106, $B$97:$B$106, $B92:$B92,TRUE))</f>
        <v>-3.2774307160956946</v>
      </c>
      <c r="I92">
        <f t="shared" si="8"/>
        <v>62338</v>
      </c>
      <c r="K92">
        <f>HLOOKUP(CBSoverlevtafel!$K$3,CBStafelMan!$B$5:$CW$106, MATCH($A92,CBStafelMan!$A$5:$A$106,0),FALSE)</f>
        <v>55934</v>
      </c>
      <c r="L92">
        <f t="shared" si="12"/>
        <v>55934</v>
      </c>
      <c r="M92" s="54" cm="1">
        <f t="array" ref="M92">IF($B92 &lt; 100, -LN(-1/LN(L92/L91)-1), TREND(M$97:M$106, $B$97:$B$106, $B92:$B92,TRUE))</f>
        <v>-2.865740223646609</v>
      </c>
      <c r="N92">
        <f>HLOOKUP(CBSoverlevtafel!$K$3,CBStafelVrouw!$B$5:$CW$106, MATCH($A92,CBStafelMan!$A$5:$A$106,0),FALSE)</f>
        <v>68742</v>
      </c>
      <c r="O92">
        <f t="shared" si="13"/>
        <v>68742</v>
      </c>
      <c r="P92" s="54" cm="1">
        <f t="array" ref="P92">IF($B92 &lt; 100, -LN(-1/LN(O92/O91)-1), TREND(P$97:P$106, $B$97:$B$106, $B92:$B92,TRUE))</f>
        <v>-3.2774307160956946</v>
      </c>
      <c r="Q92">
        <f t="shared" si="9"/>
        <v>62338</v>
      </c>
    </row>
    <row r="93" spans="1:17" x14ac:dyDescent="0.25">
      <c r="A93" t="s">
        <v>37</v>
      </c>
      <c r="B93">
        <v>86</v>
      </c>
      <c r="C93">
        <f>HLOOKUP(CBSoverlevtafel!$C$3,CBStafelMan!$B$5:$CW$106, MATCH($A93,CBStafelMan!$A$5:$A$106,0),FALSE)</f>
        <v>52555</v>
      </c>
      <c r="D93">
        <f t="shared" si="10"/>
        <v>52555</v>
      </c>
      <c r="E93" s="54" cm="1">
        <f t="array" ref="E93">IF($B93 &lt; 100, -LN(-1/LN(D93/D92)-1), TREND(E$97:E$106, $B$97:$B$106, $B93:$B93,TRUE))</f>
        <v>-2.7112600988680811</v>
      </c>
      <c r="F93">
        <f>HLOOKUP(CBSoverlevtafel!$C$3,CBStafelVrouw!$B$5:$CW$106, MATCH($A93,CBStafelMan!$A$5:$A$106,0),FALSE)</f>
        <v>65890</v>
      </c>
      <c r="G93">
        <f t="shared" si="11"/>
        <v>65890</v>
      </c>
      <c r="H93" s="54" cm="1">
        <f t="array" ref="H93">IF($B93 &lt; 100, -LN(-1/LN(G93/G92)-1), TREND(H$97:H$106, $B$97:$B$106, $B93:$B93,TRUE))</f>
        <v>-3.1179301945601852</v>
      </c>
      <c r="I93">
        <f t="shared" si="8"/>
        <v>59222.5</v>
      </c>
      <c r="K93">
        <f>HLOOKUP(CBSoverlevtafel!$K$3,CBStafelMan!$B$5:$CW$106, MATCH($A93,CBStafelMan!$A$5:$A$106,0),FALSE)</f>
        <v>52555</v>
      </c>
      <c r="L93">
        <f t="shared" si="12"/>
        <v>52555</v>
      </c>
      <c r="M93" s="54" cm="1">
        <f t="array" ref="M93">IF($B93 &lt; 100, -LN(-1/LN(L93/L92)-1), TREND(M$97:M$106, $B$97:$B$106, $B93:$B93,TRUE))</f>
        <v>-2.7112600988680811</v>
      </c>
      <c r="N93">
        <f>HLOOKUP(CBSoverlevtafel!$K$3,CBStafelVrouw!$B$5:$CW$106, MATCH($A93,CBStafelMan!$A$5:$A$106,0),FALSE)</f>
        <v>65890</v>
      </c>
      <c r="O93">
        <f t="shared" si="13"/>
        <v>65890</v>
      </c>
      <c r="P93" s="54" cm="1">
        <f t="array" ref="P93">IF($B93 &lt; 100, -LN(-1/LN(O93/O92)-1), TREND(P$97:P$106, $B$97:$B$106, $B93:$B93,TRUE))</f>
        <v>-3.1179301945601852</v>
      </c>
      <c r="Q93">
        <f t="shared" si="9"/>
        <v>59222.5</v>
      </c>
    </row>
    <row r="94" spans="1:17" x14ac:dyDescent="0.25">
      <c r="A94" t="s">
        <v>36</v>
      </c>
      <c r="B94">
        <v>87</v>
      </c>
      <c r="C94">
        <f>HLOOKUP(CBSoverlevtafel!$C$3,CBStafelMan!$B$5:$CW$106, MATCH($A94,CBStafelMan!$A$5:$A$106,0),FALSE)</f>
        <v>48893</v>
      </c>
      <c r="D94">
        <f t="shared" si="10"/>
        <v>48893</v>
      </c>
      <c r="E94" s="54" cm="1">
        <f t="array" ref="E94">IF($B94 &lt; 100, -LN(-1/LN(D94/D93)-1), TREND(E$97:E$106, $B$97:$B$106, $B94:$B94,TRUE))</f>
        <v>-2.5529880271377539</v>
      </c>
      <c r="F94">
        <f>HLOOKUP(CBSoverlevtafel!$C$3,CBStafelVrouw!$B$5:$CW$106, MATCH($A94,CBStafelMan!$A$5:$A$106,0),FALSE)</f>
        <v>62705</v>
      </c>
      <c r="G94">
        <f t="shared" si="11"/>
        <v>62705</v>
      </c>
      <c r="H94" s="54" cm="1">
        <f t="array" ref="H94">IF($B94 &lt; 100, -LN(-1/LN(G94/G93)-1), TREND(H$97:H$106, $B$97:$B$106, $B94:$B94,TRUE))</f>
        <v>-2.9540489443255984</v>
      </c>
      <c r="I94">
        <f t="shared" si="8"/>
        <v>55799</v>
      </c>
      <c r="K94">
        <f>HLOOKUP(CBSoverlevtafel!$K$3,CBStafelMan!$B$5:$CW$106, MATCH($A94,CBStafelMan!$A$5:$A$106,0),FALSE)</f>
        <v>48893</v>
      </c>
      <c r="L94">
        <f t="shared" si="12"/>
        <v>48893</v>
      </c>
      <c r="M94" s="54" cm="1">
        <f t="array" ref="M94">IF($B94 &lt; 100, -LN(-1/LN(L94/L93)-1), TREND(M$97:M$106, $B$97:$B$106, $B94:$B94,TRUE))</f>
        <v>-2.5529880271377539</v>
      </c>
      <c r="N94">
        <f>HLOOKUP(CBSoverlevtafel!$K$3,CBStafelVrouw!$B$5:$CW$106, MATCH($A94,CBStafelMan!$A$5:$A$106,0),FALSE)</f>
        <v>62705</v>
      </c>
      <c r="O94">
        <f t="shared" si="13"/>
        <v>62705</v>
      </c>
      <c r="P94" s="54" cm="1">
        <f t="array" ref="P94">IF($B94 &lt; 100, -LN(-1/LN(O94/O93)-1), TREND(P$97:P$106, $B$97:$B$106, $B94:$B94,TRUE))</f>
        <v>-2.9540489443255984</v>
      </c>
      <c r="Q94">
        <f t="shared" si="9"/>
        <v>55799</v>
      </c>
    </row>
    <row r="95" spans="1:17" x14ac:dyDescent="0.25">
      <c r="A95" t="s">
        <v>35</v>
      </c>
      <c r="B95">
        <v>88</v>
      </c>
      <c r="C95">
        <f>HLOOKUP(CBSoverlevtafel!$C$3,CBStafelMan!$B$5:$CW$106, MATCH($A95,CBStafelMan!$A$5:$A$106,0),FALSE)</f>
        <v>44969</v>
      </c>
      <c r="D95">
        <f t="shared" si="10"/>
        <v>44969</v>
      </c>
      <c r="E95" s="54" cm="1">
        <f t="array" ref="E95">IF($B95 &lt; 100, -LN(-1/LN(D95/D94)-1), TREND(E$97:E$106, $B$97:$B$106, $B95:$B95,TRUE))</f>
        <v>-2.393615115068723</v>
      </c>
      <c r="F95">
        <f>HLOOKUP(CBSoverlevtafel!$C$3,CBStafelVrouw!$B$5:$CW$106, MATCH($A95,CBStafelMan!$A$5:$A$106,0),FALSE)</f>
        <v>59174</v>
      </c>
      <c r="G95">
        <f t="shared" si="11"/>
        <v>59174</v>
      </c>
      <c r="H95" s="54" cm="1">
        <f t="array" ref="H95">IF($B95 &lt; 100, -LN(-1/LN(G95/G94)-1), TREND(H$97:H$106, $B$97:$B$106, $B95:$B95,TRUE))</f>
        <v>-2.7883141602702972</v>
      </c>
      <c r="I95">
        <f t="shared" si="8"/>
        <v>52071.5</v>
      </c>
      <c r="K95">
        <f>HLOOKUP(CBSoverlevtafel!$K$3,CBStafelMan!$B$5:$CW$106, MATCH($A95,CBStafelMan!$A$5:$A$106,0),FALSE)</f>
        <v>44969</v>
      </c>
      <c r="L95">
        <f t="shared" si="12"/>
        <v>44969</v>
      </c>
      <c r="M95" s="54" cm="1">
        <f t="array" ref="M95">IF($B95 &lt; 100, -LN(-1/LN(L95/L94)-1), TREND(M$97:M$106, $B$97:$B$106, $B95:$B95,TRUE))</f>
        <v>-2.393615115068723</v>
      </c>
      <c r="N95">
        <f>HLOOKUP(CBSoverlevtafel!$K$3,CBStafelVrouw!$B$5:$CW$106, MATCH($A95,CBStafelMan!$A$5:$A$106,0),FALSE)</f>
        <v>59174</v>
      </c>
      <c r="O95">
        <f t="shared" si="13"/>
        <v>59174</v>
      </c>
      <c r="P95" s="54" cm="1">
        <f t="array" ref="P95">IF($B95 &lt; 100, -LN(-1/LN(O95/O94)-1), TREND(P$97:P$106, $B$97:$B$106, $B95:$B95,TRUE))</f>
        <v>-2.7883141602702972</v>
      </c>
      <c r="Q95">
        <f t="shared" si="9"/>
        <v>52071.5</v>
      </c>
    </row>
    <row r="96" spans="1:17" x14ac:dyDescent="0.25">
      <c r="A96" t="s">
        <v>34</v>
      </c>
      <c r="B96">
        <v>89</v>
      </c>
      <c r="C96">
        <f>HLOOKUP(CBSoverlevtafel!$C$3,CBStafelMan!$B$5:$CW$106, MATCH($A96,CBStafelMan!$A$5:$A$106,0),FALSE)</f>
        <v>40821</v>
      </c>
      <c r="D96">
        <f t="shared" si="10"/>
        <v>40821</v>
      </c>
      <c r="E96" s="54" cm="1">
        <f t="array" ref="E96">IF($B96 &lt; 100, -LN(-1/LN(D96/D95)-1), TREND(E$97:E$106, $B$97:$B$106, $B96:$B96,TRUE))</f>
        <v>-2.2335634483199147</v>
      </c>
      <c r="F96">
        <f>HLOOKUP(CBSoverlevtafel!$C$3,CBStafelVrouw!$B$5:$CW$106, MATCH($A96,CBStafelMan!$A$5:$A$106,0),FALSE)</f>
        <v>55284</v>
      </c>
      <c r="G96">
        <f t="shared" si="11"/>
        <v>55284</v>
      </c>
      <c r="H96" s="54" cm="1">
        <f t="array" ref="H96">IF($B96 &lt; 100, -LN(-1/LN(G96/G95)-1), TREND(H$97:H$106, $B$97:$B$106, $B96:$B96,TRUE))</f>
        <v>-2.617845298918541</v>
      </c>
      <c r="I96">
        <f t="shared" si="8"/>
        <v>48052.5</v>
      </c>
      <c r="K96">
        <f>HLOOKUP(CBSoverlevtafel!$K$3,CBStafelMan!$B$5:$CW$106, MATCH($A96,CBStafelMan!$A$5:$A$106,0),FALSE)</f>
        <v>40821</v>
      </c>
      <c r="L96">
        <f t="shared" si="12"/>
        <v>40821</v>
      </c>
      <c r="M96" s="54" cm="1">
        <f t="array" ref="M96">IF($B96 &lt; 100, -LN(-1/LN(L96/L95)-1), TREND(M$97:M$106, $B$97:$B$106, $B96:$B96,TRUE))</f>
        <v>-2.2335634483199147</v>
      </c>
      <c r="N96">
        <f>HLOOKUP(CBSoverlevtafel!$K$3,CBStafelVrouw!$B$5:$CW$106, MATCH($A96,CBStafelMan!$A$5:$A$106,0),FALSE)</f>
        <v>55284</v>
      </c>
      <c r="O96">
        <f t="shared" si="13"/>
        <v>55284</v>
      </c>
      <c r="P96" s="54" cm="1">
        <f t="array" ref="P96">IF($B96 &lt; 100, -LN(-1/LN(O96/O95)-1), TREND(P$97:P$106, $B$97:$B$106, $B96:$B96,TRUE))</f>
        <v>-2.617845298918541</v>
      </c>
      <c r="Q96">
        <f t="shared" si="9"/>
        <v>48052.5</v>
      </c>
    </row>
    <row r="97" spans="1:17" x14ac:dyDescent="0.25">
      <c r="A97" t="s">
        <v>33</v>
      </c>
      <c r="B97">
        <v>90</v>
      </c>
      <c r="C97">
        <f>HLOOKUP(CBSoverlevtafel!$C$3,CBStafelMan!$B$5:$CW$106, MATCH($A97,CBStafelMan!$A$5:$A$106,0),FALSE)</f>
        <v>36511</v>
      </c>
      <c r="D97">
        <f t="shared" si="10"/>
        <v>36511</v>
      </c>
      <c r="E97" s="54" cm="1">
        <f t="array" ref="E97">IF($B97 &lt; 100, -LN(-1/LN(D97/D96)-1), TREND(E$97:E$106, $B$97:$B$106, $B97:$B97,TRUE))</f>
        <v>-2.0746718143732101</v>
      </c>
      <c r="F97">
        <f>HLOOKUP(CBSoverlevtafel!$C$3,CBStafelVrouw!$B$5:$CW$106, MATCH($A97,CBStafelMan!$A$5:$A$106,0),FALSE)</f>
        <v>51036</v>
      </c>
      <c r="G97">
        <f t="shared" si="11"/>
        <v>51036</v>
      </c>
      <c r="H97" s="54" cm="1">
        <f t="array" ref="H97">IF($B97 &lt; 100, -LN(-1/LN(G97/G96)-1), TREND(H$97:H$106, $B$97:$B$106, $B97:$B97,TRUE))</f>
        <v>-2.4429957218289173</v>
      </c>
      <c r="I97">
        <f t="shared" si="8"/>
        <v>43773.5</v>
      </c>
      <c r="K97">
        <f>HLOOKUP(CBSoverlevtafel!$K$3,CBStafelMan!$B$5:$CW$106, MATCH($A97,CBStafelMan!$A$5:$A$106,0),FALSE)</f>
        <v>36511</v>
      </c>
      <c r="L97">
        <f t="shared" si="12"/>
        <v>36511</v>
      </c>
      <c r="M97" s="54" cm="1">
        <f t="array" ref="M97">IF($B97 &lt; 100, -LN(-1/LN(L97/L96)-1), TREND(M$97:M$106, $B$97:$B$106, $B97:$B97,TRUE))</f>
        <v>-2.0746718143732101</v>
      </c>
      <c r="N97">
        <f>HLOOKUP(CBSoverlevtafel!$K$3,CBStafelVrouw!$B$5:$CW$106, MATCH($A97,CBStafelMan!$A$5:$A$106,0),FALSE)</f>
        <v>51036</v>
      </c>
      <c r="O97">
        <f t="shared" si="13"/>
        <v>51036</v>
      </c>
      <c r="P97" s="54" cm="1">
        <f t="array" ref="P97">IF($B97 &lt; 100, -LN(-1/LN(O97/O96)-1), TREND(P$97:P$106, $B$97:$B$106, $B97:$B97,TRUE))</f>
        <v>-2.4429957218289173</v>
      </c>
      <c r="Q97">
        <f t="shared" si="9"/>
        <v>43773.5</v>
      </c>
    </row>
    <row r="98" spans="1:17" x14ac:dyDescent="0.25">
      <c r="A98" t="s">
        <v>32</v>
      </c>
      <c r="B98">
        <v>91</v>
      </c>
      <c r="C98">
        <f>HLOOKUP(CBSoverlevtafel!$C$3,CBStafelMan!$B$5:$CW$106, MATCH($A98,CBStafelMan!$A$5:$A$106,0),FALSE)</f>
        <v>32118</v>
      </c>
      <c r="D98">
        <f t="shared" si="10"/>
        <v>32118</v>
      </c>
      <c r="E98" s="54" cm="1">
        <f t="array" ref="E98">IF($B98 &lt; 100, -LN(-1/LN(D98/D97)-1), TREND(E$97:E$106, $B$97:$B$106, $B98:$B98,TRUE))</f>
        <v>-1.9169956561264594</v>
      </c>
      <c r="F98">
        <f>HLOOKUP(CBSoverlevtafel!$C$3,CBStafelVrouw!$B$5:$CW$106, MATCH($A98,CBStafelMan!$A$5:$A$106,0),FALSE)</f>
        <v>46464</v>
      </c>
      <c r="G98">
        <f t="shared" si="11"/>
        <v>46464</v>
      </c>
      <c r="H98" s="54" cm="1">
        <f t="array" ref="H98">IF($B98 &lt; 100, -LN(-1/LN(G98/G97)-1), TREND(H$97:H$106, $B$97:$B$106, $B98:$B98,TRUE))</f>
        <v>-2.2674665617385572</v>
      </c>
      <c r="I98">
        <f t="shared" si="8"/>
        <v>39291</v>
      </c>
      <c r="K98">
        <f>HLOOKUP(CBSoverlevtafel!$K$3,CBStafelMan!$B$5:$CW$106, MATCH($A98,CBStafelMan!$A$5:$A$106,0),FALSE)</f>
        <v>32118</v>
      </c>
      <c r="L98">
        <f t="shared" si="12"/>
        <v>32118</v>
      </c>
      <c r="M98" s="54" cm="1">
        <f t="array" ref="M98">IF($B98 &lt; 100, -LN(-1/LN(L98/L97)-1), TREND(M$97:M$106, $B$97:$B$106, $B98:$B98,TRUE))</f>
        <v>-1.9169956561264594</v>
      </c>
      <c r="N98">
        <f>HLOOKUP(CBSoverlevtafel!$K$3,CBStafelVrouw!$B$5:$CW$106, MATCH($A98,CBStafelMan!$A$5:$A$106,0),FALSE)</f>
        <v>46464</v>
      </c>
      <c r="O98">
        <f t="shared" si="13"/>
        <v>46464</v>
      </c>
      <c r="P98" s="54" cm="1">
        <f t="array" ref="P98">IF($B98 &lt; 100, -LN(-1/LN(O98/O97)-1), TREND(P$97:P$106, $B$97:$B$106, $B98:$B98,TRUE))</f>
        <v>-2.2674665617385572</v>
      </c>
      <c r="Q98">
        <f t="shared" si="9"/>
        <v>39291</v>
      </c>
    </row>
    <row r="99" spans="1:17" x14ac:dyDescent="0.25">
      <c r="A99" t="s">
        <v>31</v>
      </c>
      <c r="B99">
        <v>92</v>
      </c>
      <c r="C99">
        <f>HLOOKUP(CBSoverlevtafel!$C$3,CBStafelMan!$B$5:$CW$106, MATCH($A99,CBStafelMan!$A$5:$A$106,0),FALSE)</f>
        <v>27731</v>
      </c>
      <c r="D99">
        <f t="shared" si="10"/>
        <v>27731</v>
      </c>
      <c r="E99" s="54" cm="1">
        <f t="array" ref="E99">IF($B99 &lt; 100, -LN(-1/LN(D99/D98)-1), TREND(E$97:E$106, $B$97:$B$106, $B99:$B99,TRUE))</f>
        <v>-1.7593984185799969</v>
      </c>
      <c r="F99">
        <f>HLOOKUP(CBSoverlevtafel!$C$3,CBStafelVrouw!$B$5:$CW$106, MATCH($A99,CBStafelMan!$A$5:$A$106,0),FALSE)</f>
        <v>41626</v>
      </c>
      <c r="G99">
        <f t="shared" si="11"/>
        <v>41626</v>
      </c>
      <c r="H99" s="54" cm="1">
        <f t="array" ref="H99">IF($B99 &lt; 100, -LN(-1/LN(G99/G98)-1), TREND(H$97:H$106, $B$97:$B$106, $B99:$B99,TRUE))</f>
        <v>-2.0912228302690758</v>
      </c>
      <c r="I99">
        <f t="shared" si="8"/>
        <v>34678.5</v>
      </c>
      <c r="K99">
        <f>HLOOKUP(CBSoverlevtafel!$K$3,CBStafelMan!$B$5:$CW$106, MATCH($A99,CBStafelMan!$A$5:$A$106,0),FALSE)</f>
        <v>27731</v>
      </c>
      <c r="L99">
        <f t="shared" si="12"/>
        <v>27731</v>
      </c>
      <c r="M99" s="54" cm="1">
        <f t="array" ref="M99">IF($B99 &lt; 100, -LN(-1/LN(L99/L98)-1), TREND(M$97:M$106, $B$97:$B$106, $B99:$B99,TRUE))</f>
        <v>-1.7593984185799969</v>
      </c>
      <c r="N99">
        <f>HLOOKUP(CBSoverlevtafel!$K$3,CBStafelVrouw!$B$5:$CW$106, MATCH($A99,CBStafelMan!$A$5:$A$106,0),FALSE)</f>
        <v>41626</v>
      </c>
      <c r="O99">
        <f t="shared" si="13"/>
        <v>41626</v>
      </c>
      <c r="P99" s="54" cm="1">
        <f t="array" ref="P99">IF($B99 &lt; 100, -LN(-1/LN(O99/O98)-1), TREND(P$97:P$106, $B$97:$B$106, $B99:$B99,TRUE))</f>
        <v>-2.0912228302690758</v>
      </c>
      <c r="Q99">
        <f t="shared" si="9"/>
        <v>34678.5</v>
      </c>
    </row>
    <row r="100" spans="1:17" x14ac:dyDescent="0.25">
      <c r="A100" t="s">
        <v>30</v>
      </c>
      <c r="B100">
        <v>93</v>
      </c>
      <c r="C100">
        <f>HLOOKUP(CBSoverlevtafel!$C$3,CBStafelMan!$B$5:$CW$106, MATCH($A100,CBStafelMan!$A$5:$A$106,0),FALSE)</f>
        <v>23450</v>
      </c>
      <c r="D100">
        <f t="shared" si="10"/>
        <v>23450</v>
      </c>
      <c r="E100" s="54" cm="1">
        <f t="array" ref="E100">IF($B100 &lt; 100, -LN(-1/LN(D100/D99)-1), TREND(E$97:E$106, $B$97:$B$106, $B100:$B100,TRUE))</f>
        <v>-1.6021565279533609</v>
      </c>
      <c r="F100">
        <f>HLOOKUP(CBSoverlevtafel!$C$3,CBStafelVrouw!$B$5:$CW$106, MATCH($A100,CBStafelMan!$A$5:$A$106,0),FALSE)</f>
        <v>36606</v>
      </c>
      <c r="G100">
        <f t="shared" si="11"/>
        <v>36606</v>
      </c>
      <c r="H100" s="54" cm="1">
        <f t="array" ref="H100">IF($B100 &lt; 100, -LN(-1/LN(G100/G99)-1), TREND(H$97:H$106, $B$97:$B$106, $B100:$B100,TRUE))</f>
        <v>-1.9141725722750782</v>
      </c>
      <c r="I100">
        <f t="shared" si="8"/>
        <v>30028</v>
      </c>
      <c r="K100">
        <f>HLOOKUP(CBSoverlevtafel!$K$3,CBStafelMan!$B$5:$CW$106, MATCH($A100,CBStafelMan!$A$5:$A$106,0),FALSE)</f>
        <v>23450</v>
      </c>
      <c r="L100">
        <f t="shared" si="12"/>
        <v>23450</v>
      </c>
      <c r="M100" s="54" cm="1">
        <f t="array" ref="M100">IF($B100 &lt; 100, -LN(-1/LN(L100/L99)-1), TREND(M$97:M$106, $B$97:$B$106, $B100:$B100,TRUE))</f>
        <v>-1.6021565279533609</v>
      </c>
      <c r="N100">
        <f>HLOOKUP(CBSoverlevtafel!$K$3,CBStafelVrouw!$B$5:$CW$106, MATCH($A100,CBStafelMan!$A$5:$A$106,0),FALSE)</f>
        <v>36606</v>
      </c>
      <c r="O100">
        <f t="shared" si="13"/>
        <v>36606</v>
      </c>
      <c r="P100" s="54" cm="1">
        <f t="array" ref="P100">IF($B100 &lt; 100, -LN(-1/LN(O100/O99)-1), TREND(P$97:P$106, $B$97:$B$106, $B100:$B100,TRUE))</f>
        <v>-1.9141725722750782</v>
      </c>
      <c r="Q100">
        <f t="shared" si="9"/>
        <v>30028</v>
      </c>
    </row>
    <row r="101" spans="1:17" x14ac:dyDescent="0.25">
      <c r="A101" t="s">
        <v>29</v>
      </c>
      <c r="B101">
        <v>94</v>
      </c>
      <c r="C101">
        <f>HLOOKUP(CBSoverlevtafel!$C$3,CBStafelMan!$B$5:$CW$106, MATCH($A101,CBStafelMan!$A$5:$A$106,0),FALSE)</f>
        <v>19379</v>
      </c>
      <c r="D101">
        <f t="shared" si="10"/>
        <v>19379</v>
      </c>
      <c r="E101" s="54" cm="1">
        <f t="array" ref="E101">IF($B101 &lt; 100, -LN(-1/LN(D101/D100)-1), TREND(E$97:E$106, $B$97:$B$106, $B101:$B101,TRUE))</f>
        <v>-1.4455945876043799</v>
      </c>
      <c r="F101">
        <f>HLOOKUP(CBSoverlevtafel!$C$3,CBStafelVrouw!$B$5:$CW$106, MATCH($A101,CBStafelMan!$A$5:$A$106,0),FALSE)</f>
        <v>31530</v>
      </c>
      <c r="G101">
        <f t="shared" si="11"/>
        <v>31530</v>
      </c>
      <c r="H101" s="54" cm="1">
        <f t="array" ref="H101">IF($B101 &lt; 100, -LN(-1/LN(G101/G100)-1), TREND(H$97:H$106, $B$97:$B$106, $B101:$B101,TRUE))</f>
        <v>-1.7403168919249512</v>
      </c>
      <c r="I101">
        <f t="shared" si="8"/>
        <v>25454.5</v>
      </c>
      <c r="K101">
        <f>HLOOKUP(CBSoverlevtafel!$K$3,CBStafelMan!$B$5:$CW$106, MATCH($A101,CBStafelMan!$A$5:$A$106,0),FALSE)</f>
        <v>19379</v>
      </c>
      <c r="L101">
        <f t="shared" si="12"/>
        <v>19379</v>
      </c>
      <c r="M101" s="54" cm="1">
        <f t="array" ref="M101">IF($B101 &lt; 100, -LN(-1/LN(L101/L100)-1), TREND(M$97:M$106, $B$97:$B$106, $B101:$B101,TRUE))</f>
        <v>-1.4455945876043799</v>
      </c>
      <c r="N101">
        <f>HLOOKUP(CBSoverlevtafel!$K$3,CBStafelVrouw!$B$5:$CW$106, MATCH($A101,CBStafelMan!$A$5:$A$106,0),FALSE)</f>
        <v>31530</v>
      </c>
      <c r="O101">
        <f t="shared" si="13"/>
        <v>31530</v>
      </c>
      <c r="P101" s="54" cm="1">
        <f t="array" ref="P101">IF($B101 &lt; 100, -LN(-1/LN(O101/O100)-1), TREND(P$97:P$106, $B$97:$B$106, $B101:$B101,TRUE))</f>
        <v>-1.7403168919249512</v>
      </c>
      <c r="Q101">
        <f t="shared" si="9"/>
        <v>25454.5</v>
      </c>
    </row>
    <row r="102" spans="1:17" x14ac:dyDescent="0.25">
      <c r="A102" t="s">
        <v>28</v>
      </c>
      <c r="B102">
        <v>95</v>
      </c>
      <c r="C102">
        <f>HLOOKUP(CBSoverlevtafel!$C$3,CBStafelMan!$B$5:$CW$106, MATCH($A102,CBStafelMan!$A$5:$A$106,0),FALSE)</f>
        <v>15615</v>
      </c>
      <c r="D102">
        <f t="shared" si="10"/>
        <v>15615</v>
      </c>
      <c r="E102" s="54" cm="1">
        <f t="array" ref="E102">IF($B102 &lt; 100, -LN(-1/LN(D102/D101)-1), TREND(E$97:E$106, $B$97:$B$106, $B102:$B102,TRUE))</f>
        <v>-1.289378558549181</v>
      </c>
      <c r="F102">
        <f>HLOOKUP(CBSoverlevtafel!$C$3,CBStafelVrouw!$B$5:$CW$106, MATCH($A102,CBStafelMan!$A$5:$A$106,0),FALSE)</f>
        <v>26538</v>
      </c>
      <c r="G102">
        <f t="shared" si="11"/>
        <v>26538</v>
      </c>
      <c r="H102" s="54" cm="1">
        <f t="array" ref="H102">IF($B102 &lt; 100, -LN(-1/LN(G102/G101)-1), TREND(H$97:H$106, $B$97:$B$106, $B102:$B102,TRUE))</f>
        <v>-1.5689803082652596</v>
      </c>
      <c r="I102">
        <f t="shared" si="8"/>
        <v>21076.5</v>
      </c>
      <c r="K102">
        <f>HLOOKUP(CBSoverlevtafel!$K$3,CBStafelMan!$B$5:$CW$106, MATCH($A102,CBStafelMan!$A$5:$A$106,0),FALSE)</f>
        <v>15615</v>
      </c>
      <c r="L102">
        <f t="shared" si="12"/>
        <v>15615</v>
      </c>
      <c r="M102" s="54" cm="1">
        <f t="array" ref="M102">IF($B102 &lt; 100, -LN(-1/LN(L102/L101)-1), TREND(M$97:M$106, $B$97:$B$106, $B102:$B102,TRUE))</f>
        <v>-1.289378558549181</v>
      </c>
      <c r="N102">
        <f>HLOOKUP(CBSoverlevtafel!$K$3,CBStafelVrouw!$B$5:$CW$106, MATCH($A102,CBStafelMan!$A$5:$A$106,0),FALSE)</f>
        <v>26538</v>
      </c>
      <c r="O102">
        <f t="shared" si="13"/>
        <v>26538</v>
      </c>
      <c r="P102" s="54" cm="1">
        <f t="array" ref="P102">IF($B102 &lt; 100, -LN(-1/LN(O102/O101)-1), TREND(P$97:P$106, $B$97:$B$106, $B102:$B102,TRUE))</f>
        <v>-1.5689803082652596</v>
      </c>
      <c r="Q102">
        <f t="shared" si="9"/>
        <v>21076.5</v>
      </c>
    </row>
    <row r="103" spans="1:17" x14ac:dyDescent="0.25">
      <c r="A103" t="s">
        <v>27</v>
      </c>
      <c r="B103">
        <v>96</v>
      </c>
      <c r="C103">
        <f>HLOOKUP(CBSoverlevtafel!$C$3,CBStafelMan!$B$5:$CW$106, MATCH($A103,CBStafelMan!$A$5:$A$106,0),FALSE)</f>
        <v>12231</v>
      </c>
      <c r="D103">
        <f t="shared" si="10"/>
        <v>12231</v>
      </c>
      <c r="E103" s="54" cm="1">
        <f t="array" ref="E103">IF($B103 &lt; 100, -LN(-1/LN(D103/D102)-1), TREND(E$97:E$106, $B$97:$B$106, $B103:$B103,TRUE))</f>
        <v>-1.1294734971438276</v>
      </c>
      <c r="F103">
        <f>HLOOKUP(CBSoverlevtafel!$C$3,CBStafelVrouw!$B$5:$CW$106, MATCH($A103,CBStafelMan!$A$5:$A$106,0),FALSE)</f>
        <v>21756</v>
      </c>
      <c r="G103">
        <f t="shared" si="11"/>
        <v>21756</v>
      </c>
      <c r="H103" s="54" cm="1">
        <f t="array" ref="H103">IF($B103 &lt; 100, -LN(-1/LN(G103/G102)-1), TREND(H$97:H$106, $B$97:$B$106, $B103:$B103,TRUE))</f>
        <v>-1.3945140855139198</v>
      </c>
      <c r="I103">
        <f t="shared" ref="I103:I127" si="14">AVERAGE(D103,G103)</f>
        <v>16993.5</v>
      </c>
      <c r="K103">
        <f>HLOOKUP(CBSoverlevtafel!$K$3,CBStafelMan!$B$5:$CW$106, MATCH($A103,CBStafelMan!$A$5:$A$106,0),FALSE)</f>
        <v>12231</v>
      </c>
      <c r="L103">
        <f t="shared" si="12"/>
        <v>12231</v>
      </c>
      <c r="M103" s="54" cm="1">
        <f t="array" ref="M103">IF($B103 &lt; 100, -LN(-1/LN(L103/L102)-1), TREND(M$97:M$106, $B$97:$B$106, $B103:$B103,TRUE))</f>
        <v>-1.1294734971438276</v>
      </c>
      <c r="N103">
        <f>HLOOKUP(CBSoverlevtafel!$K$3,CBStafelVrouw!$B$5:$CW$106, MATCH($A103,CBStafelMan!$A$5:$A$106,0),FALSE)</f>
        <v>21756</v>
      </c>
      <c r="O103">
        <f t="shared" si="13"/>
        <v>21756</v>
      </c>
      <c r="P103" s="54" cm="1">
        <f t="array" ref="P103">IF($B103 &lt; 100, -LN(-1/LN(O103/O102)-1), TREND(P$97:P$106, $B$97:$B$106, $B103:$B103,TRUE))</f>
        <v>-1.3945140855139198</v>
      </c>
      <c r="Q103">
        <f t="shared" ref="Q103:Q127" si="15">AVERAGE(L103,O103)</f>
        <v>16993.5</v>
      </c>
    </row>
    <row r="104" spans="1:17" x14ac:dyDescent="0.25">
      <c r="A104" t="s">
        <v>26</v>
      </c>
      <c r="B104">
        <v>97</v>
      </c>
      <c r="C104">
        <f>HLOOKUP(CBSoverlevtafel!$C$3,CBStafelMan!$B$5:$CW$106, MATCH($A104,CBStafelMan!$A$5:$A$106,0),FALSE)</f>
        <v>9272</v>
      </c>
      <c r="D104">
        <f t="shared" si="10"/>
        <v>9272</v>
      </c>
      <c r="E104" s="54" cm="1">
        <f t="array" ref="E104">IF($B104 &lt; 100, -LN(-1/LN(D104/D103)-1), TREND(E$97:E$106, $B$97:$B$106, $B104:$B104,TRUE))</f>
        <v>-0.95951851540965272</v>
      </c>
      <c r="F104">
        <f>HLOOKUP(CBSoverlevtafel!$C$3,CBStafelVrouw!$B$5:$CW$106, MATCH($A104,CBStafelMan!$A$5:$A$106,0),FALSE)</f>
        <v>17288</v>
      </c>
      <c r="G104">
        <f t="shared" si="11"/>
        <v>17288</v>
      </c>
      <c r="H104" s="54" cm="1">
        <f t="array" ref="H104">IF($B104 &lt; 100, -LN(-1/LN(G104/G103)-1), TREND(H$97:H$106, $B$97:$B$106, $B104:$B104,TRUE))</f>
        <v>-1.2090060717199982</v>
      </c>
      <c r="I104">
        <f t="shared" si="14"/>
        <v>13280</v>
      </c>
      <c r="K104">
        <f>HLOOKUP(CBSoverlevtafel!$K$3,CBStafelMan!$B$5:$CW$106, MATCH($A104,CBStafelMan!$A$5:$A$106,0),FALSE)</f>
        <v>9272</v>
      </c>
      <c r="L104">
        <f t="shared" si="12"/>
        <v>9272</v>
      </c>
      <c r="M104" s="54" cm="1">
        <f t="array" ref="M104">IF($B104 &lt; 100, -LN(-1/LN(L104/L103)-1), TREND(M$97:M$106, $B$97:$B$106, $B104:$B104,TRUE))</f>
        <v>-0.95951851540965272</v>
      </c>
      <c r="N104">
        <f>HLOOKUP(CBSoverlevtafel!$K$3,CBStafelVrouw!$B$5:$CW$106, MATCH($A104,CBStafelMan!$A$5:$A$106,0),FALSE)</f>
        <v>17288</v>
      </c>
      <c r="O104">
        <f t="shared" si="13"/>
        <v>17288</v>
      </c>
      <c r="P104" s="54" cm="1">
        <f t="array" ref="P104">IF($B104 &lt; 100, -LN(-1/LN(O104/O103)-1), TREND(P$97:P$106, $B$97:$B$106, $B104:$B104,TRUE))</f>
        <v>-1.2090060717199982</v>
      </c>
      <c r="Q104">
        <f t="shared" si="15"/>
        <v>13280</v>
      </c>
    </row>
    <row r="105" spans="1:17" x14ac:dyDescent="0.25">
      <c r="A105" t="s">
        <v>25</v>
      </c>
      <c r="B105">
        <v>98</v>
      </c>
      <c r="C105">
        <f>HLOOKUP(CBSoverlevtafel!$C$3,CBStafelMan!$B$5:$CW$106, MATCH($A105,CBStafelMan!$A$5:$A$106,0),FALSE)</f>
        <v>6775</v>
      </c>
      <c r="D105">
        <f t="shared" si="10"/>
        <v>6775</v>
      </c>
      <c r="E105" s="54" cm="1">
        <f t="array" ref="E105">IF($B105 &lt; 100, -LN(-1/LN(D105/D104)-1), TREND(E$97:E$106, $B$97:$B$106, $B105:$B105,TRUE))</f>
        <v>-0.78260026923840653</v>
      </c>
      <c r="F105">
        <f>HLOOKUP(CBSoverlevtafel!$C$3,CBStafelVrouw!$B$5:$CW$106, MATCH($A105,CBStafelMan!$A$5:$A$106,0),FALSE)</f>
        <v>13255</v>
      </c>
      <c r="G105">
        <f t="shared" ref="G105:G106" si="16">IF(F105 &lt;&gt;".",F105,)</f>
        <v>13255</v>
      </c>
      <c r="H105" s="54" cm="1">
        <f t="array" ref="H105">IF($B105 &lt; 100, -LN(-1/LN(G105/G104)-1), TREND(H$97:H$106, $B$97:$B$106, $B105:$B105,TRUE))</f>
        <v>-1.01686874591518</v>
      </c>
      <c r="I105">
        <f t="shared" si="14"/>
        <v>10015</v>
      </c>
      <c r="K105">
        <f>HLOOKUP(CBSoverlevtafel!$K$3,CBStafelMan!$B$5:$CW$106, MATCH($A105,CBStafelMan!$A$5:$A$106,0),FALSE)</f>
        <v>6775</v>
      </c>
      <c r="L105">
        <f t="shared" ref="L105:L106" si="17">IF(K105 &lt;&gt;".",K105,)</f>
        <v>6775</v>
      </c>
      <c r="M105" s="54" cm="1">
        <f t="array" ref="M105">IF($B105 &lt; 100, -LN(-1/LN(L105/L104)-1), TREND(M$97:M$106, $B$97:$B$106, $B105:$B105,TRUE))</f>
        <v>-0.78260026923840653</v>
      </c>
      <c r="N105">
        <f>HLOOKUP(CBSoverlevtafel!$K$3,CBStafelVrouw!$B$5:$CW$106, MATCH($A105,CBStafelMan!$A$5:$A$106,0),FALSE)</f>
        <v>13255</v>
      </c>
      <c r="O105">
        <f t="shared" ref="O105:O106" si="18">IF(N105 &lt;&gt;".",N105,)</f>
        <v>13255</v>
      </c>
      <c r="P105" s="54" cm="1">
        <f t="array" ref="P105">IF($B105 &lt; 100, -LN(-1/LN(O105/O104)-1), TREND(P$97:P$106, $B$97:$B$106, $B105:$B105,TRUE))</f>
        <v>-1.01686874591518</v>
      </c>
      <c r="Q105">
        <f t="shared" si="15"/>
        <v>10015</v>
      </c>
    </row>
    <row r="106" spans="1:17" s="3" customFormat="1" x14ac:dyDescent="0.25">
      <c r="A106" s="3" t="s">
        <v>24</v>
      </c>
      <c r="B106" s="3">
        <v>99</v>
      </c>
      <c r="C106" s="3">
        <f>HLOOKUP(CBSoverlevtafel!$C$3,CBStafelMan!$B$5:$CW$106, MATCH($A106,CBStafelMan!$A$5:$A$106,0),FALSE)</f>
        <v>4775</v>
      </c>
      <c r="D106" s="3">
        <f t="shared" si="10"/>
        <v>4775</v>
      </c>
      <c r="E106" s="49" cm="1">
        <f t="array" ref="E106">IF($B106 &lt; 100, -LN(-1/LN(D106/D105)-1), TREND(E$97:E$106, $B$97:$B$106, $B106:$B106,TRUE))</f>
        <v>-0.61971886965877576</v>
      </c>
      <c r="F106" s="3">
        <f>HLOOKUP(CBSoverlevtafel!$C$3,CBStafelVrouw!$B$5:$CW$106, MATCH($A106,CBStafelMan!$A$5:$A$106,0),FALSE)</f>
        <v>9808</v>
      </c>
      <c r="G106" s="3">
        <f t="shared" si="16"/>
        <v>9808</v>
      </c>
      <c r="H106" s="49" cm="1">
        <f t="array" ref="H106">IF($B106 &lt; 100, -LN(-1/LN(G106/G105)-1), TREND(H$97:H$106, $B$97:$B$106, $B106:$B106,TRUE))</f>
        <v>-0.84170192259125964</v>
      </c>
      <c r="I106" s="3">
        <f t="shared" si="14"/>
        <v>7291.5</v>
      </c>
      <c r="K106" s="3">
        <f>HLOOKUP(CBSoverlevtafel!$K$3,CBStafelMan!$B$5:$CW$106, MATCH($A106,CBStafelMan!$A$5:$A$106,0),FALSE)</f>
        <v>4775</v>
      </c>
      <c r="L106" s="3">
        <f t="shared" si="17"/>
        <v>4775</v>
      </c>
      <c r="M106" s="49" cm="1">
        <f t="array" ref="M106">IF($B106 &lt; 100, -LN(-1/LN(L106/L105)-1), TREND(M$97:M$106, $B$97:$B$106, $B106:$B106,TRUE))</f>
        <v>-0.61971886965877576</v>
      </c>
      <c r="N106" s="3">
        <f>HLOOKUP(CBSoverlevtafel!$K$3,CBStafelVrouw!$B$5:$CW$106, MATCH($A106,CBStafelMan!$A$5:$A$106,0),FALSE)</f>
        <v>9808</v>
      </c>
      <c r="O106" s="3">
        <f t="shared" si="18"/>
        <v>9808</v>
      </c>
      <c r="P106" s="49" cm="1">
        <f t="array" ref="P106">IF($B106 &lt; 100, -LN(-1/LN(O106/O105)-1), TREND(P$97:P$106, $B$97:$B$106, $B106:$B106,TRUE))</f>
        <v>-0.84170192259125964</v>
      </c>
      <c r="Q106" s="3">
        <f t="shared" si="15"/>
        <v>7291.5</v>
      </c>
    </row>
    <row r="107" spans="1:17" x14ac:dyDescent="0.25">
      <c r="A107" t="s">
        <v>17</v>
      </c>
      <c r="B107">
        <v>100</v>
      </c>
      <c r="C107" t="s">
        <v>218</v>
      </c>
      <c r="D107">
        <f>D106*EXP(-1/(1+EXP(-E107)))</f>
        <v>3251.1557054684386</v>
      </c>
      <c r="E107" s="54" cm="1">
        <f t="array" ref="E107">IF($B107 &lt; 100, -LN(-1/LN(D107/D106)-1), TREND(E$97:E$106, $B$97:$B$106, $B107:$B107,TRUE))</f>
        <v>-0.4709837098643348</v>
      </c>
      <c r="F107" t="s">
        <v>218</v>
      </c>
      <c r="G107">
        <f>G106*EXP(-1/(1+EXP(-H107)))</f>
        <v>6994.3892608760898</v>
      </c>
      <c r="H107" s="54" cm="1">
        <f t="array" ref="H107">IF($B107 &lt; 100, -LN(-1/LN(G107/G106)-1), TREND(H$97:H$106, $B$97:$B$106, $B107:$B107,TRUE))</f>
        <v>-0.67181707985118067</v>
      </c>
      <c r="I107">
        <f t="shared" si="14"/>
        <v>5122.7724831722644</v>
      </c>
      <c r="K107" t="s">
        <v>218</v>
      </c>
      <c r="L107">
        <f>L106*EXP(-1/(1+EXP(-M107)))</f>
        <v>3251.1557054684386</v>
      </c>
      <c r="M107" s="54" cm="1">
        <f t="array" ref="M107">IF($B107 &lt; 100, -LN(-1/LN(L107/L106)-1), TREND(M$97:M$106, $B$97:$B$106, $B107:$B107,TRUE))</f>
        <v>-0.4709837098643348</v>
      </c>
      <c r="N107" t="s">
        <v>218</v>
      </c>
      <c r="O107">
        <f>O106*EXP(-1/(1+EXP(-P107)))</f>
        <v>6994.3892608760898</v>
      </c>
      <c r="P107" s="54" cm="1">
        <f t="array" ref="P107">IF($B107 &lt; 100, -LN(-1/LN(O107/O106)-1), TREND(P$97:P$106, $B$97:$B$106, $B107:$B107,TRUE))</f>
        <v>-0.67181707985118067</v>
      </c>
      <c r="Q107">
        <f t="shared" si="15"/>
        <v>5122.7724831722644</v>
      </c>
    </row>
    <row r="108" spans="1:17" x14ac:dyDescent="0.25">
      <c r="B108">
        <v>101</v>
      </c>
      <c r="C108" t="s">
        <v>218</v>
      </c>
      <c r="D108">
        <f t="shared" ref="D108:D127" si="19">D107*EXP(-1/(1+EXP(-E108)))</f>
        <v>2129.3711785725368</v>
      </c>
      <c r="E108" s="54" cm="1">
        <f t="array" ref="E108">IF($B108 &lt; 100, -LN(-1/LN(D108/D107)-1), TREND(E$97:E$106, $B$97:$B$106, $B108:$B108,TRUE))</f>
        <v>-0.30971698957353411</v>
      </c>
      <c r="F108" t="s">
        <v>218</v>
      </c>
      <c r="G108">
        <f t="shared" ref="G108:G127" si="20">G107*EXP(-1/(1+EXP(-H108)))</f>
        <v>4788.4322352740937</v>
      </c>
      <c r="H108" s="54" cm="1">
        <f t="array" ref="H108">IF($B108 &lt; 100, -LN(-1/LN(G108/G107)-1), TREND(H$97:H$106, $B$97:$B$106, $B108:$B108,TRUE))</f>
        <v>-0.49419753596880867</v>
      </c>
      <c r="I108">
        <f t="shared" si="14"/>
        <v>3458.901706923315</v>
      </c>
      <c r="K108" t="s">
        <v>218</v>
      </c>
      <c r="L108">
        <f t="shared" ref="L108:L127" si="21">L107*EXP(-1/(1+EXP(-M108)))</f>
        <v>2129.3711785725368</v>
      </c>
      <c r="M108" s="54" cm="1">
        <f t="array" ref="M108">IF($B108 &lt; 100, -LN(-1/LN(L108/L107)-1), TREND(M$97:M$106, $B$97:$B$106, $B108:$B108,TRUE))</f>
        <v>-0.30971698957353411</v>
      </c>
      <c r="N108" t="s">
        <v>218</v>
      </c>
      <c r="O108">
        <f t="shared" ref="O108:O127" si="22">O107*EXP(-1/(1+EXP(-P108)))</f>
        <v>4788.4322352740937</v>
      </c>
      <c r="P108" s="54" cm="1">
        <f t="array" ref="P108">IF($B108 &lt; 100, -LN(-1/LN(O108/O107)-1), TREND(P$97:P$106, $B$97:$B$106, $B108:$B108,TRUE))</f>
        <v>-0.49419753596880867</v>
      </c>
      <c r="Q108">
        <f t="shared" si="15"/>
        <v>3458.901706923315</v>
      </c>
    </row>
    <row r="109" spans="1:17" x14ac:dyDescent="0.25">
      <c r="B109">
        <v>102</v>
      </c>
      <c r="C109" t="s">
        <v>218</v>
      </c>
      <c r="D109">
        <f t="shared" si="19"/>
        <v>1340.2702548648861</v>
      </c>
      <c r="E109" s="54" cm="1">
        <f t="array" ref="E109">IF($B109 &lt; 100, -LN(-1/LN(D109/D108)-1), TREND(E$97:E$106, $B$97:$B$106, $B109:$B109,TRUE))</f>
        <v>-0.14845026928273697</v>
      </c>
      <c r="F109" t="s">
        <v>218</v>
      </c>
      <c r="G109">
        <f t="shared" si="20"/>
        <v>3141.4771376067251</v>
      </c>
      <c r="H109" s="54" cm="1">
        <f t="array" ref="H109">IF($B109 &lt; 100, -LN(-1/LN(G109/G108)-1), TREND(H$97:H$106, $B$97:$B$106, $B109:$B109,TRUE))</f>
        <v>-0.31657799208644022</v>
      </c>
      <c r="I109">
        <f t="shared" si="14"/>
        <v>2240.8736962358057</v>
      </c>
      <c r="K109" t="s">
        <v>218</v>
      </c>
      <c r="L109">
        <f t="shared" si="21"/>
        <v>1340.2702548648861</v>
      </c>
      <c r="M109" s="54" cm="1">
        <f t="array" ref="M109">IF($B109 &lt; 100, -LN(-1/LN(L109/L108)-1), TREND(M$97:M$106, $B$97:$B$106, $B109:$B109,TRUE))</f>
        <v>-0.14845026928273697</v>
      </c>
      <c r="N109" t="s">
        <v>218</v>
      </c>
      <c r="O109">
        <f t="shared" si="22"/>
        <v>3141.4771376067251</v>
      </c>
      <c r="P109" s="54" cm="1">
        <f t="array" ref="P109">IF($B109 &lt; 100, -LN(-1/LN(O109/O108)-1), TREND(P$97:P$106, $B$97:$B$106, $B109:$B109,TRUE))</f>
        <v>-0.31657799208644022</v>
      </c>
      <c r="Q109">
        <f t="shared" si="15"/>
        <v>2240.8736962358057</v>
      </c>
    </row>
    <row r="110" spans="1:17" x14ac:dyDescent="0.25">
      <c r="B110">
        <v>103</v>
      </c>
      <c r="C110" t="s">
        <v>218</v>
      </c>
      <c r="D110">
        <f t="shared" si="19"/>
        <v>810.31453446900866</v>
      </c>
      <c r="E110" s="54" cm="1">
        <f t="array" ref="E110">IF($B110 &lt; 100, -LN(-1/LN(D110/D109)-1), TREND(E$97:E$106, $B$97:$B$106, $B110:$B110,TRUE))</f>
        <v>1.2816451008063723E-2</v>
      </c>
      <c r="F110" t="s">
        <v>218</v>
      </c>
      <c r="G110">
        <f t="shared" si="20"/>
        <v>1972.6482608461713</v>
      </c>
      <c r="H110" s="54" cm="1">
        <f t="array" ref="H110">IF($B110 &lt; 100, -LN(-1/LN(G110/G109)-1), TREND(H$97:H$106, $B$97:$B$106, $B110:$B110,TRUE))</f>
        <v>-0.13895844820406822</v>
      </c>
      <c r="I110">
        <f t="shared" si="14"/>
        <v>1391.4813976575899</v>
      </c>
      <c r="K110" t="s">
        <v>218</v>
      </c>
      <c r="L110">
        <f t="shared" si="21"/>
        <v>810.31453446900866</v>
      </c>
      <c r="M110" s="54" cm="1">
        <f t="array" ref="M110">IF($B110 &lt; 100, -LN(-1/LN(L110/L109)-1), TREND(M$97:M$106, $B$97:$B$106, $B110:$B110,TRUE))</f>
        <v>1.2816451008063723E-2</v>
      </c>
      <c r="N110" t="s">
        <v>218</v>
      </c>
      <c r="O110">
        <f t="shared" si="22"/>
        <v>1972.6482608461713</v>
      </c>
      <c r="P110" s="54" cm="1">
        <f t="array" ref="P110">IF($B110 &lt; 100, -LN(-1/LN(O110/O109)-1), TREND(P$97:P$106, $B$97:$B$106, $B110:$B110,TRUE))</f>
        <v>-0.13895844820406822</v>
      </c>
      <c r="Q110">
        <f t="shared" si="15"/>
        <v>1391.4813976575899</v>
      </c>
    </row>
    <row r="111" spans="1:17" x14ac:dyDescent="0.25">
      <c r="B111">
        <v>104</v>
      </c>
      <c r="C111" t="s">
        <v>218</v>
      </c>
      <c r="D111">
        <f t="shared" si="19"/>
        <v>470.60131449692437</v>
      </c>
      <c r="E111" s="54" cm="1">
        <f t="array" ref="E111">IF($B111 &lt; 100, -LN(-1/LN(D111/D110)-1), TREND(E$97:E$106, $B$97:$B$106, $B111:$B111,TRUE))</f>
        <v>0.17408317129886086</v>
      </c>
      <c r="F111" t="s">
        <v>218</v>
      </c>
      <c r="G111">
        <f t="shared" si="20"/>
        <v>1184.9645572135662</v>
      </c>
      <c r="H111" s="54" cm="1">
        <f t="array" ref="H111">IF($B111 &lt; 100, -LN(-1/LN(G111/G110)-1), TREND(H$97:H$106, $B$97:$B$106, $B111:$B111,TRUE))</f>
        <v>3.8661095678300228E-2</v>
      </c>
      <c r="I111">
        <f t="shared" si="14"/>
        <v>827.78293585524534</v>
      </c>
      <c r="K111" t="s">
        <v>218</v>
      </c>
      <c r="L111">
        <f t="shared" si="21"/>
        <v>470.60131449692437</v>
      </c>
      <c r="M111" s="54" cm="1">
        <f t="array" ref="M111">IF($B111 &lt; 100, -LN(-1/LN(L111/L110)-1), TREND(M$97:M$106, $B$97:$B$106, $B111:$B111,TRUE))</f>
        <v>0.17408317129886086</v>
      </c>
      <c r="N111" t="s">
        <v>218</v>
      </c>
      <c r="O111">
        <f t="shared" si="22"/>
        <v>1184.9645572135662</v>
      </c>
      <c r="P111" s="54" cm="1">
        <f t="array" ref="P111">IF($B111 &lt; 100, -LN(-1/LN(O111/O110)-1), TREND(P$97:P$106, $B$97:$B$106, $B111:$B111,TRUE))</f>
        <v>3.8661095678300228E-2</v>
      </c>
      <c r="Q111">
        <f t="shared" si="15"/>
        <v>827.78293585524534</v>
      </c>
    </row>
    <row r="112" spans="1:17" x14ac:dyDescent="0.25">
      <c r="B112">
        <v>105</v>
      </c>
      <c r="C112" t="s">
        <v>218</v>
      </c>
      <c r="D112">
        <f t="shared" si="19"/>
        <v>262.6837281260722</v>
      </c>
      <c r="E112" s="54" cm="1">
        <f t="array" ref="E112">IF($B112 &lt; 100, -LN(-1/LN(D112/D111)-1), TREND(E$97:E$106, $B$97:$B$106, $B112:$B112,TRUE))</f>
        <v>0.33534989158966155</v>
      </c>
      <c r="F112" t="s">
        <v>218</v>
      </c>
      <c r="G112">
        <f t="shared" si="20"/>
        <v>681.03096419350254</v>
      </c>
      <c r="H112" s="54" cm="1">
        <f t="array" ref="H112">IF($B112 &lt; 100, -LN(-1/LN(G112/G111)-1), TREND(H$97:H$106, $B$97:$B$106, $B112:$B112,TRUE))</f>
        <v>0.21628063956067223</v>
      </c>
      <c r="I112">
        <f t="shared" si="14"/>
        <v>471.85734615978737</v>
      </c>
      <c r="K112" t="s">
        <v>218</v>
      </c>
      <c r="L112">
        <f t="shared" si="21"/>
        <v>262.6837281260722</v>
      </c>
      <c r="M112" s="54" cm="1">
        <f t="array" ref="M112">IF($B112 &lt; 100, -LN(-1/LN(L112/L111)-1), TREND(M$97:M$106, $B$97:$B$106, $B112:$B112,TRUE))</f>
        <v>0.33534989158966155</v>
      </c>
      <c r="N112" t="s">
        <v>218</v>
      </c>
      <c r="O112">
        <f t="shared" si="22"/>
        <v>681.03096419350254</v>
      </c>
      <c r="P112" s="54" cm="1">
        <f t="array" ref="P112">IF($B112 &lt; 100, -LN(-1/LN(O112/O111)-1), TREND(P$97:P$106, $B$97:$B$106, $B112:$B112,TRUE))</f>
        <v>0.21628063956067223</v>
      </c>
      <c r="Q112">
        <f t="shared" si="15"/>
        <v>471.85734615978737</v>
      </c>
    </row>
    <row r="113" spans="2:17" x14ac:dyDescent="0.25">
      <c r="B113">
        <v>106</v>
      </c>
      <c r="C113" t="s">
        <v>218</v>
      </c>
      <c r="D113">
        <f t="shared" si="19"/>
        <v>141.07432233356877</v>
      </c>
      <c r="E113" s="54" cm="1">
        <f t="array" ref="E113">IF($B113 &lt; 100, -LN(-1/LN(D113/D112)-1), TREND(E$97:E$106, $B$97:$B$106, $B113:$B113,TRUE))</f>
        <v>0.49661661188045869</v>
      </c>
      <c r="F113" t="s">
        <v>218</v>
      </c>
      <c r="G113">
        <f t="shared" si="20"/>
        <v>374.79774672170129</v>
      </c>
      <c r="H113" s="54" cm="1">
        <f t="array" ref="H113">IF($B113 &lt; 100, -LN(-1/LN(G113/G112)-1), TREND(H$97:H$106, $B$97:$B$106, $B113:$B113,TRUE))</f>
        <v>0.39390018344304067</v>
      </c>
      <c r="I113">
        <f t="shared" si="14"/>
        <v>257.936034527635</v>
      </c>
      <c r="K113" t="s">
        <v>218</v>
      </c>
      <c r="L113">
        <f t="shared" si="21"/>
        <v>141.07432233356877</v>
      </c>
      <c r="M113" s="54" cm="1">
        <f t="array" ref="M113">IF($B113 &lt; 100, -LN(-1/LN(L113/L112)-1), TREND(M$97:M$106, $B$97:$B$106, $B113:$B113,TRUE))</f>
        <v>0.49661661188045869</v>
      </c>
      <c r="N113" t="s">
        <v>218</v>
      </c>
      <c r="O113">
        <f t="shared" si="22"/>
        <v>374.79774672170129</v>
      </c>
      <c r="P113" s="54" cm="1">
        <f t="array" ref="P113">IF($B113 &lt; 100, -LN(-1/LN(O113/O112)-1), TREND(P$97:P$106, $B$97:$B$106, $B113:$B113,TRUE))</f>
        <v>0.39390018344304067</v>
      </c>
      <c r="Q113">
        <f t="shared" si="15"/>
        <v>257.936034527635</v>
      </c>
    </row>
    <row r="114" spans="2:17" x14ac:dyDescent="0.25">
      <c r="B114">
        <v>107</v>
      </c>
      <c r="C114" t="s">
        <v>218</v>
      </c>
      <c r="D114">
        <f t="shared" si="19"/>
        <v>73.003115040860379</v>
      </c>
      <c r="E114" s="54" cm="1">
        <f t="array" ref="E114">IF($B114 &lt; 100, -LN(-1/LN(D114/D113)-1), TREND(E$97:E$106, $B$97:$B$106, $B114:$B114,TRUE))</f>
        <v>0.65788333217125938</v>
      </c>
      <c r="F114" t="s">
        <v>218</v>
      </c>
      <c r="G114">
        <f t="shared" si="20"/>
        <v>197.80323384138032</v>
      </c>
      <c r="H114" s="54" cm="1">
        <f t="array" ref="H114">IF($B114 &lt; 100, -LN(-1/LN(G114/G113)-1), TREND(H$97:H$106, $B$97:$B$106, $B114:$B114,TRUE))</f>
        <v>0.57151972732541267</v>
      </c>
      <c r="I114">
        <f t="shared" si="14"/>
        <v>135.40317444112034</v>
      </c>
      <c r="K114" t="s">
        <v>218</v>
      </c>
      <c r="L114">
        <f t="shared" si="21"/>
        <v>73.003115040860379</v>
      </c>
      <c r="M114" s="54" cm="1">
        <f t="array" ref="M114">IF($B114 &lt; 100, -LN(-1/LN(L114/L113)-1), TREND(M$97:M$106, $B$97:$B$106, $B114:$B114,TRUE))</f>
        <v>0.65788333217125938</v>
      </c>
      <c r="N114" t="s">
        <v>218</v>
      </c>
      <c r="O114">
        <f t="shared" si="22"/>
        <v>197.80323384138032</v>
      </c>
      <c r="P114" s="54" cm="1">
        <f t="array" ref="P114">IF($B114 &lt; 100, -LN(-1/LN(O114/O113)-1), TREND(P$97:P$106, $B$97:$B$106, $B114:$B114,TRUE))</f>
        <v>0.57151972732541267</v>
      </c>
      <c r="Q114">
        <f t="shared" si="15"/>
        <v>135.40317444112034</v>
      </c>
    </row>
    <row r="115" spans="2:17" x14ac:dyDescent="0.25">
      <c r="B115">
        <v>108</v>
      </c>
      <c r="C115" t="s">
        <v>218</v>
      </c>
      <c r="D115">
        <f t="shared" si="19"/>
        <v>36.468403274526302</v>
      </c>
      <c r="E115" s="54" cm="1">
        <f t="array" ref="E115">IF($B115 &lt; 100, -LN(-1/LN(D115/D114)-1), TREND(E$97:E$106, $B$97:$B$106, $B115:$B115,TRUE))</f>
        <v>0.81915005246205652</v>
      </c>
      <c r="F115" t="s">
        <v>218</v>
      </c>
      <c r="G115">
        <f t="shared" si="20"/>
        <v>100.31163059672139</v>
      </c>
      <c r="H115" s="54" cm="1">
        <f t="array" ref="H115">IF($B115 &lt; 100, -LN(-1/LN(G115/G114)-1), TREND(H$97:H$106, $B$97:$B$106, $B115:$B115,TRUE))</f>
        <v>0.74913927120778467</v>
      </c>
      <c r="I115">
        <f t="shared" si="14"/>
        <v>68.390016935623848</v>
      </c>
      <c r="K115" t="s">
        <v>218</v>
      </c>
      <c r="L115">
        <f t="shared" si="21"/>
        <v>36.468403274526302</v>
      </c>
      <c r="M115" s="54" cm="1">
        <f t="array" ref="M115">IF($B115 &lt; 100, -LN(-1/LN(L115/L114)-1), TREND(M$97:M$106, $B$97:$B$106, $B115:$B115,TRUE))</f>
        <v>0.81915005246205652</v>
      </c>
      <c r="N115" t="s">
        <v>218</v>
      </c>
      <c r="O115">
        <f t="shared" si="22"/>
        <v>100.31163059672139</v>
      </c>
      <c r="P115" s="54" cm="1">
        <f t="array" ref="P115">IF($B115 &lt; 100, -LN(-1/LN(O115/O114)-1), TREND(P$97:P$106, $B$97:$B$106, $B115:$B115,TRUE))</f>
        <v>0.74913927120778467</v>
      </c>
      <c r="Q115">
        <f t="shared" si="15"/>
        <v>68.390016935623848</v>
      </c>
    </row>
    <row r="116" spans="2:17" x14ac:dyDescent="0.25">
      <c r="B116">
        <v>109</v>
      </c>
      <c r="C116" t="s">
        <v>218</v>
      </c>
      <c r="D116">
        <f t="shared" si="19"/>
        <v>17.623889094920219</v>
      </c>
      <c r="E116" s="54" cm="1">
        <f t="array" ref="E116">IF($B116 &lt; 100, -LN(-1/LN(D116/D115)-1), TREND(E$97:E$106, $B$97:$B$106, $B116:$B116,TRUE))</f>
        <v>0.98041677275285721</v>
      </c>
      <c r="F116" t="s">
        <v>218</v>
      </c>
      <c r="G116">
        <f t="shared" si="20"/>
        <v>49.002160520630298</v>
      </c>
      <c r="H116" s="54" cm="1">
        <f t="array" ref="H116">IF($B116 &lt; 100, -LN(-1/LN(G116/G115)-1), TREND(H$97:H$106, $B$97:$B$106, $B116:$B116,TRUE))</f>
        <v>0.92675881509015312</v>
      </c>
      <c r="I116">
        <f t="shared" si="14"/>
        <v>33.313024807775257</v>
      </c>
      <c r="K116" t="s">
        <v>218</v>
      </c>
      <c r="L116">
        <f t="shared" si="21"/>
        <v>17.623889094920219</v>
      </c>
      <c r="M116" s="54" cm="1">
        <f t="array" ref="M116">IF($B116 &lt; 100, -LN(-1/LN(L116/L115)-1), TREND(M$97:M$106, $B$97:$B$106, $B116:$B116,TRUE))</f>
        <v>0.98041677275285721</v>
      </c>
      <c r="N116" t="s">
        <v>218</v>
      </c>
      <c r="O116">
        <f t="shared" si="22"/>
        <v>49.002160520630298</v>
      </c>
      <c r="P116" s="54" cm="1">
        <f t="array" ref="P116">IF($B116 &lt; 100, -LN(-1/LN(O116/O115)-1), TREND(P$97:P$106, $B$97:$B$106, $B116:$B116,TRUE))</f>
        <v>0.92675881509015312</v>
      </c>
      <c r="Q116">
        <f t="shared" si="15"/>
        <v>33.313024807775257</v>
      </c>
    </row>
    <row r="117" spans="2:17" x14ac:dyDescent="0.25">
      <c r="B117">
        <v>110</v>
      </c>
      <c r="C117" t="s">
        <v>218</v>
      </c>
      <c r="D117">
        <f t="shared" si="19"/>
        <v>8.2586961202626004</v>
      </c>
      <c r="E117" s="54" cm="1">
        <f t="array" ref="E117">IF($B117 &lt; 100, -LN(-1/LN(D117/D116)-1), TREND(E$97:E$106, $B$97:$B$106, $B117:$B117,TRUE))</f>
        <v>1.1416834930436544</v>
      </c>
      <c r="F117" t="s">
        <v>218</v>
      </c>
      <c r="G117">
        <f t="shared" si="20"/>
        <v>23.12200613159224</v>
      </c>
      <c r="H117" s="54" cm="1">
        <f t="array" ref="H117">IF($B117 &lt; 100, -LN(-1/LN(G117/G116)-1), TREND(H$97:H$106, $B$97:$B$106, $B117:$B117,TRUE))</f>
        <v>1.1043783589725251</v>
      </c>
      <c r="I117">
        <f t="shared" si="14"/>
        <v>15.690351125927421</v>
      </c>
      <c r="K117" t="s">
        <v>218</v>
      </c>
      <c r="L117">
        <f t="shared" si="21"/>
        <v>8.2586961202626004</v>
      </c>
      <c r="M117" s="54" cm="1">
        <f t="array" ref="M117">IF($B117 &lt; 100, -LN(-1/LN(L117/L116)-1), TREND(M$97:M$106, $B$97:$B$106, $B117:$B117,TRUE))</f>
        <v>1.1416834930436544</v>
      </c>
      <c r="N117" t="s">
        <v>218</v>
      </c>
      <c r="O117">
        <f t="shared" si="22"/>
        <v>23.12200613159224</v>
      </c>
      <c r="P117" s="54" cm="1">
        <f t="array" ref="P117">IF($B117 &lt; 100, -LN(-1/LN(O117/O116)-1), TREND(P$97:P$106, $B$97:$B$106, $B117:$B117,TRUE))</f>
        <v>1.1043783589725251</v>
      </c>
      <c r="Q117">
        <f t="shared" si="15"/>
        <v>15.690351125927421</v>
      </c>
    </row>
    <row r="118" spans="2:17" x14ac:dyDescent="0.25">
      <c r="B118">
        <v>111</v>
      </c>
      <c r="C118" t="s">
        <v>218</v>
      </c>
      <c r="D118">
        <f t="shared" si="19"/>
        <v>3.7619432284406402</v>
      </c>
      <c r="E118" s="54" cm="1">
        <f t="array" ref="E118">IF($B118 &lt; 100, -LN(-1/LN(D118/D117)-1), TREND(E$97:E$106, $B$97:$B$106, $B118:$B118,TRUE))</f>
        <v>1.302950213334455</v>
      </c>
      <c r="F118" t="s">
        <v>218</v>
      </c>
      <c r="G118">
        <f t="shared" si="20"/>
        <v>10.569739334156075</v>
      </c>
      <c r="H118" s="54" cm="1">
        <f t="array" ref="H118">IF($B118 &lt; 100, -LN(-1/LN(G118/G117)-1), TREND(H$97:H$106, $B$97:$B$106, $B118:$B118,TRUE))</f>
        <v>1.2819979028548936</v>
      </c>
      <c r="I118">
        <f t="shared" si="14"/>
        <v>7.1658412812983574</v>
      </c>
      <c r="K118" t="s">
        <v>218</v>
      </c>
      <c r="L118">
        <f t="shared" si="21"/>
        <v>3.7619432284406402</v>
      </c>
      <c r="M118" s="54" cm="1">
        <f t="array" ref="M118">IF($B118 &lt; 100, -LN(-1/LN(L118/L117)-1), TREND(M$97:M$106, $B$97:$B$106, $B118:$B118,TRUE))</f>
        <v>1.302950213334455</v>
      </c>
      <c r="N118" t="s">
        <v>218</v>
      </c>
      <c r="O118">
        <f t="shared" si="22"/>
        <v>10.569739334156075</v>
      </c>
      <c r="P118" s="54" cm="1">
        <f t="array" ref="P118">IF($B118 &lt; 100, -LN(-1/LN(O118/O117)-1), TREND(P$97:P$106, $B$97:$B$106, $B118:$B118,TRUE))</f>
        <v>1.2819979028548936</v>
      </c>
      <c r="Q118">
        <f t="shared" si="15"/>
        <v>7.1658412812983574</v>
      </c>
    </row>
    <row r="119" spans="2:17" x14ac:dyDescent="0.25">
      <c r="B119">
        <v>112</v>
      </c>
      <c r="C119" t="s">
        <v>218</v>
      </c>
      <c r="D119">
        <f t="shared" si="19"/>
        <v>1.6698918157292695</v>
      </c>
      <c r="E119" s="54" cm="1">
        <f t="array" ref="E119">IF($B119 &lt; 100, -LN(-1/LN(D119/D118)-1), TREND(E$97:E$106, $B$97:$B$106, $B119:$B119,TRUE))</f>
        <v>1.4642169336252522</v>
      </c>
      <c r="F119" t="s">
        <v>218</v>
      </c>
      <c r="G119">
        <f t="shared" si="20"/>
        <v>4.6951073698520736</v>
      </c>
      <c r="H119" s="54" cm="1">
        <f t="array" ref="H119">IF($B119 &lt; 100, -LN(-1/LN(G119/G118)-1), TREND(H$97:H$106, $B$97:$B$106, $B119:$B119,TRUE))</f>
        <v>1.4596174467372656</v>
      </c>
      <c r="I119">
        <f t="shared" si="14"/>
        <v>3.1824995927906716</v>
      </c>
      <c r="K119" t="s">
        <v>218</v>
      </c>
      <c r="L119">
        <f t="shared" si="21"/>
        <v>1.6698918157292695</v>
      </c>
      <c r="M119" s="54" cm="1">
        <f t="array" ref="M119">IF($B119 &lt; 100, -LN(-1/LN(L119/L118)-1), TREND(M$97:M$106, $B$97:$B$106, $B119:$B119,TRUE))</f>
        <v>1.4642169336252522</v>
      </c>
      <c r="N119" t="s">
        <v>218</v>
      </c>
      <c r="O119">
        <f t="shared" si="22"/>
        <v>4.6951073698520736</v>
      </c>
      <c r="P119" s="54" cm="1">
        <f t="array" ref="P119">IF($B119 &lt; 100, -LN(-1/LN(O119/O118)-1), TREND(P$97:P$106, $B$97:$B$106, $B119:$B119,TRUE))</f>
        <v>1.4596174467372656</v>
      </c>
      <c r="Q119">
        <f t="shared" si="15"/>
        <v>3.1824995927906716</v>
      </c>
    </row>
    <row r="120" spans="2:17" x14ac:dyDescent="0.25">
      <c r="B120">
        <v>113</v>
      </c>
      <c r="C120" t="s">
        <v>218</v>
      </c>
      <c r="D120">
        <f t="shared" si="19"/>
        <v>0.72412506369554097</v>
      </c>
      <c r="E120" s="54" cm="1">
        <f t="array" ref="E120">IF($B120 &lt; 100, -LN(-1/LN(D120/D119)-1), TREND(E$97:E$106, $B$97:$B$106, $B120:$B120,TRUE))</f>
        <v>1.6254836539160529</v>
      </c>
      <c r="F120" t="s">
        <v>218</v>
      </c>
      <c r="G120">
        <f t="shared" si="20"/>
        <v>2.0326947134325217</v>
      </c>
      <c r="H120" s="54" cm="1">
        <f t="array" ref="H120">IF($B120 &lt; 100, -LN(-1/LN(G120/G119)-1), TREND(H$97:H$106, $B$97:$B$106, $B120:$B120,TRUE))</f>
        <v>1.637236990619634</v>
      </c>
      <c r="I120">
        <f t="shared" si="14"/>
        <v>1.3784098885640312</v>
      </c>
      <c r="K120" t="s">
        <v>218</v>
      </c>
      <c r="L120">
        <f t="shared" si="21"/>
        <v>0.72412506369554097</v>
      </c>
      <c r="M120" s="54" cm="1">
        <f t="array" ref="M120">IF($B120 &lt; 100, -LN(-1/LN(L120/L119)-1), TREND(M$97:M$106, $B$97:$B$106, $B120:$B120,TRUE))</f>
        <v>1.6254836539160529</v>
      </c>
      <c r="N120" t="s">
        <v>218</v>
      </c>
      <c r="O120">
        <f t="shared" si="22"/>
        <v>2.0326947134325217</v>
      </c>
      <c r="P120" s="54" cm="1">
        <f t="array" ref="P120">IF($B120 &lt; 100, -LN(-1/LN(O120/O119)-1), TREND(P$97:P$106, $B$97:$B$106, $B120:$B120,TRUE))</f>
        <v>1.637236990619634</v>
      </c>
      <c r="Q120">
        <f t="shared" si="15"/>
        <v>1.3784098885640312</v>
      </c>
    </row>
    <row r="121" spans="2:17" x14ac:dyDescent="0.25">
      <c r="B121">
        <v>114</v>
      </c>
      <c r="C121" t="s">
        <v>218</v>
      </c>
      <c r="D121">
        <f t="shared" si="19"/>
        <v>0.30748789381521463</v>
      </c>
      <c r="E121" s="54" cm="1">
        <f t="array" ref="E121">IF($B121 &lt; 100, -LN(-1/LN(D121/D120)-1), TREND(E$97:E$106, $B$97:$B$106, $B121:$B121,TRUE))</f>
        <v>1.78675037420685</v>
      </c>
      <c r="F121" t="s">
        <v>218</v>
      </c>
      <c r="G121">
        <f t="shared" si="20"/>
        <v>0.86020422344012615</v>
      </c>
      <c r="H121" s="54" cm="1">
        <f t="array" ref="H121">IF($B121 &lt; 100, -LN(-1/LN(G121/G120)-1), TREND(H$97:H$106, $B$97:$B$106, $B121:$B121,TRUE))</f>
        <v>1.814856534502006</v>
      </c>
      <c r="I121">
        <f t="shared" si="14"/>
        <v>0.58384605862767036</v>
      </c>
      <c r="K121" t="s">
        <v>218</v>
      </c>
      <c r="L121">
        <f t="shared" si="21"/>
        <v>0.30748789381521463</v>
      </c>
      <c r="M121" s="54" cm="1">
        <f t="array" ref="M121">IF($B121 &lt; 100, -LN(-1/LN(L121/L120)-1), TREND(M$97:M$106, $B$97:$B$106, $B121:$B121,TRUE))</f>
        <v>1.78675037420685</v>
      </c>
      <c r="N121" t="s">
        <v>218</v>
      </c>
      <c r="O121">
        <f t="shared" si="22"/>
        <v>0.86020422344012615</v>
      </c>
      <c r="P121" s="54" cm="1">
        <f t="array" ref="P121">IF($B121 &lt; 100, -LN(-1/LN(O121/O120)-1), TREND(P$97:P$106, $B$97:$B$106, $B121:$B121,TRUE))</f>
        <v>1.814856534502006</v>
      </c>
      <c r="Q121">
        <f t="shared" si="15"/>
        <v>0.58384605862767036</v>
      </c>
    </row>
    <row r="122" spans="2:17" x14ac:dyDescent="0.25">
      <c r="B122">
        <v>115</v>
      </c>
      <c r="C122" t="s">
        <v>218</v>
      </c>
      <c r="D122">
        <f t="shared" si="19"/>
        <v>0.12815051244927264</v>
      </c>
      <c r="E122" s="54" cm="1">
        <f t="array" ref="E122">IF($B122 &lt; 100, -LN(-1/LN(D122/D121)-1), TREND(E$97:E$106, $B$97:$B$106, $B122:$B122,TRUE))</f>
        <v>1.9480170944976507</v>
      </c>
      <c r="F122" t="s">
        <v>218</v>
      </c>
      <c r="G122">
        <f t="shared" si="20"/>
        <v>0.35679628254345958</v>
      </c>
      <c r="H122" s="54" cm="1">
        <f t="array" ref="H122">IF($B122 &lt; 100, -LN(-1/LN(G122/G121)-1), TREND(H$97:H$106, $B$97:$B$106, $B122:$B122,TRUE))</f>
        <v>1.992476078384378</v>
      </c>
      <c r="I122">
        <f t="shared" si="14"/>
        <v>0.24247339749636609</v>
      </c>
      <c r="K122" t="s">
        <v>218</v>
      </c>
      <c r="L122">
        <f t="shared" si="21"/>
        <v>0.12815051244927264</v>
      </c>
      <c r="M122" s="54" cm="1">
        <f t="array" ref="M122">IF($B122 &lt; 100, -LN(-1/LN(L122/L121)-1), TREND(M$97:M$106, $B$97:$B$106, $B122:$B122,TRUE))</f>
        <v>1.9480170944976507</v>
      </c>
      <c r="N122" t="s">
        <v>218</v>
      </c>
      <c r="O122">
        <f t="shared" si="22"/>
        <v>0.35679628254345958</v>
      </c>
      <c r="P122" s="54" cm="1">
        <f t="array" ref="P122">IF($B122 &lt; 100, -LN(-1/LN(O122/O121)-1), TREND(P$97:P$106, $B$97:$B$106, $B122:$B122,TRUE))</f>
        <v>1.992476078384378</v>
      </c>
      <c r="Q122">
        <f t="shared" si="15"/>
        <v>0.24247339749636609</v>
      </c>
    </row>
    <row r="123" spans="2:17" x14ac:dyDescent="0.25">
      <c r="B123">
        <v>116</v>
      </c>
      <c r="C123" t="s">
        <v>218</v>
      </c>
      <c r="D123">
        <f t="shared" si="19"/>
        <v>5.2530985968983347E-2</v>
      </c>
      <c r="E123" s="54" cm="1">
        <f t="array" ref="E123">IF($B123 &lt; 100, -LN(-1/LN(D123/D122)-1), TREND(E$97:E$106, $B$97:$B$106, $B123:$B123,TRUE))</f>
        <v>2.1092838147884478</v>
      </c>
      <c r="F123" t="s">
        <v>218</v>
      </c>
      <c r="G123">
        <f t="shared" si="20"/>
        <v>0.14542103443760701</v>
      </c>
      <c r="H123" s="54" cm="1">
        <f t="array" ref="H123">IF($B123 &lt; 100, -LN(-1/LN(G123/G122)-1), TREND(H$97:H$106, $B$97:$B$106, $B123:$B123,TRUE))</f>
        <v>2.1700956222667465</v>
      </c>
      <c r="I123">
        <f t="shared" si="14"/>
        <v>9.8976010203295176E-2</v>
      </c>
      <c r="K123" t="s">
        <v>218</v>
      </c>
      <c r="L123">
        <f t="shared" si="21"/>
        <v>5.2530985968983347E-2</v>
      </c>
      <c r="M123" s="54" cm="1">
        <f t="array" ref="M123">IF($B123 &lt; 100, -LN(-1/LN(L123/L122)-1), TREND(M$97:M$106, $B$97:$B$106, $B123:$B123,TRUE))</f>
        <v>2.1092838147884478</v>
      </c>
      <c r="N123" t="s">
        <v>218</v>
      </c>
      <c r="O123">
        <f t="shared" si="22"/>
        <v>0.14542103443760701</v>
      </c>
      <c r="P123" s="54" cm="1">
        <f t="array" ref="P123">IF($B123 &lt; 100, -LN(-1/LN(O123/O122)-1), TREND(P$97:P$106, $B$97:$B$106, $B123:$B123,TRUE))</f>
        <v>2.1700956222667465</v>
      </c>
      <c r="Q123">
        <f t="shared" si="15"/>
        <v>9.8976010203295176E-2</v>
      </c>
    </row>
    <row r="124" spans="2:17" x14ac:dyDescent="0.25">
      <c r="B124">
        <v>117</v>
      </c>
      <c r="C124" t="s">
        <v>218</v>
      </c>
      <c r="D124">
        <f t="shared" si="19"/>
        <v>2.1221073121762052E-2</v>
      </c>
      <c r="E124" s="54" cm="1">
        <f t="array" ref="E124">IF($B124 &lt; 100, -LN(-1/LN(D124/D123)-1), TREND(E$97:E$106, $B$97:$B$106, $B124:$B124,TRUE))</f>
        <v>2.2705505350792485</v>
      </c>
      <c r="F124" t="s">
        <v>218</v>
      </c>
      <c r="G124">
        <f t="shared" si="20"/>
        <v>5.8374594837107115E-2</v>
      </c>
      <c r="H124" s="54" cm="1">
        <f t="array" ref="H124">IF($B124 &lt; 100, -LN(-1/LN(G124/G123)-1), TREND(H$97:H$106, $B$97:$B$106, $B124:$B124,TRUE))</f>
        <v>2.3477151661491185</v>
      </c>
      <c r="I124">
        <f t="shared" si="14"/>
        <v>3.979783397943458E-2</v>
      </c>
      <c r="K124" t="s">
        <v>218</v>
      </c>
      <c r="L124">
        <f t="shared" si="21"/>
        <v>2.1221073121762052E-2</v>
      </c>
      <c r="M124" s="54" cm="1">
        <f t="array" ref="M124">IF($B124 &lt; 100, -LN(-1/LN(L124/L123)-1), TREND(M$97:M$106, $B$97:$B$106, $B124:$B124,TRUE))</f>
        <v>2.2705505350792485</v>
      </c>
      <c r="N124" t="s">
        <v>218</v>
      </c>
      <c r="O124">
        <f t="shared" si="22"/>
        <v>5.8374594837107115E-2</v>
      </c>
      <c r="P124" s="54" cm="1">
        <f t="array" ref="P124">IF($B124 &lt; 100, -LN(-1/LN(O124/O123)-1), TREND(P$97:P$106, $B$97:$B$106, $B124:$B124,TRUE))</f>
        <v>2.3477151661491185</v>
      </c>
      <c r="Q124">
        <f t="shared" si="15"/>
        <v>3.979783397943458E-2</v>
      </c>
    </row>
    <row r="125" spans="2:17" x14ac:dyDescent="0.25">
      <c r="B125">
        <v>118</v>
      </c>
      <c r="C125" t="s">
        <v>218</v>
      </c>
      <c r="D125">
        <f t="shared" si="19"/>
        <v>8.4635874344856643E-3</v>
      </c>
      <c r="E125" s="54" cm="1">
        <f t="array" ref="E125">IF($B125 &lt; 100, -LN(-1/LN(D125/D124)-1), TREND(E$97:E$106, $B$97:$B$106, $B125:$B125,TRUE))</f>
        <v>2.4318172553700457</v>
      </c>
      <c r="F125" t="s">
        <v>218</v>
      </c>
      <c r="G125">
        <f t="shared" si="20"/>
        <v>2.3126563055252212E-2</v>
      </c>
      <c r="H125" s="54" cm="1">
        <f t="array" ref="H125">IF($B125 &lt; 100, -LN(-1/LN(G125/G124)-1), TREND(H$97:H$106, $B$97:$B$106, $B125:$B125,TRUE))</f>
        <v>2.5253347100314869</v>
      </c>
      <c r="I125">
        <f t="shared" si="14"/>
        <v>1.5795075244868936E-2</v>
      </c>
      <c r="K125" t="s">
        <v>218</v>
      </c>
      <c r="L125">
        <f t="shared" si="21"/>
        <v>8.4635874344856643E-3</v>
      </c>
      <c r="M125" s="54" cm="1">
        <f t="array" ref="M125">IF($B125 &lt; 100, -LN(-1/LN(L125/L124)-1), TREND(M$97:M$106, $B$97:$B$106, $B125:$B125,TRUE))</f>
        <v>2.4318172553700457</v>
      </c>
      <c r="N125" t="s">
        <v>218</v>
      </c>
      <c r="O125">
        <f t="shared" si="22"/>
        <v>2.3126563055252212E-2</v>
      </c>
      <c r="P125" s="54" cm="1">
        <f t="array" ref="P125">IF($B125 &lt; 100, -LN(-1/LN(O125/O124)-1), TREND(P$97:P$106, $B$97:$B$106, $B125:$B125,TRUE))</f>
        <v>2.5253347100314869</v>
      </c>
      <c r="Q125">
        <f t="shared" si="15"/>
        <v>1.5795075244868936E-2</v>
      </c>
    </row>
    <row r="126" spans="2:17" x14ac:dyDescent="0.25">
      <c r="B126">
        <v>119</v>
      </c>
      <c r="C126" t="s">
        <v>218</v>
      </c>
      <c r="D126">
        <f t="shared" si="19"/>
        <v>3.337953794232823E-3</v>
      </c>
      <c r="E126" s="54" cm="1">
        <f t="array" ref="E126">IF($B126 &lt; 100, -LN(-1/LN(D126/D125)-1), TREND(E$97:E$106, $B$97:$B$106, $B126:$B126,TRUE))</f>
        <v>2.5930839756608464</v>
      </c>
      <c r="F126" t="s">
        <v>218</v>
      </c>
      <c r="G126">
        <f t="shared" si="20"/>
        <v>9.0592028441568665E-3</v>
      </c>
      <c r="H126" s="54" cm="1">
        <f t="array" ref="H126">IF($B126 &lt; 100, -LN(-1/LN(G126/G125)-1), TREND(H$97:H$106, $B$97:$B$106, $B126:$B126,TRUE))</f>
        <v>2.7029542539138589</v>
      </c>
      <c r="I126">
        <f t="shared" si="14"/>
        <v>6.1985783191948448E-3</v>
      </c>
      <c r="K126" t="s">
        <v>218</v>
      </c>
      <c r="L126">
        <f t="shared" si="21"/>
        <v>3.337953794232823E-3</v>
      </c>
      <c r="M126" s="54" cm="1">
        <f t="array" ref="M126">IF($B126 &lt; 100, -LN(-1/LN(L126/L125)-1), TREND(M$97:M$106, $B$97:$B$106, $B126:$B126,TRUE))</f>
        <v>2.5930839756608464</v>
      </c>
      <c r="N126" t="s">
        <v>218</v>
      </c>
      <c r="O126">
        <f t="shared" si="22"/>
        <v>9.0592028441568665E-3</v>
      </c>
      <c r="P126" s="54" cm="1">
        <f t="array" ref="P126">IF($B126 &lt; 100, -LN(-1/LN(O126/O125)-1), TREND(P$97:P$106, $B$97:$B$106, $B126:$B126,TRUE))</f>
        <v>2.7029542539138589</v>
      </c>
      <c r="Q126">
        <f t="shared" si="15"/>
        <v>6.1985783191948448E-3</v>
      </c>
    </row>
    <row r="127" spans="2:17" x14ac:dyDescent="0.25">
      <c r="B127">
        <v>120</v>
      </c>
      <c r="C127" t="s">
        <v>218</v>
      </c>
      <c r="D127">
        <f t="shared" si="19"/>
        <v>1.3036908950856436E-3</v>
      </c>
      <c r="E127" s="54" cm="1">
        <f t="array" ref="E127">IF($B127 &lt; 100, -LN(-1/LN(D127/D126)-1), TREND(E$97:E$106, $B$97:$B$106, $B127:$B127,TRUE))</f>
        <v>2.7543506959516435</v>
      </c>
      <c r="F127" t="s">
        <v>218</v>
      </c>
      <c r="G127">
        <f t="shared" si="20"/>
        <v>3.5145215406249823E-3</v>
      </c>
      <c r="H127" s="54" cm="1">
        <f t="array" ref="H127">IF($B127 &lt; 100, -LN(-1/LN(G127/G126)-1), TREND(H$97:H$106, $B$97:$B$106, $B127:$B127,TRUE))</f>
        <v>2.8805737977962274</v>
      </c>
      <c r="I127">
        <f t="shared" si="14"/>
        <v>2.4091062178553131E-3</v>
      </c>
      <c r="K127" t="s">
        <v>218</v>
      </c>
      <c r="L127">
        <f t="shared" si="21"/>
        <v>1.3036908950856436E-3</v>
      </c>
      <c r="M127" s="54" cm="1">
        <f t="array" ref="M127">IF($B127 &lt; 100, -LN(-1/LN(L127/L126)-1), TREND(M$97:M$106, $B$97:$B$106, $B127:$B127,TRUE))</f>
        <v>2.7543506959516435</v>
      </c>
      <c r="N127" t="s">
        <v>218</v>
      </c>
      <c r="O127">
        <f t="shared" si="22"/>
        <v>3.5145215406249823E-3</v>
      </c>
      <c r="P127" s="54" cm="1">
        <f t="array" ref="P127">IF($B127 &lt; 100, -LN(-1/LN(O127/O126)-1), TREND(P$97:P$106, $B$97:$B$106, $B127:$B127,TRUE))</f>
        <v>2.8805737977962274</v>
      </c>
      <c r="Q127">
        <f t="shared" si="15"/>
        <v>2.4091062178553131E-3</v>
      </c>
    </row>
  </sheetData>
  <mergeCells count="8">
    <mergeCell ref="K2:Q2"/>
    <mergeCell ref="K3:Q3"/>
    <mergeCell ref="K5:M5"/>
    <mergeCell ref="N5:P5"/>
    <mergeCell ref="C5:E5"/>
    <mergeCell ref="F5:H5"/>
    <mergeCell ref="C2:I2"/>
    <mergeCell ref="C3:I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Settings</vt:lpstr>
      <vt:lpstr>Premie_leeftijd</vt:lpstr>
      <vt:lpstr>NPpremie_inkomen</vt:lpstr>
      <vt:lpstr>NPuitkering_leeftijd</vt:lpstr>
      <vt:lpstr>NPuitkering_leeftijd_ArbPartic</vt:lpstr>
      <vt:lpstr>Grondslag</vt:lpstr>
      <vt:lpstr>DataArbeid</vt:lpstr>
      <vt:lpstr>overlevtafel</vt:lpstr>
      <vt:lpstr>CBSoverlevtafel</vt:lpstr>
      <vt:lpstr>CBStafelMan</vt:lpstr>
      <vt:lpstr>CBStafelVrouw</vt:lpstr>
      <vt:lpstr>AGoverlevtafel</vt:lpstr>
      <vt:lpstr>AGtafelMan</vt:lpstr>
      <vt:lpstr>AGtafelVrouw</vt:lpstr>
      <vt:lpstr>AOWlftd</vt:lpstr>
      <vt:lpstr>geb_deeln</vt:lpstr>
      <vt:lpstr>geb_partner</vt:lpstr>
      <vt:lpstr>NP_OP</vt:lpstr>
      <vt:lpstr>OPperjr</vt:lpstr>
      <vt:lpstr>reele_index_opb</vt:lpstr>
      <vt:lpstr>reele_index_ris</vt:lpstr>
      <vt:lpstr>rr</vt:lpstr>
      <vt:lpstr>sterfte_deeln</vt:lpstr>
      <vt:lpstr>sterfte_partn</vt:lpstr>
      <vt:lpstr>volledigAnw</vt:lpstr>
      <vt:lpstr>voltijdfranchise</vt:lpstr>
      <vt:lpstr>voltijduren</vt:lpstr>
      <vt:lpstr>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 Muns</dc:creator>
  <cp:lastModifiedBy>Sander Muns</cp:lastModifiedBy>
  <dcterms:created xsi:type="dcterms:W3CDTF">2021-01-24T20:11:08Z</dcterms:created>
  <dcterms:modified xsi:type="dcterms:W3CDTF">2023-01-22T12:49:40Z</dcterms:modified>
</cp:coreProperties>
</file>